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Respaldo al 300522\Nuevo Respaldo\Arturo\excel\Balances\2022\Diciembre\Mes\"/>
    </mc:Choice>
  </mc:AlternateContent>
  <xr:revisionPtr revIDLastSave="0" documentId="8_{3855CCF5-DA1A-4427-ADC6-8695C436983B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Nodos Variac Inventarios" sheetId="1" r:id="rId1"/>
    <sheet name="Bal Los Colorados" sheetId="2" state="hidden" r:id="rId2"/>
    <sheet name="Diag Proc Los Colorados" sheetId="3" state="hidden" r:id="rId3"/>
    <sheet name="Datos Extra" sheetId="4" r:id="rId4"/>
    <sheet name="Resumen Planta Pellets" sheetId="5" r:id="rId5"/>
    <sheet name="Utilidad" sheetId="6" r:id="rId6"/>
    <sheet name="Flujos" sheetId="7" r:id="rId7"/>
    <sheet name="Diagrama" sheetId="8" r:id="rId8"/>
  </sheets>
  <externalReferences>
    <externalReference r:id="rId9"/>
  </externalReferences>
  <definedNames>
    <definedName name="_PAG1" localSheetId="4">#REF!</definedName>
    <definedName name="_PAG1">#REF!</definedName>
    <definedName name="_PAG3" localSheetId="4">#REF!</definedName>
    <definedName name="_PAG3">#REF!</definedName>
    <definedName name="_PAG4">#REF!</definedName>
    <definedName name="_PAG5">#REF!</definedName>
    <definedName name="_PAG6">#REF!</definedName>
    <definedName name="CONC" localSheetId="4">#REF!</definedName>
    <definedName name="CONC">#REF!</definedName>
    <definedName name="CuNuevo_ConPelaCama_tmf" localSheetId="4">[1]FUNDICIÓN!$P$73</definedName>
    <definedName name="CuNuevo_ConPelaCama_tmf">[1]FUNDICIÓN!$P$73</definedName>
    <definedName name="CuNuevo_ConPelaCama_tms" localSheetId="4">[1]FUNDICIÓN!$O$73</definedName>
    <definedName name="CuNuevo_ConPelaCama_tms">[1]FUNDICIÓN!$O$73</definedName>
    <definedName name="ECL_DelBal_por" localSheetId="4">'Resumen Planta Pellets'!$G$37</definedName>
    <definedName name="ECL_DelBal_tmf" localSheetId="4">'Resumen Planta Pellets'!$F$37</definedName>
    <definedName name="FEED" localSheetId="4">#REF!</definedName>
    <definedName name="FEED">#REF!</definedName>
    <definedName name="feed1">#REF!</definedName>
    <definedName name="GCONC" localSheetId="4">#REF!</definedName>
    <definedName name="GCONC">#REF!</definedName>
    <definedName name="GFEED" localSheetId="4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>'Bal Los Colorados'!$M$46:$N$69</definedName>
    <definedName name="solver_adj" localSheetId="4">'Resumen Planta Pellets'!$N$10</definedName>
    <definedName name="solver_adj" localSheetId="5">Utilidad!$N$67:$O$126</definedName>
    <definedName name="solver_cvg" localSheetId="1">0.0001</definedName>
    <definedName name="solver_cvg" localSheetId="7">0.0001</definedName>
    <definedName name="solver_cvg" localSheetId="4">0.0001</definedName>
    <definedName name="solver_cvg" localSheetId="5">0.0001</definedName>
    <definedName name="solver_drv" localSheetId="1">1</definedName>
    <definedName name="solver_drv" localSheetId="7">2</definedName>
    <definedName name="solver_drv" localSheetId="4">1</definedName>
    <definedName name="solver_drv" localSheetId="5">1</definedName>
    <definedName name="solver_eng" localSheetId="1">1</definedName>
    <definedName name="solver_eng" localSheetId="7">1</definedName>
    <definedName name="solver_eng" localSheetId="4">1</definedName>
    <definedName name="solver_eng" localSheetId="5">1</definedName>
    <definedName name="solver_est" localSheetId="1">1</definedName>
    <definedName name="solver_est" localSheetId="7">1</definedName>
    <definedName name="solver_est" localSheetId="4">1</definedName>
    <definedName name="solver_est" localSheetId="5">1</definedName>
    <definedName name="solver_itr" localSheetId="1">2147483647</definedName>
    <definedName name="solver_itr" localSheetId="7">2147483647</definedName>
    <definedName name="solver_itr" localSheetId="4">2147483647</definedName>
    <definedName name="solver_itr" localSheetId="5">2147483647</definedName>
    <definedName name="solver_lhs1" localSheetId="1">'Bal Los Colorados'!$AB$45</definedName>
    <definedName name="solver_lhs1" localSheetId="5">Utilidad!$AB$67:$AB$90</definedName>
    <definedName name="solver_lhs10" localSheetId="1">'Bal Los Colorados'!$AB$54</definedName>
    <definedName name="solver_lhs10" localSheetId="5">Utilidad!$U$68</definedName>
    <definedName name="solver_lhs11" localSheetId="1">'Bal Los Colorados'!$AB$55</definedName>
    <definedName name="solver_lhs11" localSheetId="5">Utilidad!$U$69</definedName>
    <definedName name="solver_lhs12" localSheetId="1">'Bal Los Colorados'!$AC$45</definedName>
    <definedName name="solver_lhs12" localSheetId="5">Utilidad!$U$80</definedName>
    <definedName name="solver_lhs13" localSheetId="1">'Bal Los Colorados'!$AC$46</definedName>
    <definedName name="solver_lhs13" localSheetId="5">Utilidad!$U$89</definedName>
    <definedName name="solver_lhs14" localSheetId="1">'Bal Los Colorados'!$AC$47</definedName>
    <definedName name="solver_lhs14" localSheetId="5">Utilidad!$V$120</definedName>
    <definedName name="solver_lhs15" localSheetId="1">'Bal Los Colorados'!$AC$48</definedName>
    <definedName name="solver_lhs15" localSheetId="5">Utilidad!$W$105</definedName>
    <definedName name="solver_lhs16" localSheetId="1">'Bal Los Colorados'!$AC$49</definedName>
    <definedName name="solver_lhs16" localSheetId="5">Utilidad!$W$122</definedName>
    <definedName name="solver_lhs17" localSheetId="1">'Bal Los Colorados'!$AC$50</definedName>
    <definedName name="solver_lhs17" localSheetId="5">Utilidad!$W$124</definedName>
    <definedName name="solver_lhs18" localSheetId="1">'Bal Los Colorados'!$AC$51</definedName>
    <definedName name="solver_lhs18" localSheetId="5">Utilidad!$W$68</definedName>
    <definedName name="solver_lhs19" localSheetId="1">'Bal Los Colorados'!$AC$52</definedName>
    <definedName name="solver_lhs19" localSheetId="5">Utilidad!$W$89</definedName>
    <definedName name="solver_lhs2" localSheetId="1">'Bal Los Colorados'!$AB$46</definedName>
    <definedName name="solver_lhs2" localSheetId="5">Utilidad!$AC$67:$AC$90</definedName>
    <definedName name="solver_lhs20" localSheetId="1">'Bal Los Colorados'!$AC$53</definedName>
    <definedName name="solver_lhs20" localSheetId="5">Utilidad!$W$89</definedName>
    <definedName name="solver_lhs21" localSheetId="1">'Bal Los Colorados'!$AC$54</definedName>
    <definedName name="solver_lhs21" localSheetId="5">Utilidad!$W$101</definedName>
    <definedName name="solver_lhs22" localSheetId="1">'Bal Los Colorados'!$AC$55</definedName>
    <definedName name="solver_lhs22" localSheetId="5">Utilidad!$W$101</definedName>
    <definedName name="solver_lhs23" localSheetId="1">'Bal Los Colorados'!$T$48</definedName>
    <definedName name="solver_lhs23" localSheetId="5">Utilidad!$W$101</definedName>
    <definedName name="solver_lhs24" localSheetId="1">'Bal Los Colorados'!$T$53</definedName>
    <definedName name="solver_lhs24" localSheetId="5">Utilidad!$W$101</definedName>
    <definedName name="solver_lhs25" localSheetId="1">'Bal Los Colorados'!$T$55</definedName>
    <definedName name="solver_lhs25" localSheetId="5">Utilidad!$W$89</definedName>
    <definedName name="solver_lhs26" localSheetId="1">'Bal Los Colorados'!$T$57</definedName>
    <definedName name="solver_lhs26" localSheetId="5">Utilidad!$W$101</definedName>
    <definedName name="solver_lhs27" localSheetId="1">'Bal Los Colorados'!$T$58</definedName>
    <definedName name="solver_lhs27" localSheetId="5">Utilidad!$W$101</definedName>
    <definedName name="solver_lhs28" localSheetId="1">'Bal Los Colorados'!$T$59</definedName>
    <definedName name="solver_lhs28" localSheetId="5">Utilidad!#REF!</definedName>
    <definedName name="solver_lhs29" localSheetId="1">'Bal Los Colorados'!$T$68</definedName>
    <definedName name="solver_lhs29" localSheetId="5">Utilidad!#REF!</definedName>
    <definedName name="solver_lhs3" localSheetId="1">'Bal Los Colorados'!$AB$47</definedName>
    <definedName name="solver_lhs3" localSheetId="5">Utilidad!$U$101</definedName>
    <definedName name="solver_lhs30" localSheetId="1">'Bal Los Colorados'!$T$69</definedName>
    <definedName name="solver_lhs30" localSheetId="5">Utilidad!#REF!</definedName>
    <definedName name="solver_lhs31" localSheetId="1">'Bal Los Colorados'!$V$46</definedName>
    <definedName name="solver_lhs31" localSheetId="5">Utilidad!#REF!</definedName>
    <definedName name="solver_lhs32" localSheetId="1">'Bal Los Colorados'!$V$55</definedName>
    <definedName name="solver_lhs32" localSheetId="5">Utilidad!#REF!</definedName>
    <definedName name="solver_lhs33" localSheetId="1">'Bal Los Colorados'!$V$57</definedName>
    <definedName name="solver_lhs33" localSheetId="5">Utilidad!#REF!</definedName>
    <definedName name="solver_lhs34" localSheetId="1">'Bal Los Colorados'!$V$59</definedName>
    <definedName name="solver_lhs34" localSheetId="5">Utilidad!#REF!</definedName>
    <definedName name="solver_lhs35" localSheetId="1">'Bal Los Colorados'!$V$63</definedName>
    <definedName name="solver_lhs35" localSheetId="5">Utilidad!#REF!</definedName>
    <definedName name="solver_lhs36" localSheetId="1">'Bal Los Colorados'!$V$66</definedName>
    <definedName name="solver_lhs36" localSheetId="5">Utilidad!#REF!</definedName>
    <definedName name="solver_lhs37" localSheetId="1">'Bal Los Colorados'!$V$68</definedName>
    <definedName name="solver_lhs37" localSheetId="5">Utilidad!#REF!</definedName>
    <definedName name="solver_lhs38" localSheetId="1">'Bal Los Colorados'!$V$69</definedName>
    <definedName name="solver_lhs38" localSheetId="5">Utilidad!#REF!</definedName>
    <definedName name="solver_lhs39" localSheetId="1">'Bal Los Colorados'!$V$69</definedName>
    <definedName name="solver_lhs39" localSheetId="5">Utilidad!#REF!</definedName>
    <definedName name="solver_lhs4" localSheetId="1">'Bal Los Colorados'!$AB$48</definedName>
    <definedName name="solver_lhs4" localSheetId="5">Utilidad!$U$103</definedName>
    <definedName name="solver_lhs40" localSheetId="1">'Bal Los Colorados'!$AB$49</definedName>
    <definedName name="solver_lhs40" localSheetId="5">Utilidad!#REF!</definedName>
    <definedName name="solver_lhs41" localSheetId="1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1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1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1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1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1">'Bal Los Colorados'!$AB$53</definedName>
    <definedName name="solver_lhs9" localSheetId="5">Utilidad!$U$67</definedName>
    <definedName name="solver_lin" localSheetId="5">2</definedName>
    <definedName name="solver_mip" localSheetId="1">2147483647</definedName>
    <definedName name="solver_mip" localSheetId="7">2147483647</definedName>
    <definedName name="solver_mip" localSheetId="4">2147483647</definedName>
    <definedName name="solver_mip" localSheetId="5">2147483647</definedName>
    <definedName name="solver_mni" localSheetId="1">30</definedName>
    <definedName name="solver_mni" localSheetId="7">30</definedName>
    <definedName name="solver_mni" localSheetId="4">30</definedName>
    <definedName name="solver_mni" localSheetId="5">30</definedName>
    <definedName name="solver_mrt" localSheetId="1">0.075</definedName>
    <definedName name="solver_mrt" localSheetId="7">0.075</definedName>
    <definedName name="solver_mrt" localSheetId="4">0.075</definedName>
    <definedName name="solver_mrt" localSheetId="5">0.075</definedName>
    <definedName name="solver_msl" localSheetId="1">2</definedName>
    <definedName name="solver_msl" localSheetId="7">2</definedName>
    <definedName name="solver_msl" localSheetId="4">2</definedName>
    <definedName name="solver_msl" localSheetId="5">2</definedName>
    <definedName name="solver_neg" localSheetId="1">1</definedName>
    <definedName name="solver_neg" localSheetId="7">1</definedName>
    <definedName name="solver_neg" localSheetId="4">1</definedName>
    <definedName name="solver_neg" localSheetId="5">1</definedName>
    <definedName name="solver_nod" localSheetId="1">2147483647</definedName>
    <definedName name="solver_nod" localSheetId="7">2147483647</definedName>
    <definedName name="solver_nod" localSheetId="4">2147483647</definedName>
    <definedName name="solver_nod" localSheetId="5">2147483647</definedName>
    <definedName name="solver_num" localSheetId="1">38</definedName>
    <definedName name="solver_num" localSheetId="7">0</definedName>
    <definedName name="solver_num" localSheetId="4">0</definedName>
    <definedName name="solver_num" localSheetId="5">19</definedName>
    <definedName name="solver_nwt" localSheetId="1">1</definedName>
    <definedName name="solver_nwt" localSheetId="7">1</definedName>
    <definedName name="solver_nwt" localSheetId="4">1</definedName>
    <definedName name="solver_nwt" localSheetId="5">1</definedName>
    <definedName name="solver_opt" localSheetId="1">'Bal Los Colorados'!$AB$58</definedName>
    <definedName name="solver_opt" localSheetId="7">Diagrama!$Q$32</definedName>
    <definedName name="solver_opt" localSheetId="4">'Resumen Planta Pellets'!$R$15</definedName>
    <definedName name="solver_opt" localSheetId="5">Utilidad!$AB$93</definedName>
    <definedName name="solver_pre" localSheetId="1">0.000001</definedName>
    <definedName name="solver_pre" localSheetId="7">0.000001</definedName>
    <definedName name="solver_pre" localSheetId="4">0.000001</definedName>
    <definedName name="solver_pre" localSheetId="5">0.000001</definedName>
    <definedName name="solver_rbv" localSheetId="1">1</definedName>
    <definedName name="solver_rbv" localSheetId="7">2</definedName>
    <definedName name="solver_rbv" localSheetId="4">1</definedName>
    <definedName name="solver_rbv" localSheetId="5">1</definedName>
    <definedName name="solver_rel1" localSheetId="1">2</definedName>
    <definedName name="solver_rel1" localSheetId="5">2</definedName>
    <definedName name="solver_rel10" localSheetId="1">2</definedName>
    <definedName name="solver_rel10" localSheetId="5">1</definedName>
    <definedName name="solver_rel11" localSheetId="1">2</definedName>
    <definedName name="solver_rel11" localSheetId="5">1</definedName>
    <definedName name="solver_rel12" localSheetId="1">2</definedName>
    <definedName name="solver_rel12" localSheetId="5">1</definedName>
    <definedName name="solver_rel13" localSheetId="1">2</definedName>
    <definedName name="solver_rel13" localSheetId="5">1</definedName>
    <definedName name="solver_rel14" localSheetId="1">2</definedName>
    <definedName name="solver_rel14" localSheetId="5">1</definedName>
    <definedName name="solver_rel15" localSheetId="1">2</definedName>
    <definedName name="solver_rel15" localSheetId="5">1</definedName>
    <definedName name="solver_rel16" localSheetId="1">2</definedName>
    <definedName name="solver_rel16" localSheetId="5">1</definedName>
    <definedName name="solver_rel17" localSheetId="1">2</definedName>
    <definedName name="solver_rel17" localSheetId="5">1</definedName>
    <definedName name="solver_rel18" localSheetId="1">2</definedName>
    <definedName name="solver_rel18" localSheetId="5">1</definedName>
    <definedName name="solver_rel19" localSheetId="1">2</definedName>
    <definedName name="solver_rel19" localSheetId="5">1</definedName>
    <definedName name="solver_rel2" localSheetId="1">2</definedName>
    <definedName name="solver_rel2" localSheetId="5">2</definedName>
    <definedName name="solver_rel20" localSheetId="1">2</definedName>
    <definedName name="solver_rel20" localSheetId="5">1</definedName>
    <definedName name="solver_rel21" localSheetId="1">2</definedName>
    <definedName name="solver_rel21" localSheetId="5">1</definedName>
    <definedName name="solver_rel22" localSheetId="1">2</definedName>
    <definedName name="solver_rel22" localSheetId="5">1</definedName>
    <definedName name="solver_rel23" localSheetId="1">1</definedName>
    <definedName name="solver_rel23" localSheetId="5">1</definedName>
    <definedName name="solver_rel24" localSheetId="1">1</definedName>
    <definedName name="solver_rel24" localSheetId="5">1</definedName>
    <definedName name="solver_rel25" localSheetId="1">1</definedName>
    <definedName name="solver_rel25" localSheetId="5">1</definedName>
    <definedName name="solver_rel26" localSheetId="1">1</definedName>
    <definedName name="solver_rel26" localSheetId="5">1</definedName>
    <definedName name="solver_rel27" localSheetId="1">1</definedName>
    <definedName name="solver_rel27" localSheetId="5">1</definedName>
    <definedName name="solver_rel28" localSheetId="1">1</definedName>
    <definedName name="solver_rel28" localSheetId="5">2</definedName>
    <definedName name="solver_rel29" localSheetId="1">1</definedName>
    <definedName name="solver_rel29" localSheetId="5">2</definedName>
    <definedName name="solver_rel3" localSheetId="1">2</definedName>
    <definedName name="solver_rel3" localSheetId="5">1</definedName>
    <definedName name="solver_rel30" localSheetId="1">1</definedName>
    <definedName name="solver_rel30" localSheetId="5">2</definedName>
    <definedName name="solver_rel31" localSheetId="1">1</definedName>
    <definedName name="solver_rel31" localSheetId="5">2</definedName>
    <definedName name="solver_rel32" localSheetId="1">1</definedName>
    <definedName name="solver_rel32" localSheetId="5">2</definedName>
    <definedName name="solver_rel33" localSheetId="1">1</definedName>
    <definedName name="solver_rel33" localSheetId="5">2</definedName>
    <definedName name="solver_rel34" localSheetId="1">1</definedName>
    <definedName name="solver_rel34" localSheetId="5">2</definedName>
    <definedName name="solver_rel35" localSheetId="1">1</definedName>
    <definedName name="solver_rel35" localSheetId="5">2</definedName>
    <definedName name="solver_rel36" localSheetId="1">1</definedName>
    <definedName name="solver_rel36" localSheetId="5">2</definedName>
    <definedName name="solver_rel37" localSheetId="1">1</definedName>
    <definedName name="solver_rel37" localSheetId="5">2</definedName>
    <definedName name="solver_rel38" localSheetId="1">1</definedName>
    <definedName name="solver_rel38" localSheetId="5">2</definedName>
    <definedName name="solver_rel39" localSheetId="1">1</definedName>
    <definedName name="solver_rel39" localSheetId="5">2</definedName>
    <definedName name="solver_rel4" localSheetId="1">2</definedName>
    <definedName name="solver_rel4" localSheetId="5">1</definedName>
    <definedName name="solver_rel40" localSheetId="1">2</definedName>
    <definedName name="solver_rel40" localSheetId="5">2</definedName>
    <definedName name="solver_rel41" localSheetId="1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1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1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1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1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1">2</definedName>
    <definedName name="solver_rel9" localSheetId="5">1</definedName>
    <definedName name="solver_rhs1" localSheetId="1">0</definedName>
    <definedName name="solver_rhs1" localSheetId="5">Utilidad!$AE$67:$AE$90</definedName>
    <definedName name="solver_rhs10" localSheetId="1">0</definedName>
    <definedName name="solver_rhs10" localSheetId="5">Utilidad!$V$68</definedName>
    <definedName name="solver_rhs11" localSheetId="1">0</definedName>
    <definedName name="solver_rhs11" localSheetId="5">Utilidad!$V$69</definedName>
    <definedName name="solver_rhs12" localSheetId="1">0</definedName>
    <definedName name="solver_rhs12" localSheetId="5">Utilidad!$V$80</definedName>
    <definedName name="solver_rhs13" localSheetId="1">0</definedName>
    <definedName name="solver_rhs13" localSheetId="5">Utilidad!$V$89</definedName>
    <definedName name="solver_rhs14" localSheetId="1">0</definedName>
    <definedName name="solver_rhs14" localSheetId="5">Utilidad!$X$120</definedName>
    <definedName name="solver_rhs15" localSheetId="1">0</definedName>
    <definedName name="solver_rhs15" localSheetId="5">Utilidad!$X$105</definedName>
    <definedName name="solver_rhs16" localSheetId="1">0</definedName>
    <definedName name="solver_rhs16" localSheetId="5">Utilidad!$X$122</definedName>
    <definedName name="solver_rhs17" localSheetId="1">0</definedName>
    <definedName name="solver_rhs17" localSheetId="5">Utilidad!$X$124</definedName>
    <definedName name="solver_rhs18" localSheetId="1">0</definedName>
    <definedName name="solver_rhs18" localSheetId="5">Utilidad!$X$68</definedName>
    <definedName name="solver_rhs19" localSheetId="1">0</definedName>
    <definedName name="solver_rhs19" localSheetId="5">Utilidad!$X$89</definedName>
    <definedName name="solver_rhs2" localSheetId="1">0</definedName>
    <definedName name="solver_rhs2" localSheetId="5">Utilidad!$AE$67:$AE$90</definedName>
    <definedName name="solver_rhs20" localSheetId="1">0</definedName>
    <definedName name="solver_rhs20" localSheetId="5">Utilidad!$X$89</definedName>
    <definedName name="solver_rhs21" localSheetId="1">0</definedName>
    <definedName name="solver_rhs21" localSheetId="5">Utilidad!$X$101</definedName>
    <definedName name="solver_rhs22" localSheetId="1">0</definedName>
    <definedName name="solver_rhs22" localSheetId="5">Utilidad!$X$101</definedName>
    <definedName name="solver_rhs23" localSheetId="1">'Bal Los Colorados'!$U$48</definedName>
    <definedName name="solver_rhs23" localSheetId="5">Utilidad!$X$101</definedName>
    <definedName name="solver_rhs24" localSheetId="1">'Bal Los Colorados'!$U$53</definedName>
    <definedName name="solver_rhs24" localSheetId="5">Utilidad!$X$101</definedName>
    <definedName name="solver_rhs25" localSheetId="1">'Bal Los Colorados'!$U$55</definedName>
    <definedName name="solver_rhs25" localSheetId="5">Utilidad!$X$89</definedName>
    <definedName name="solver_rhs26" localSheetId="1">'Bal Los Colorados'!$U$57</definedName>
    <definedName name="solver_rhs26" localSheetId="5">Utilidad!$X$101</definedName>
    <definedName name="solver_rhs27" localSheetId="1">'Bal Los Colorados'!$U$58</definedName>
    <definedName name="solver_rhs27" localSheetId="5">Utilidad!$X$101</definedName>
    <definedName name="solver_rhs28" localSheetId="1">'Bal Los Colorados'!$U$59</definedName>
    <definedName name="solver_rhs28" localSheetId="5">0</definedName>
    <definedName name="solver_rhs29" localSheetId="1">'Bal Los Colorados'!$U$68</definedName>
    <definedName name="solver_rhs29" localSheetId="5">0</definedName>
    <definedName name="solver_rhs3" localSheetId="1">0</definedName>
    <definedName name="solver_rhs3" localSheetId="5">Utilidad!$V$101</definedName>
    <definedName name="solver_rhs30" localSheetId="1">'Bal Los Colorados'!$U$69</definedName>
    <definedName name="solver_rhs30" localSheetId="5">0</definedName>
    <definedName name="solver_rhs31" localSheetId="1">'Bal Los Colorados'!$W$46</definedName>
    <definedName name="solver_rhs31" localSheetId="5">0</definedName>
    <definedName name="solver_rhs32" localSheetId="1">'Bal Los Colorados'!$W$55</definedName>
    <definedName name="solver_rhs32" localSheetId="5">0</definedName>
    <definedName name="solver_rhs33" localSheetId="1">'Bal Los Colorados'!$W$57</definedName>
    <definedName name="solver_rhs33" localSheetId="5">0</definedName>
    <definedName name="solver_rhs34" localSheetId="1">'Bal Los Colorados'!$W$59</definedName>
    <definedName name="solver_rhs34" localSheetId="5">0</definedName>
    <definedName name="solver_rhs35" localSheetId="1">'Bal Los Colorados'!$W$63</definedName>
    <definedName name="solver_rhs35" localSheetId="5">0</definedName>
    <definedName name="solver_rhs36" localSheetId="1">'Bal Los Colorados'!$W$66</definedName>
    <definedName name="solver_rhs36" localSheetId="5">0</definedName>
    <definedName name="solver_rhs37" localSheetId="1">'Bal Los Colorados'!$W$68</definedName>
    <definedName name="solver_rhs37" localSheetId="5">0</definedName>
    <definedName name="solver_rhs38" localSheetId="1">'Bal Los Colorados'!$W$69</definedName>
    <definedName name="solver_rhs38" localSheetId="5">0</definedName>
    <definedName name="solver_rhs39" localSheetId="1">'Bal Los Colorados'!$W$69</definedName>
    <definedName name="solver_rhs39" localSheetId="5">0</definedName>
    <definedName name="solver_rhs4" localSheetId="1">0</definedName>
    <definedName name="solver_rhs4" localSheetId="5">Utilidad!$V$103</definedName>
    <definedName name="solver_rhs40" localSheetId="1">0</definedName>
    <definedName name="solver_rhs40" localSheetId="5">0</definedName>
    <definedName name="solver_rhs41" localSheetId="1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1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1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1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1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1">0</definedName>
    <definedName name="solver_rhs9" localSheetId="5">Utilidad!$V$67</definedName>
    <definedName name="solver_rlx" localSheetId="1">2</definedName>
    <definedName name="solver_rlx" localSheetId="7">2</definedName>
    <definedName name="solver_rlx" localSheetId="4">2</definedName>
    <definedName name="solver_rlx" localSheetId="5">2</definedName>
    <definedName name="solver_rsd" localSheetId="1">0</definedName>
    <definedName name="solver_rsd" localSheetId="7">0</definedName>
    <definedName name="solver_rsd" localSheetId="4">0</definedName>
    <definedName name="solver_rsd" localSheetId="5">0</definedName>
    <definedName name="solver_scl" localSheetId="1">1</definedName>
    <definedName name="solver_scl" localSheetId="7">2</definedName>
    <definedName name="solver_scl" localSheetId="4">1</definedName>
    <definedName name="solver_scl" localSheetId="5">1</definedName>
    <definedName name="solver_sho" localSheetId="1">2</definedName>
    <definedName name="solver_sho" localSheetId="7">2</definedName>
    <definedName name="solver_sho" localSheetId="4">2</definedName>
    <definedName name="solver_sho" localSheetId="5">2</definedName>
    <definedName name="solver_ssz" localSheetId="1">100</definedName>
    <definedName name="solver_ssz" localSheetId="7">100</definedName>
    <definedName name="solver_ssz" localSheetId="4">100</definedName>
    <definedName name="solver_ssz" localSheetId="5">100</definedName>
    <definedName name="solver_tim" localSheetId="1">2147483647</definedName>
    <definedName name="solver_tim" localSheetId="7">2147483647</definedName>
    <definedName name="solver_tim" localSheetId="4">2147483647</definedName>
    <definedName name="solver_tim" localSheetId="5">2147483647</definedName>
    <definedName name="solver_tol" localSheetId="1">0.01</definedName>
    <definedName name="solver_tol" localSheetId="7">0.01</definedName>
    <definedName name="solver_tol" localSheetId="4">0.01</definedName>
    <definedName name="solver_tol" localSheetId="5">0.01</definedName>
    <definedName name="solver_typ" localSheetId="1">2</definedName>
    <definedName name="solver_typ" localSheetId="7">1</definedName>
    <definedName name="solver_typ" localSheetId="4">3</definedName>
    <definedName name="solver_typ" localSheetId="5">2</definedName>
    <definedName name="solver_val" localSheetId="1">0</definedName>
    <definedName name="solver_val" localSheetId="7">0</definedName>
    <definedName name="solver_val" localSheetId="4">87.4</definedName>
    <definedName name="solver_val" localSheetId="5">0</definedName>
    <definedName name="solver_ver" localSheetId="1">3</definedName>
    <definedName name="solver_ver" localSheetId="7">3</definedName>
    <definedName name="solver_ver" localSheetId="4">3</definedName>
    <definedName name="solver_ver" localSheetId="5">3</definedName>
    <definedName name="SUMCHECK" localSheetId="4">#REF!</definedName>
    <definedName name="SUMCHECK">#REF!</definedName>
    <definedName name="SUMCUTONNES" localSheetId="4">#REF!</definedName>
    <definedName name="SUMCUTONNES">#REF!</definedName>
    <definedName name="SUMDMT" localSheetId="4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95" i="8" l="1"/>
  <c r="G94" i="8"/>
  <c r="K94" i="8" s="1"/>
  <c r="G16" i="5" s="1"/>
  <c r="G88" i="8"/>
  <c r="K88" i="8"/>
  <c r="G17" i="5" s="1"/>
  <c r="G87" i="8"/>
  <c r="G86" i="8"/>
  <c r="K86" i="8" s="1"/>
  <c r="E95" i="8"/>
  <c r="E91" i="8"/>
  <c r="E90" i="8"/>
  <c r="G10" i="5"/>
  <c r="M10" i="5"/>
  <c r="I10" i="5"/>
  <c r="I14" i="5" s="1"/>
  <c r="D36" i="5"/>
  <c r="N98" i="8"/>
  <c r="M98" i="8"/>
  <c r="O98" i="8" s="1"/>
  <c r="Q98" i="8" s="1"/>
  <c r="L98" i="8"/>
  <c r="N97" i="8"/>
  <c r="L97" i="8"/>
  <c r="M97" i="8" s="1"/>
  <c r="O97" i="8" s="1"/>
  <c r="Q97" i="8" s="1"/>
  <c r="N96" i="8"/>
  <c r="L96" i="8"/>
  <c r="M96" i="8" s="1"/>
  <c r="O96" i="8" s="1"/>
  <c r="Q96" i="8" s="1"/>
  <c r="N95" i="8"/>
  <c r="L95" i="8"/>
  <c r="K95" i="8"/>
  <c r="B95" i="8"/>
  <c r="N94" i="8"/>
  <c r="L94" i="8"/>
  <c r="F94" i="8"/>
  <c r="B94" i="8"/>
  <c r="P93" i="8"/>
  <c r="N93" i="8"/>
  <c r="L93" i="8"/>
  <c r="B93" i="8"/>
  <c r="O92" i="8"/>
  <c r="Q92" i="8" s="1"/>
  <c r="N92" i="8"/>
  <c r="L92" i="8"/>
  <c r="Q91" i="8"/>
  <c r="O91" i="8"/>
  <c r="N91" i="8"/>
  <c r="L91" i="8"/>
  <c r="N90" i="8"/>
  <c r="O90" i="8" s="1"/>
  <c r="Q90" i="8" s="1"/>
  <c r="L90" i="8"/>
  <c r="N89" i="8"/>
  <c r="O89" i="8" s="1"/>
  <c r="Q89" i="8" s="1"/>
  <c r="L89" i="8"/>
  <c r="B89" i="8"/>
  <c r="N88" i="8"/>
  <c r="L88" i="8"/>
  <c r="B88" i="8"/>
  <c r="N87" i="8"/>
  <c r="L87" i="8"/>
  <c r="K87" i="8"/>
  <c r="F87" i="8"/>
  <c r="B87" i="8"/>
  <c r="N86" i="8"/>
  <c r="L86" i="8"/>
  <c r="B86" i="8"/>
  <c r="R63" i="7"/>
  <c r="K63" i="7"/>
  <c r="H63" i="7"/>
  <c r="G63" i="7"/>
  <c r="D63" i="7"/>
  <c r="C63" i="7"/>
  <c r="J63" i="7" s="1"/>
  <c r="R62" i="7"/>
  <c r="H62" i="7"/>
  <c r="G62" i="7"/>
  <c r="D62" i="7"/>
  <c r="K62" i="7" s="1"/>
  <c r="C62" i="7"/>
  <c r="J62" i="7" s="1"/>
  <c r="R61" i="7"/>
  <c r="H61" i="7"/>
  <c r="G61" i="7"/>
  <c r="D61" i="7"/>
  <c r="K61" i="7" s="1"/>
  <c r="C61" i="7"/>
  <c r="J61" i="7" s="1"/>
  <c r="R60" i="7"/>
  <c r="H60" i="7"/>
  <c r="G60" i="7"/>
  <c r="D60" i="7"/>
  <c r="K60" i="7" s="1"/>
  <c r="C60" i="7"/>
  <c r="J60" i="7" s="1"/>
  <c r="R59" i="7"/>
  <c r="H59" i="7"/>
  <c r="G59" i="7"/>
  <c r="J59" i="7" s="1"/>
  <c r="D59" i="7"/>
  <c r="K59" i="7" s="1"/>
  <c r="C59" i="7"/>
  <c r="R58" i="7"/>
  <c r="H58" i="7"/>
  <c r="K58" i="7" s="1"/>
  <c r="G58" i="7"/>
  <c r="J58" i="7" s="1"/>
  <c r="D58" i="7"/>
  <c r="C58" i="7"/>
  <c r="R57" i="7"/>
  <c r="J57" i="7"/>
  <c r="M57" i="7" s="1"/>
  <c r="H57" i="7"/>
  <c r="G57" i="7"/>
  <c r="D57" i="7"/>
  <c r="K57" i="7" s="1"/>
  <c r="N57" i="7" s="1"/>
  <c r="C57" i="7"/>
  <c r="R56" i="7"/>
  <c r="K56" i="7"/>
  <c r="H56" i="7"/>
  <c r="G56" i="7"/>
  <c r="J56" i="7" s="1"/>
  <c r="D56" i="7"/>
  <c r="C56" i="7"/>
  <c r="R55" i="7"/>
  <c r="H55" i="7"/>
  <c r="K55" i="7" s="1"/>
  <c r="G55" i="7"/>
  <c r="D55" i="7"/>
  <c r="C55" i="7"/>
  <c r="J55" i="7" s="1"/>
  <c r="R54" i="7"/>
  <c r="J54" i="7"/>
  <c r="H54" i="7"/>
  <c r="G54" i="7"/>
  <c r="D54" i="7"/>
  <c r="K54" i="7" s="1"/>
  <c r="C54" i="7"/>
  <c r="R53" i="7"/>
  <c r="K53" i="7"/>
  <c r="J53" i="7"/>
  <c r="H53" i="7"/>
  <c r="G53" i="7"/>
  <c r="D53" i="7"/>
  <c r="C53" i="7"/>
  <c r="R52" i="7"/>
  <c r="K52" i="7"/>
  <c r="H52" i="7"/>
  <c r="G52" i="7"/>
  <c r="D52" i="7"/>
  <c r="C52" i="7"/>
  <c r="J52" i="7" s="1"/>
  <c r="M52" i="7" s="1"/>
  <c r="R51" i="7"/>
  <c r="M51" i="7"/>
  <c r="J51" i="7"/>
  <c r="H51" i="7"/>
  <c r="G51" i="7"/>
  <c r="D51" i="7"/>
  <c r="K51" i="7" s="1"/>
  <c r="N51" i="7" s="1"/>
  <c r="C51" i="7"/>
  <c r="R50" i="7"/>
  <c r="K50" i="7"/>
  <c r="H50" i="7"/>
  <c r="G50" i="7"/>
  <c r="D50" i="7"/>
  <c r="C50" i="7"/>
  <c r="J50" i="7" s="1"/>
  <c r="M50" i="7" s="1"/>
  <c r="R49" i="7"/>
  <c r="H49" i="7"/>
  <c r="G49" i="7"/>
  <c r="D49" i="7"/>
  <c r="K49" i="7" s="1"/>
  <c r="C49" i="7"/>
  <c r="J49" i="7" s="1"/>
  <c r="R48" i="7"/>
  <c r="H48" i="7"/>
  <c r="G48" i="7"/>
  <c r="J48" i="7" s="1"/>
  <c r="D48" i="7"/>
  <c r="K48" i="7" s="1"/>
  <c r="C48" i="7"/>
  <c r="R47" i="7"/>
  <c r="K47" i="7"/>
  <c r="H47" i="7"/>
  <c r="G47" i="7"/>
  <c r="D47" i="7"/>
  <c r="C47" i="7"/>
  <c r="R46" i="7"/>
  <c r="J46" i="7"/>
  <c r="H46" i="7"/>
  <c r="G46" i="7"/>
  <c r="D46" i="7"/>
  <c r="K46" i="7" s="1"/>
  <c r="C46" i="7"/>
  <c r="R45" i="7"/>
  <c r="K45" i="7"/>
  <c r="J45" i="7"/>
  <c r="H45" i="7"/>
  <c r="G45" i="7"/>
  <c r="D45" i="7"/>
  <c r="C45" i="7"/>
  <c r="R44" i="7"/>
  <c r="M44" i="7"/>
  <c r="K44" i="7"/>
  <c r="H44" i="7"/>
  <c r="G44" i="7"/>
  <c r="D44" i="7"/>
  <c r="C44" i="7"/>
  <c r="J44" i="7" s="1"/>
  <c r="R43" i="7"/>
  <c r="N43" i="7"/>
  <c r="M43" i="7"/>
  <c r="J43" i="7"/>
  <c r="H43" i="7"/>
  <c r="G43" i="7"/>
  <c r="D43" i="7"/>
  <c r="K43" i="7" s="1"/>
  <c r="C43" i="7"/>
  <c r="R42" i="7"/>
  <c r="N42" i="7"/>
  <c r="K42" i="7"/>
  <c r="H42" i="7"/>
  <c r="G42" i="7"/>
  <c r="D42" i="7"/>
  <c r="C42" i="7"/>
  <c r="J42" i="7" s="1"/>
  <c r="M42" i="7" s="1"/>
  <c r="R41" i="7"/>
  <c r="H41" i="7"/>
  <c r="G41" i="7"/>
  <c r="D41" i="7"/>
  <c r="K41" i="7" s="1"/>
  <c r="C41" i="7"/>
  <c r="J41" i="7" s="1"/>
  <c r="R40" i="7"/>
  <c r="H40" i="7"/>
  <c r="G40" i="7"/>
  <c r="J40" i="7" s="1"/>
  <c r="D40" i="7"/>
  <c r="K40" i="7" s="1"/>
  <c r="C40" i="7"/>
  <c r="R39" i="7"/>
  <c r="H39" i="7"/>
  <c r="K39" i="7" s="1"/>
  <c r="G39" i="7"/>
  <c r="D39" i="7"/>
  <c r="C39" i="7"/>
  <c r="R38" i="7"/>
  <c r="J38" i="7"/>
  <c r="H38" i="7"/>
  <c r="G38" i="7"/>
  <c r="D38" i="7"/>
  <c r="K38" i="7" s="1"/>
  <c r="C38" i="7"/>
  <c r="R37" i="7"/>
  <c r="K37" i="7"/>
  <c r="J37" i="7"/>
  <c r="H37" i="7"/>
  <c r="G37" i="7"/>
  <c r="D37" i="7"/>
  <c r="C37" i="7"/>
  <c r="R36" i="7"/>
  <c r="K36" i="7"/>
  <c r="H36" i="7"/>
  <c r="G36" i="7"/>
  <c r="D36" i="7"/>
  <c r="C36" i="7"/>
  <c r="J36" i="7" s="1"/>
  <c r="R35" i="7"/>
  <c r="M35" i="7"/>
  <c r="J35" i="7"/>
  <c r="H35" i="7"/>
  <c r="G35" i="7"/>
  <c r="D35" i="7"/>
  <c r="K35" i="7" s="1"/>
  <c r="N35" i="7" s="1"/>
  <c r="C35" i="7"/>
  <c r="R34" i="7"/>
  <c r="K34" i="7"/>
  <c r="H34" i="7"/>
  <c r="G34" i="7"/>
  <c r="D34" i="7"/>
  <c r="C34" i="7"/>
  <c r="J34" i="7" s="1"/>
  <c r="R33" i="7"/>
  <c r="H33" i="7"/>
  <c r="G33" i="7"/>
  <c r="D33" i="7"/>
  <c r="K33" i="7" s="1"/>
  <c r="C33" i="7"/>
  <c r="J33" i="7" s="1"/>
  <c r="R32" i="7"/>
  <c r="H32" i="7"/>
  <c r="G32" i="7"/>
  <c r="J32" i="7" s="1"/>
  <c r="D32" i="7"/>
  <c r="K32" i="7" s="1"/>
  <c r="C32" i="7"/>
  <c r="R31" i="7"/>
  <c r="H31" i="7"/>
  <c r="K31" i="7" s="1"/>
  <c r="G31" i="7"/>
  <c r="D31" i="7"/>
  <c r="C31" i="7"/>
  <c r="R30" i="7"/>
  <c r="J30" i="7"/>
  <c r="H30" i="7"/>
  <c r="G30" i="7"/>
  <c r="D30" i="7"/>
  <c r="C30" i="7"/>
  <c r="R29" i="7"/>
  <c r="K29" i="7"/>
  <c r="J29" i="7"/>
  <c r="H29" i="7"/>
  <c r="G29" i="7"/>
  <c r="D29" i="7"/>
  <c r="C29" i="7"/>
  <c r="R28" i="7"/>
  <c r="K28" i="7"/>
  <c r="H28" i="7"/>
  <c r="G28" i="7"/>
  <c r="D28" i="7"/>
  <c r="C28" i="7"/>
  <c r="J28" i="7" s="1"/>
  <c r="N28" i="7" s="1"/>
  <c r="R27" i="7"/>
  <c r="M27" i="7"/>
  <c r="J27" i="7"/>
  <c r="H27" i="7"/>
  <c r="G27" i="7"/>
  <c r="D27" i="7"/>
  <c r="K27" i="7" s="1"/>
  <c r="N27" i="7" s="1"/>
  <c r="C27" i="7"/>
  <c r="R26" i="7"/>
  <c r="K26" i="7"/>
  <c r="H26" i="7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J24" i="7" s="1"/>
  <c r="D24" i="7"/>
  <c r="K24" i="7" s="1"/>
  <c r="C24" i="7"/>
  <c r="R23" i="7"/>
  <c r="H23" i="7"/>
  <c r="K23" i="7" s="1"/>
  <c r="G23" i="7"/>
  <c r="D23" i="7"/>
  <c r="C23" i="7"/>
  <c r="J23" i="7" s="1"/>
  <c r="R22" i="7"/>
  <c r="J22" i="7"/>
  <c r="H22" i="7"/>
  <c r="G22" i="7"/>
  <c r="D22" i="7"/>
  <c r="K22" i="7" s="1"/>
  <c r="C22" i="7"/>
  <c r="R21" i="7"/>
  <c r="K21" i="7"/>
  <c r="J21" i="7"/>
  <c r="H21" i="7"/>
  <c r="G21" i="7"/>
  <c r="D21" i="7"/>
  <c r="C21" i="7"/>
  <c r="R20" i="7"/>
  <c r="M20" i="7"/>
  <c r="K20" i="7"/>
  <c r="H20" i="7"/>
  <c r="G20" i="7"/>
  <c r="D20" i="7"/>
  <c r="C20" i="7"/>
  <c r="J20" i="7" s="1"/>
  <c r="R19" i="7"/>
  <c r="N19" i="7"/>
  <c r="M19" i="7"/>
  <c r="K19" i="7"/>
  <c r="J19" i="7"/>
  <c r="H19" i="7"/>
  <c r="G19" i="7"/>
  <c r="D19" i="7"/>
  <c r="C19" i="7"/>
  <c r="R18" i="7"/>
  <c r="N18" i="7"/>
  <c r="K18" i="7"/>
  <c r="H18" i="7"/>
  <c r="G18" i="7"/>
  <c r="D18" i="7"/>
  <c r="C18" i="7"/>
  <c r="J18" i="7" s="1"/>
  <c r="M18" i="7" s="1"/>
  <c r="R17" i="7"/>
  <c r="H17" i="7"/>
  <c r="G17" i="7"/>
  <c r="D17" i="7"/>
  <c r="K17" i="7" s="1"/>
  <c r="C17" i="7"/>
  <c r="J17" i="7" s="1"/>
  <c r="R16" i="7"/>
  <c r="H16" i="7"/>
  <c r="G16" i="7"/>
  <c r="D16" i="7"/>
  <c r="K16" i="7" s="1"/>
  <c r="C16" i="7"/>
  <c r="R15" i="7"/>
  <c r="H15" i="7"/>
  <c r="G15" i="7"/>
  <c r="D15" i="7"/>
  <c r="K15" i="7" s="1"/>
  <c r="C15" i="7"/>
  <c r="R14" i="7"/>
  <c r="J14" i="7"/>
  <c r="H14" i="7"/>
  <c r="G14" i="7"/>
  <c r="D14" i="7"/>
  <c r="K14" i="7" s="1"/>
  <c r="C14" i="7"/>
  <c r="R13" i="7"/>
  <c r="K13" i="7"/>
  <c r="J13" i="7"/>
  <c r="H13" i="7"/>
  <c r="G13" i="7"/>
  <c r="D13" i="7"/>
  <c r="C13" i="7"/>
  <c r="R12" i="7"/>
  <c r="M12" i="7"/>
  <c r="K12" i="7"/>
  <c r="J12" i="7"/>
  <c r="N12" i="7" s="1"/>
  <c r="H12" i="7"/>
  <c r="G12" i="7"/>
  <c r="D12" i="7"/>
  <c r="C12" i="7"/>
  <c r="R11" i="7"/>
  <c r="N11" i="7"/>
  <c r="M11" i="7"/>
  <c r="K11" i="7"/>
  <c r="J11" i="7"/>
  <c r="H11" i="7"/>
  <c r="G11" i="7"/>
  <c r="D11" i="7"/>
  <c r="C11" i="7"/>
  <c r="R10" i="7"/>
  <c r="K10" i="7"/>
  <c r="H10" i="7"/>
  <c r="G10" i="7"/>
  <c r="D10" i="7"/>
  <c r="C10" i="7"/>
  <c r="J10" i="7" s="1"/>
  <c r="R9" i="7"/>
  <c r="H9" i="7"/>
  <c r="G9" i="7"/>
  <c r="D9" i="7"/>
  <c r="K9" i="7" s="1"/>
  <c r="C9" i="7"/>
  <c r="J9" i="7" s="1"/>
  <c r="R8" i="7"/>
  <c r="H8" i="7"/>
  <c r="G8" i="7"/>
  <c r="D8" i="7"/>
  <c r="K8" i="7" s="1"/>
  <c r="C8" i="7"/>
  <c r="R7" i="7"/>
  <c r="H7" i="7"/>
  <c r="G7" i="7"/>
  <c r="D7" i="7"/>
  <c r="C7" i="7"/>
  <c r="J7" i="7" s="1"/>
  <c r="R6" i="7"/>
  <c r="J6" i="7"/>
  <c r="H6" i="7"/>
  <c r="G6" i="7"/>
  <c r="G12" i="8" s="1"/>
  <c r="E93" i="8" s="1"/>
  <c r="J93" i="8" s="1"/>
  <c r="D6" i="7"/>
  <c r="C6" i="7"/>
  <c r="R5" i="7"/>
  <c r="K5" i="7"/>
  <c r="J5" i="7"/>
  <c r="H5" i="7"/>
  <c r="G5" i="7"/>
  <c r="D5" i="7"/>
  <c r="C5" i="7"/>
  <c r="R4" i="7"/>
  <c r="M4" i="7"/>
  <c r="K4" i="7"/>
  <c r="J4" i="7"/>
  <c r="H4" i="7"/>
  <c r="G4" i="7"/>
  <c r="D4" i="7"/>
  <c r="C4" i="7"/>
  <c r="Q126" i="6"/>
  <c r="O126" i="6"/>
  <c r="N126" i="6"/>
  <c r="W45" i="8" s="1"/>
  <c r="Q125" i="6"/>
  <c r="O125" i="6"/>
  <c r="N125" i="6"/>
  <c r="P125" i="6" s="1"/>
  <c r="S58" i="8" s="1"/>
  <c r="Q124" i="6"/>
  <c r="O124" i="6"/>
  <c r="T49" i="8" s="1"/>
  <c r="N124" i="6"/>
  <c r="T48" i="8" s="1"/>
  <c r="G103" i="8" s="1"/>
  <c r="Q123" i="6"/>
  <c r="O123" i="6"/>
  <c r="N123" i="6"/>
  <c r="R18" i="8" s="1"/>
  <c r="Q122" i="6"/>
  <c r="O122" i="6"/>
  <c r="U18" i="8" s="1"/>
  <c r="N122" i="6"/>
  <c r="U17" i="8" s="1"/>
  <c r="Q121" i="6"/>
  <c r="O121" i="6"/>
  <c r="N121" i="6"/>
  <c r="P121" i="6" s="1"/>
  <c r="S41" i="8" s="1"/>
  <c r="Q120" i="6"/>
  <c r="P120" i="6"/>
  <c r="T41" i="8" s="1"/>
  <c r="O120" i="6"/>
  <c r="T40" i="8" s="1"/>
  <c r="N120" i="6"/>
  <c r="T39" i="8" s="1"/>
  <c r="Q119" i="6"/>
  <c r="O119" i="6"/>
  <c r="R23" i="8" s="1"/>
  <c r="N119" i="6"/>
  <c r="R22" i="8" s="1"/>
  <c r="Q118" i="6"/>
  <c r="O118" i="6"/>
  <c r="R57" i="8" s="1"/>
  <c r="N118" i="6"/>
  <c r="R56" i="8" s="1"/>
  <c r="Q117" i="6"/>
  <c r="O117" i="6"/>
  <c r="R52" i="8" s="1"/>
  <c r="N117" i="6"/>
  <c r="R51" i="8" s="1"/>
  <c r="Q116" i="6"/>
  <c r="P116" i="6"/>
  <c r="R47" i="8" s="1"/>
  <c r="O116" i="6"/>
  <c r="R46" i="8" s="1"/>
  <c r="N116" i="6"/>
  <c r="R45" i="8" s="1"/>
  <c r="Q115" i="6"/>
  <c r="O115" i="6"/>
  <c r="O52" i="8" s="1"/>
  <c r="N115" i="6"/>
  <c r="O51" i="8" s="1"/>
  <c r="Q114" i="6"/>
  <c r="P114" i="6"/>
  <c r="P73" i="8" s="1"/>
  <c r="O114" i="6"/>
  <c r="P72" i="8" s="1"/>
  <c r="N114" i="6"/>
  <c r="P71" i="8" s="1"/>
  <c r="Q113" i="6"/>
  <c r="O113" i="6"/>
  <c r="Q41" i="8" s="1"/>
  <c r="N113" i="6"/>
  <c r="P113" i="6" s="1"/>
  <c r="Q42" i="8" s="1"/>
  <c r="Q112" i="6"/>
  <c r="P112" i="6"/>
  <c r="O41" i="8" s="1"/>
  <c r="O112" i="6"/>
  <c r="O40" i="8" s="1"/>
  <c r="N112" i="6"/>
  <c r="O39" i="8" s="1"/>
  <c r="Q111" i="6"/>
  <c r="O111" i="6"/>
  <c r="O45" i="8" s="1"/>
  <c r="N111" i="6"/>
  <c r="P111" i="6" s="1"/>
  <c r="O46" i="8" s="1"/>
  <c r="Q110" i="6"/>
  <c r="O110" i="6"/>
  <c r="N110" i="6"/>
  <c r="L14" i="8" s="1"/>
  <c r="Q109" i="6"/>
  <c r="O109" i="6"/>
  <c r="R36" i="8" s="1"/>
  <c r="N109" i="6"/>
  <c r="R35" i="8" s="1"/>
  <c r="Q108" i="6"/>
  <c r="O108" i="6"/>
  <c r="Q33" i="8" s="1"/>
  <c r="N108" i="6"/>
  <c r="Q107" i="6"/>
  <c r="O107" i="6"/>
  <c r="N30" i="8" s="1"/>
  <c r="N107" i="6"/>
  <c r="P107" i="6" s="1"/>
  <c r="N31" i="8" s="1"/>
  <c r="Q106" i="6"/>
  <c r="O106" i="6"/>
  <c r="O35" i="8" s="1"/>
  <c r="N106" i="6"/>
  <c r="O34" i="8" s="1"/>
  <c r="Q105" i="6"/>
  <c r="O105" i="6"/>
  <c r="T63" i="8" s="1"/>
  <c r="H18" i="5" s="1"/>
  <c r="N105" i="6"/>
  <c r="P105" i="6" s="1"/>
  <c r="T64" i="8" s="1"/>
  <c r="Q104" i="6"/>
  <c r="P104" i="6"/>
  <c r="S66" i="8" s="1"/>
  <c r="O104" i="6"/>
  <c r="N104" i="6"/>
  <c r="S65" i="8" s="1"/>
  <c r="Q103" i="6"/>
  <c r="O103" i="6"/>
  <c r="R63" i="8" s="1"/>
  <c r="N11" i="5" s="1"/>
  <c r="N103" i="6"/>
  <c r="P103" i="6" s="1"/>
  <c r="R64" i="8" s="1"/>
  <c r="Q102" i="6"/>
  <c r="O102" i="6"/>
  <c r="P102" i="6" s="1"/>
  <c r="O57" i="8" s="1"/>
  <c r="N102" i="6"/>
  <c r="O56" i="8" s="1"/>
  <c r="Q101" i="6"/>
  <c r="O101" i="6"/>
  <c r="N59" i="8" s="1"/>
  <c r="N101" i="6"/>
  <c r="N58" i="8" s="1"/>
  <c r="E87" i="8" s="1"/>
  <c r="J87" i="8" s="1"/>
  <c r="Q100" i="6"/>
  <c r="P100" i="6"/>
  <c r="O77" i="8" s="1"/>
  <c r="O100" i="6"/>
  <c r="N100" i="6"/>
  <c r="O76" i="8" s="1"/>
  <c r="Q99" i="6"/>
  <c r="O99" i="6"/>
  <c r="O69" i="8" s="1"/>
  <c r="N99" i="6"/>
  <c r="P99" i="6" s="1"/>
  <c r="O70" i="8" s="1"/>
  <c r="Q98" i="6"/>
  <c r="O98" i="6"/>
  <c r="L69" i="8" s="1"/>
  <c r="N98" i="6"/>
  <c r="L68" i="8" s="1"/>
  <c r="Q97" i="6"/>
  <c r="O97" i="6"/>
  <c r="M73" i="8" s="1"/>
  <c r="N97" i="6"/>
  <c r="P97" i="6" s="1"/>
  <c r="M74" i="8" s="1"/>
  <c r="Q96" i="6"/>
  <c r="P96" i="6"/>
  <c r="G76" i="8" s="1"/>
  <c r="O96" i="6"/>
  <c r="G75" i="8" s="1"/>
  <c r="N96" i="6"/>
  <c r="G74" i="8" s="1"/>
  <c r="Q95" i="6"/>
  <c r="O95" i="6"/>
  <c r="N95" i="6"/>
  <c r="M46" i="8" s="1"/>
  <c r="Q94" i="6"/>
  <c r="O94" i="6"/>
  <c r="L51" i="8" s="1"/>
  <c r="N94" i="6"/>
  <c r="Q93" i="6"/>
  <c r="O93" i="6"/>
  <c r="N93" i="6"/>
  <c r="P93" i="6" s="1"/>
  <c r="Q92" i="6"/>
  <c r="O92" i="6"/>
  <c r="K60" i="8" s="1"/>
  <c r="N92" i="6"/>
  <c r="Q91" i="6"/>
  <c r="O91" i="6"/>
  <c r="H68" i="8" s="1"/>
  <c r="N91" i="6"/>
  <c r="Q90" i="6"/>
  <c r="O90" i="6"/>
  <c r="F66" i="8" s="1"/>
  <c r="N90" i="6"/>
  <c r="F65" i="8" s="1"/>
  <c r="Q89" i="6"/>
  <c r="O89" i="6"/>
  <c r="C45" i="8" s="1"/>
  <c r="U69" i="8" s="1"/>
  <c r="N89" i="6"/>
  <c r="Q88" i="6"/>
  <c r="P88" i="6"/>
  <c r="D47" i="8" s="1"/>
  <c r="O88" i="6"/>
  <c r="N88" i="6"/>
  <c r="D46" i="8" s="1"/>
  <c r="Q87" i="6"/>
  <c r="O87" i="6"/>
  <c r="F45" i="8" s="1"/>
  <c r="N87" i="6"/>
  <c r="Q86" i="6"/>
  <c r="O86" i="6"/>
  <c r="D50" i="8" s="1"/>
  <c r="N86" i="6"/>
  <c r="D49" i="8" s="1"/>
  <c r="Q85" i="6"/>
  <c r="O85" i="6"/>
  <c r="E61" i="8" s="1"/>
  <c r="N85" i="6"/>
  <c r="Q84" i="6"/>
  <c r="P84" i="6"/>
  <c r="O84" i="6"/>
  <c r="N84" i="6"/>
  <c r="Q83" i="6"/>
  <c r="O83" i="6"/>
  <c r="E56" i="8" s="1"/>
  <c r="N83" i="6"/>
  <c r="Q82" i="6"/>
  <c r="P82" i="6"/>
  <c r="J55" i="8" s="1"/>
  <c r="O82" i="6"/>
  <c r="J54" i="8" s="1"/>
  <c r="N82" i="6"/>
  <c r="J53" i="8" s="1"/>
  <c r="Q81" i="6"/>
  <c r="O81" i="6"/>
  <c r="I58" i="8" s="1"/>
  <c r="N81" i="6"/>
  <c r="Q80" i="6"/>
  <c r="P80" i="6"/>
  <c r="G55" i="8" s="1"/>
  <c r="O80" i="6"/>
  <c r="G54" i="8" s="1"/>
  <c r="N80" i="6"/>
  <c r="G53" i="8" s="1"/>
  <c r="Q79" i="6"/>
  <c r="O79" i="6"/>
  <c r="I49" i="8" s="1"/>
  <c r="N79" i="6"/>
  <c r="Q78" i="6"/>
  <c r="O78" i="6"/>
  <c r="J45" i="8" s="1"/>
  <c r="N78" i="6"/>
  <c r="Q77" i="6"/>
  <c r="O77" i="6"/>
  <c r="N77" i="6"/>
  <c r="Q76" i="6"/>
  <c r="O76" i="6"/>
  <c r="I38" i="8" s="1"/>
  <c r="N76" i="6"/>
  <c r="Q75" i="6"/>
  <c r="P75" i="6"/>
  <c r="F33" i="8" s="1"/>
  <c r="O75" i="6"/>
  <c r="F32" i="8" s="1"/>
  <c r="N75" i="6"/>
  <c r="F31" i="8" s="1"/>
  <c r="E92" i="8" s="1"/>
  <c r="J92" i="8" s="1"/>
  <c r="Q74" i="6"/>
  <c r="O74" i="6"/>
  <c r="J35" i="8" s="1"/>
  <c r="N74" i="6"/>
  <c r="Q73" i="6"/>
  <c r="P73" i="6"/>
  <c r="I31" i="8" s="1"/>
  <c r="O73" i="6"/>
  <c r="I30" i="8" s="1"/>
  <c r="N73" i="6"/>
  <c r="I29" i="8" s="1"/>
  <c r="Q72" i="6"/>
  <c r="O72" i="6"/>
  <c r="N72" i="6"/>
  <c r="Q71" i="6"/>
  <c r="P71" i="6"/>
  <c r="I21" i="8" s="1"/>
  <c r="O71" i="6"/>
  <c r="I20" i="8" s="1"/>
  <c r="N71" i="6"/>
  <c r="I19" i="8" s="1"/>
  <c r="E89" i="8" s="1"/>
  <c r="G93" i="8" s="1"/>
  <c r="K93" i="8" s="1"/>
  <c r="Q70" i="6"/>
  <c r="O70" i="6"/>
  <c r="N70" i="6"/>
  <c r="Q69" i="6"/>
  <c r="P69" i="6"/>
  <c r="G14" i="8" s="1"/>
  <c r="O69" i="6"/>
  <c r="G13" i="8" s="1"/>
  <c r="Q68" i="6"/>
  <c r="O68" i="6"/>
  <c r="O10" i="8" s="1"/>
  <c r="N68" i="6"/>
  <c r="Q67" i="6"/>
  <c r="O67" i="6"/>
  <c r="F5" i="8" s="1"/>
  <c r="N67" i="6"/>
  <c r="F4" i="8" s="1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I20" i="5"/>
  <c r="H20" i="5"/>
  <c r="G20" i="5"/>
  <c r="H19" i="5"/>
  <c r="G19" i="5"/>
  <c r="M17" i="5"/>
  <c r="H17" i="5"/>
  <c r="N16" i="5"/>
  <c r="O16" i="5" s="1"/>
  <c r="M16" i="5"/>
  <c r="H16" i="5"/>
  <c r="N13" i="5"/>
  <c r="N12" i="5"/>
  <c r="I11" i="5"/>
  <c r="N10" i="5"/>
  <c r="H10" i="5"/>
  <c r="H14" i="5" s="1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J60" i="3" s="1"/>
  <c r="K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F22" i="1"/>
  <c r="D22" i="1"/>
  <c r="G22" i="1" s="1"/>
  <c r="C22" i="1"/>
  <c r="F21" i="1"/>
  <c r="E21" i="1"/>
  <c r="D21" i="1"/>
  <c r="G21" i="1" s="1"/>
  <c r="C21" i="1"/>
  <c r="F20" i="1"/>
  <c r="D20" i="1"/>
  <c r="G20" i="1" s="1"/>
  <c r="C20" i="1"/>
  <c r="G19" i="1"/>
  <c r="F19" i="1"/>
  <c r="D19" i="1"/>
  <c r="E19" i="1" s="1"/>
  <c r="C19" i="1"/>
  <c r="F18" i="1"/>
  <c r="D18" i="1"/>
  <c r="E18" i="1" s="1"/>
  <c r="C18" i="1"/>
  <c r="F17" i="1"/>
  <c r="E17" i="1"/>
  <c r="D17" i="1"/>
  <c r="G17" i="1" s="1"/>
  <c r="C17" i="1"/>
  <c r="G16" i="1"/>
  <c r="F16" i="1"/>
  <c r="E16" i="1"/>
  <c r="D16" i="1"/>
  <c r="F15" i="1"/>
  <c r="D15" i="1"/>
  <c r="G15" i="1" s="1"/>
  <c r="G14" i="1"/>
  <c r="F14" i="1"/>
  <c r="E14" i="1"/>
  <c r="D14" i="1"/>
  <c r="C14" i="1"/>
  <c r="F13" i="1"/>
  <c r="D13" i="1"/>
  <c r="G13" i="1" s="1"/>
  <c r="C13" i="1"/>
  <c r="F12" i="1"/>
  <c r="D12" i="1"/>
  <c r="G12" i="1" s="1"/>
  <c r="C12" i="1"/>
  <c r="F11" i="1"/>
  <c r="E11" i="1"/>
  <c r="D11" i="1"/>
  <c r="G11" i="1" s="1"/>
  <c r="C11" i="1"/>
  <c r="F10" i="1"/>
  <c r="D10" i="1"/>
  <c r="G10" i="1" s="1"/>
  <c r="C10" i="1"/>
  <c r="G9" i="1"/>
  <c r="T25" i="2" s="1"/>
  <c r="F9" i="1"/>
  <c r="F67" i="2" s="1"/>
  <c r="D9" i="1"/>
  <c r="D67" i="2" s="1"/>
  <c r="G67" i="2" s="1"/>
  <c r="F8" i="1"/>
  <c r="F62" i="2" s="1"/>
  <c r="K62" i="2" s="1"/>
  <c r="D8" i="1"/>
  <c r="G8" i="1" s="1"/>
  <c r="Q20" i="2" s="1"/>
  <c r="F6" i="1"/>
  <c r="F53" i="2" s="1"/>
  <c r="D6" i="1"/>
  <c r="G6" i="1" s="1"/>
  <c r="N11" i="2" s="1"/>
  <c r="G5" i="1"/>
  <c r="J7" i="2" s="1"/>
  <c r="F5" i="1"/>
  <c r="F49" i="2" s="1"/>
  <c r="K49" i="2" s="1"/>
  <c r="D5" i="1"/>
  <c r="E5" i="1" s="1"/>
  <c r="E49" i="2" s="1"/>
  <c r="J49" i="2" s="1"/>
  <c r="I19" i="5" l="1"/>
  <c r="I17" i="5"/>
  <c r="G99" i="8"/>
  <c r="K99" i="8"/>
  <c r="G18" i="5"/>
  <c r="I18" i="5" s="1"/>
  <c r="G14" i="5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E60" i="8"/>
  <c r="P85" i="6"/>
  <c r="E62" i="8" s="1"/>
  <c r="N29" i="7"/>
  <c r="M29" i="7"/>
  <c r="N54" i="7"/>
  <c r="M54" i="7"/>
  <c r="Q12" i="3"/>
  <c r="L15" i="8"/>
  <c r="P110" i="6"/>
  <c r="L16" i="8" s="1"/>
  <c r="N21" i="7"/>
  <c r="M21" i="7"/>
  <c r="N24" i="7"/>
  <c r="M24" i="7"/>
  <c r="N56" i="7"/>
  <c r="M56" i="7"/>
  <c r="E6" i="1"/>
  <c r="E53" i="2" s="1"/>
  <c r="J53" i="2" s="1"/>
  <c r="E8" i="1"/>
  <c r="E13" i="1"/>
  <c r="R64" i="2"/>
  <c r="T64" i="2" s="1"/>
  <c r="M91" i="2"/>
  <c r="J118" i="2" s="1"/>
  <c r="I37" i="8"/>
  <c r="P76" i="6"/>
  <c r="I39" i="8" s="1"/>
  <c r="Q32" i="8"/>
  <c r="P32" i="8" s="1"/>
  <c r="P108" i="6"/>
  <c r="Q34" i="8" s="1"/>
  <c r="M6" i="7"/>
  <c r="N23" i="7"/>
  <c r="M23" i="7"/>
  <c r="N55" i="7"/>
  <c r="M55" i="7"/>
  <c r="M59" i="7"/>
  <c r="N59" i="7"/>
  <c r="N61" i="7"/>
  <c r="M61" i="7"/>
  <c r="S67" i="2"/>
  <c r="V67" i="2" s="1"/>
  <c r="N94" i="2"/>
  <c r="K121" i="2" s="1"/>
  <c r="J44" i="8"/>
  <c r="P78" i="6"/>
  <c r="J46" i="8" s="1"/>
  <c r="S61" i="2"/>
  <c r="V61" i="2" s="1"/>
  <c r="N88" i="2"/>
  <c r="K115" i="2" s="1"/>
  <c r="N17" i="7"/>
  <c r="M17" i="7"/>
  <c r="M26" i="7"/>
  <c r="N26" i="7"/>
  <c r="N53" i="7"/>
  <c r="M53" i="7"/>
  <c r="E10" i="1"/>
  <c r="E15" i="1"/>
  <c r="G18" i="1"/>
  <c r="E20" i="1"/>
  <c r="J50" i="2"/>
  <c r="J59" i="2"/>
  <c r="R60" i="2"/>
  <c r="T60" i="2" s="1"/>
  <c r="D62" i="2"/>
  <c r="N90" i="2"/>
  <c r="K117" i="2" s="1"/>
  <c r="Q14" i="3"/>
  <c r="J57" i="3"/>
  <c r="J34" i="8"/>
  <c r="L36" i="8" s="1"/>
  <c r="P74" i="6"/>
  <c r="J36" i="8" s="1"/>
  <c r="P98" i="6"/>
  <c r="L70" i="8" s="1"/>
  <c r="N4" i="7"/>
  <c r="N5" i="7"/>
  <c r="M5" i="7"/>
  <c r="M10" i="7"/>
  <c r="N10" i="7"/>
  <c r="M34" i="7"/>
  <c r="N34" i="7"/>
  <c r="N73" i="2"/>
  <c r="K100" i="2" s="1"/>
  <c r="S46" i="2"/>
  <c r="V46" i="2" s="1"/>
  <c r="V45" i="2" s="1"/>
  <c r="AE44" i="2" s="1"/>
  <c r="I26" i="8"/>
  <c r="P72" i="6"/>
  <c r="I27" i="8" s="1"/>
  <c r="M87" i="8"/>
  <c r="O87" i="8" s="1"/>
  <c r="Q87" i="8" s="1"/>
  <c r="M12" i="5"/>
  <c r="O12" i="5" s="1"/>
  <c r="N7" i="7"/>
  <c r="M7" i="7"/>
  <c r="D7" i="1"/>
  <c r="E12" i="1"/>
  <c r="E22" i="1"/>
  <c r="AH19" i="2"/>
  <c r="I8" i="3"/>
  <c r="G56" i="3" s="1"/>
  <c r="G61" i="3" s="1"/>
  <c r="M17" i="3"/>
  <c r="AH33" i="2"/>
  <c r="Q9" i="3"/>
  <c r="N45" i="3"/>
  <c r="N50" i="3" s="1"/>
  <c r="J58" i="3"/>
  <c r="P67" i="6"/>
  <c r="F6" i="8" s="1"/>
  <c r="I16" i="8"/>
  <c r="P70" i="6"/>
  <c r="I17" i="8" s="1"/>
  <c r="P89" i="6"/>
  <c r="C46" i="8" s="1"/>
  <c r="U70" i="8" s="1"/>
  <c r="C44" i="8"/>
  <c r="U68" i="8" s="1"/>
  <c r="W46" i="8"/>
  <c r="P126" i="6"/>
  <c r="W47" i="8" s="1"/>
  <c r="N36" i="7"/>
  <c r="M36" i="7"/>
  <c r="N49" i="7"/>
  <c r="M49" i="7"/>
  <c r="M81" i="2"/>
  <c r="J108" i="2" s="1"/>
  <c r="R54" i="2"/>
  <c r="T54" i="2" s="1"/>
  <c r="E9" i="1"/>
  <c r="E67" i="2" s="1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I16" i="5"/>
  <c r="P87" i="6"/>
  <c r="F46" i="8" s="1"/>
  <c r="F44" i="8"/>
  <c r="E88" i="8" s="1"/>
  <c r="J88" i="8" s="1"/>
  <c r="K59" i="8"/>
  <c r="P92" i="6"/>
  <c r="K61" i="8" s="1"/>
  <c r="N32" i="7"/>
  <c r="M32" i="7"/>
  <c r="L50" i="8"/>
  <c r="P94" i="6"/>
  <c r="L52" i="8" s="1"/>
  <c r="AH35" i="2"/>
  <c r="N75" i="2"/>
  <c r="K102" i="2" s="1"/>
  <c r="S48" i="2"/>
  <c r="V48" i="2" s="1"/>
  <c r="M74" i="2"/>
  <c r="J101" i="2" s="1"/>
  <c r="N87" i="2"/>
  <c r="K114" i="2" s="1"/>
  <c r="P40" i="3"/>
  <c r="J49" i="3" s="1"/>
  <c r="M30" i="7"/>
  <c r="P83" i="6"/>
  <c r="E57" i="8" s="1"/>
  <c r="E55" i="8"/>
  <c r="K7" i="7"/>
  <c r="J16" i="7"/>
  <c r="N25" i="7"/>
  <c r="M25" i="7"/>
  <c r="J31" i="7"/>
  <c r="N38" i="7"/>
  <c r="M38" i="7"/>
  <c r="N44" i="7"/>
  <c r="N17" i="5"/>
  <c r="O17" i="5" s="1"/>
  <c r="O9" i="8"/>
  <c r="E94" i="8" s="1"/>
  <c r="J94" i="8" s="1"/>
  <c r="P68" i="6"/>
  <c r="O11" i="8" s="1"/>
  <c r="P81" i="6"/>
  <c r="I59" i="8" s="1"/>
  <c r="I57" i="8"/>
  <c r="P124" i="6"/>
  <c r="T50" i="8" s="1"/>
  <c r="N9" i="7"/>
  <c r="M9" i="7"/>
  <c r="N14" i="7"/>
  <c r="M14" i="7"/>
  <c r="M28" i="7"/>
  <c r="N37" i="7"/>
  <c r="M37" i="7"/>
  <c r="N40" i="7"/>
  <c r="M40" i="7"/>
  <c r="N50" i="7"/>
  <c r="N63" i="7"/>
  <c r="M63" i="7"/>
  <c r="AH25" i="2"/>
  <c r="N91" i="2"/>
  <c r="K118" i="2" s="1"/>
  <c r="P79" i="6"/>
  <c r="I50" i="8" s="1"/>
  <c r="I48" i="8"/>
  <c r="P90" i="6"/>
  <c r="F67" i="8" s="1"/>
  <c r="P106" i="6"/>
  <c r="O36" i="8" s="1"/>
  <c r="P122" i="6"/>
  <c r="U19" i="8" s="1"/>
  <c r="K6" i="7"/>
  <c r="N6" i="7" s="1"/>
  <c r="N13" i="7"/>
  <c r="M13" i="7"/>
  <c r="N20" i="7"/>
  <c r="N33" i="7"/>
  <c r="M33" i="7"/>
  <c r="J39" i="7"/>
  <c r="N46" i="7"/>
  <c r="M46" i="7"/>
  <c r="N58" i="7"/>
  <c r="M58" i="7"/>
  <c r="N60" i="7"/>
  <c r="M60" i="7"/>
  <c r="M88" i="8"/>
  <c r="O88" i="8" s="1"/>
  <c r="Q88" i="8" s="1"/>
  <c r="S54" i="2"/>
  <c r="V54" i="2" s="1"/>
  <c r="R57" i="2"/>
  <c r="T57" i="2" s="1"/>
  <c r="R65" i="2"/>
  <c r="T65" i="2" s="1"/>
  <c r="H46" i="8"/>
  <c r="P77" i="6"/>
  <c r="H47" i="8" s="1"/>
  <c r="U52" i="8"/>
  <c r="M93" i="8"/>
  <c r="O93" i="8" s="1"/>
  <c r="J15" i="7"/>
  <c r="K30" i="7"/>
  <c r="N30" i="7" s="1"/>
  <c r="N45" i="7"/>
  <c r="M45" i="7"/>
  <c r="N52" i="7"/>
  <c r="P86" i="6"/>
  <c r="D51" i="8" s="1"/>
  <c r="H67" i="8"/>
  <c r="P91" i="6"/>
  <c r="H69" i="8" s="1"/>
  <c r="P118" i="6"/>
  <c r="R58" i="8" s="1"/>
  <c r="J8" i="7"/>
  <c r="N22" i="7"/>
  <c r="M22" i="7"/>
  <c r="N41" i="7"/>
  <c r="M41" i="7"/>
  <c r="J47" i="7"/>
  <c r="N48" i="7"/>
  <c r="M48" i="7"/>
  <c r="N62" i="7"/>
  <c r="M62" i="7"/>
  <c r="Q40" i="8"/>
  <c r="AA30" i="8" s="1"/>
  <c r="Y37" i="8" s="1"/>
  <c r="V28" i="8" s="1"/>
  <c r="V30" i="8" s="1"/>
  <c r="S40" i="8"/>
  <c r="O68" i="8"/>
  <c r="M38" i="8"/>
  <c r="R62" i="8"/>
  <c r="E86" i="8" s="1"/>
  <c r="N29" i="8"/>
  <c r="O44" i="8"/>
  <c r="S57" i="8"/>
  <c r="T62" i="8"/>
  <c r="M72" i="8"/>
  <c r="P95" i="6"/>
  <c r="M47" i="8" s="1"/>
  <c r="P101" i="6"/>
  <c r="N60" i="8" s="1"/>
  <c r="P109" i="6"/>
  <c r="R37" i="8" s="1"/>
  <c r="P115" i="6"/>
  <c r="O53" i="8" s="1"/>
  <c r="P117" i="6"/>
  <c r="R53" i="8" s="1"/>
  <c r="P119" i="6"/>
  <c r="R24" i="8" s="1"/>
  <c r="P123" i="6"/>
  <c r="R19" i="8" s="1"/>
  <c r="G21" i="5" l="1"/>
  <c r="H21" i="5" s="1"/>
  <c r="I21" i="5"/>
  <c r="J86" i="8"/>
  <c r="M94" i="8"/>
  <c r="O94" i="8" s="1"/>
  <c r="Q94" i="8" s="1"/>
  <c r="M13" i="5"/>
  <c r="O13" i="5" s="1"/>
  <c r="N16" i="7"/>
  <c r="M16" i="7"/>
  <c r="R53" i="2"/>
  <c r="T53" i="2" s="1"/>
  <c r="M80" i="2"/>
  <c r="J107" i="2" s="1"/>
  <c r="Q53" i="2"/>
  <c r="K53" i="2"/>
  <c r="N47" i="7"/>
  <c r="M47" i="7"/>
  <c r="Q93" i="8"/>
  <c r="J65" i="8"/>
  <c r="J59" i="8"/>
  <c r="M86" i="2"/>
  <c r="J113" i="2" s="1"/>
  <c r="R59" i="2"/>
  <c r="T59" i="2" s="1"/>
  <c r="N15" i="7"/>
  <c r="M15" i="7"/>
  <c r="N86" i="2"/>
  <c r="K113" i="2" s="1"/>
  <c r="S59" i="2"/>
  <c r="V59" i="2" s="1"/>
  <c r="N39" i="7"/>
  <c r="M39" i="7"/>
  <c r="D57" i="8"/>
  <c r="N63" i="3"/>
  <c r="R50" i="2"/>
  <c r="T50" i="2" s="1"/>
  <c r="J52" i="2"/>
  <c r="M77" i="2"/>
  <c r="J104" i="2" s="1"/>
  <c r="J90" i="8"/>
  <c r="F38" i="8"/>
  <c r="J91" i="8" s="1"/>
  <c r="D103" i="8"/>
  <c r="F7" i="1"/>
  <c r="K56" i="2"/>
  <c r="L37" i="8"/>
  <c r="L38" i="8" s="1"/>
  <c r="O10" i="5"/>
  <c r="F37" i="8"/>
  <c r="J95" i="8"/>
  <c r="M95" i="8" s="1"/>
  <c r="O95" i="8" s="1"/>
  <c r="Q95" i="8" s="1"/>
  <c r="N31" i="7"/>
  <c r="M31" i="7"/>
  <c r="K50" i="8"/>
  <c r="R67" i="2"/>
  <c r="T67" i="2" s="1"/>
  <c r="M94" i="2"/>
  <c r="J121" i="2" s="1"/>
  <c r="Q67" i="2"/>
  <c r="K50" i="2"/>
  <c r="G62" i="2"/>
  <c r="J59" i="3" s="1"/>
  <c r="E62" i="2"/>
  <c r="J62" i="2" s="1"/>
  <c r="Y39" i="8"/>
  <c r="N8" i="7"/>
  <c r="M8" i="7"/>
  <c r="E7" i="1"/>
  <c r="E56" i="2" s="1"/>
  <c r="J56" i="2" s="1"/>
  <c r="G7" i="1"/>
  <c r="M14" i="2" s="1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B45" i="2" s="1" a="1"/>
  <c r="AB45" i="2" s="1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E99" i="8"/>
  <c r="R52" i="2"/>
  <c r="T52" i="2" s="1"/>
  <c r="M79" i="2"/>
  <c r="J106" i="2" s="1"/>
  <c r="S50" i="2"/>
  <c r="V50" i="2" s="1"/>
  <c r="N77" i="2"/>
  <c r="K104" i="2" s="1"/>
  <c r="K52" i="2"/>
  <c r="M86" i="8"/>
  <c r="O86" i="8" s="1"/>
  <c r="J99" i="8"/>
  <c r="M11" i="5"/>
  <c r="Q86" i="8" l="1"/>
  <c r="O99" i="8"/>
  <c r="O100" i="8"/>
  <c r="S52" i="2"/>
  <c r="V52" i="2" s="1"/>
  <c r="N79" i="2"/>
  <c r="K106" i="2" s="1"/>
  <c r="O11" i="5"/>
  <c r="M14" i="5"/>
  <c r="N14" i="5" s="1"/>
  <c r="O14" i="5" l="1"/>
  <c r="J36" i="5"/>
  <c r="Q99" i="8"/>
  <c r="Q10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ID#AAAAkqcS6KU
Marco Arru    (2022-12-01 22:37:35)
Usé Humedad alim Silos</t>
        </r>
      </text>
    </comment>
    <comment ref="D1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ID#AAAAkqcS6KI
Marco Arru    (2022-12-01 22:37:35)
Usé Humedad alim Silos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cPuU94NggqODqq2QBB3hsdE1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ID#AAAAkqiZktw
Marco Arru    (2022-12-01 22:37:35)
Valor arbitrario usado en balances anteriores</t>
        </r>
      </text>
    </comment>
    <comment ref="G27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ID#AAAAkqcS6Kc
Marco Arru    (2022-12-01 22:37:35)
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ID#AAAAkqiZkt4
Marco Arru    (2022-12-01 22:37:35)
Estimado proporcionmal (1000 al mes)</t>
        </r>
      </text>
    </comment>
    <comment ref="G33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ID#AAAAkqcS6Kg
Marco Arru    (2022-12-01 22:37:35)
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sharedStrings.xml><?xml version="1.0" encoding="utf-8"?>
<sst xmlns="http://schemas.openxmlformats.org/spreadsheetml/2006/main" count="515" uniqueCount="250">
  <si>
    <t>Delta Cubic</t>
  </si>
  <si>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</si>
  <si>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</si>
  <si>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</si>
  <si>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</si>
  <si>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</si>
  <si>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</si>
  <si>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</si>
  <si>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</si>
  <si>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Pilas Prec Planta Pellet</t>
  </si>
  <si>
    <t>Delta Stock Silos Molienda</t>
  </si>
  <si>
    <t>Delta TK Inventarios</t>
  </si>
  <si>
    <t>Delta Stock Pila Intermedia</t>
  </si>
  <si>
    <t>Delta Stock Pellet Feed</t>
  </si>
  <si>
    <t>Delta Stock Pila Chunk</t>
  </si>
  <si>
    <t>Delta Inventarios de Derrames</t>
  </si>
  <si>
    <t>Delta Stock Pila Emergencia</t>
  </si>
  <si>
    <t>Delta Stock Pila Chip Fresco</t>
  </si>
  <si>
    <t>Delta Stock Pellet Básico</t>
  </si>
  <si>
    <t>Delta Stock Finos Huasco</t>
  </si>
  <si>
    <t>Delta Stock Sinter Feed</t>
  </si>
  <si>
    <t>Delta Stock Pellet Chip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</si>
  <si>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</si>
  <si>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</si>
  <si>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</si>
  <si>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</si>
  <si>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</si>
  <si>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</si>
  <si>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</si>
  <si>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</si>
  <si>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</si>
  <si>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</si>
  <si>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</si>
  <si>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</si>
  <si>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</si>
  <si>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</si>
  <si>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</si>
  <si>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</si>
  <si>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</si>
  <si>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</si>
  <si>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</si>
  <si>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</si>
  <si>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</si>
  <si>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</si>
  <si>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</si>
  <si>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</si>
  <si>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</si>
  <si>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</si>
  <si>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</si>
  <si>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</si>
  <si>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</si>
  <si>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</si>
  <si>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</si>
  <si>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</si>
  <si>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</si>
  <si>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</si>
  <si>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</si>
  <si>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</si>
  <si>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</si>
  <si>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</si>
  <si>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</si>
  <si>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</si>
  <si>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</si>
  <si>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</si>
  <si>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</si>
  <si>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</si>
  <si>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</si>
  <si>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</si>
  <si>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</si>
  <si>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</si>
  <si>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</si>
  <si>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</si>
  <si>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</si>
  <si>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</si>
  <si>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</si>
  <si>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</si>
  <si>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</si>
  <si>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</si>
  <si>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</si>
  <si>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</si>
  <si>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</si>
  <si>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</si>
  <si>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</si>
  <si>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</si>
  <si>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</si>
  <si>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</si>
  <si>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</si>
  <si>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</si>
  <si>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</si>
  <si>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</si>
  <si>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</si>
  <si>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</si>
  <si>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</si>
  <si>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</si>
  <si>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</si>
  <si>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</si>
  <si>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</si>
  <si>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</si>
  <si>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Transporte Preconcentrado a P. Pellets</t>
  </si>
  <si>
    <t>Descarga trenes SF a Stock SF</t>
  </si>
  <si>
    <t>Re-Harneo a Stock Prec Planta Pellet</t>
  </si>
  <si>
    <t>Alimentacion Silos de Molienda</t>
  </si>
  <si>
    <t>Limpiezas/Rechazos de Molienda a Planta Harneo</t>
  </si>
  <si>
    <t>EMISARIO SUBMARINO</t>
  </si>
  <si>
    <t>TK Inventario a Stock Derrames</t>
  </si>
  <si>
    <t>Limpiezas de Filtrado a Planta Harneo</t>
  </si>
  <si>
    <t>Alim Pila Intermedia desde (de nodo post filtros)</t>
  </si>
  <si>
    <t>de Pila Intermedia a Balling</t>
  </si>
  <si>
    <t>Produccion de Pellet Feed desde Pila Intermedia</t>
  </si>
  <si>
    <t>Pellet Feed en Camiones</t>
  </si>
  <si>
    <t>Produccion de Pellet Feed por Correa 6 (Pesometro)</t>
  </si>
  <si>
    <t>Embarque de Pellet Feed</t>
  </si>
  <si>
    <t>Aditivo a Balling</t>
  </si>
  <si>
    <t>Aporte Oxidacion Endurecimiento</t>
  </si>
  <si>
    <t>Stock Pellet Producto en de Pila Emergencia</t>
  </si>
  <si>
    <t>Produccion de Pellet Chip por Correa 7304-1 (Pesometro)</t>
  </si>
  <si>
    <t>Produccion de Pellet Producto</t>
  </si>
  <si>
    <t>Produccion de Pellet Producto por Correa 11 (Pesometro)</t>
  </si>
  <si>
    <t>Embarque de Pellet Producto</t>
  </si>
  <si>
    <t>Intermedio Re harneo de derrames a Stock Pila de Emergencia</t>
  </si>
  <si>
    <t>Alimentacion Total a Stock Finos Huasco</t>
  </si>
  <si>
    <t>Pellet Chip harneado a finos Huasco</t>
  </si>
  <si>
    <t>Produccion de Finos Huasco</t>
  </si>
  <si>
    <t>Traspaso de F Huasco a S Feed</t>
  </si>
  <si>
    <t>Embarque de Finos Huasco</t>
  </si>
  <si>
    <t>Embarque de Sinter Feed</t>
  </si>
  <si>
    <t>Traspaso de  P Chip a P Basico</t>
  </si>
  <si>
    <t>Producc de Pellet Chip (desde reharneo Pchip) 100%</t>
  </si>
  <si>
    <t>Embarque de Pellet Chip</t>
  </si>
  <si>
    <t>Procesamiento de derrames en Planta Harneo</t>
  </si>
  <si>
    <t>Procesamiento de Chunk en Planta Harneo</t>
  </si>
  <si>
    <t>Alimentacion Harnero Producto desde Pila Emergencia</t>
  </si>
  <si>
    <t>Procesamiento de Chip en Planta de Harneo</t>
  </si>
  <si>
    <t>Inventarios</t>
  </si>
  <si>
    <t>Pellets Basico</t>
  </si>
  <si>
    <t>Pellets Chips</t>
  </si>
  <si>
    <t>Pellets Feed</t>
  </si>
  <si>
    <t>Alimentacion Silos</t>
  </si>
  <si>
    <t>Concentrado</t>
  </si>
  <si>
    <t>Recuperacion en peso</t>
  </si>
  <si>
    <t>Colas</t>
  </si>
  <si>
    <t>Preconcentrado</t>
  </si>
  <si>
    <t>Sinter</t>
  </si>
  <si>
    <t>Finos Huasco</t>
  </si>
  <si>
    <t>Granzas Cristales PP</t>
  </si>
  <si>
    <t>Granzas Cristales</t>
  </si>
  <si>
    <t>Granzas Algarrobo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</si>
  <si>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</si>
  <si>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</si>
  <si>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</si>
  <si>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</si>
  <si>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</si>
  <si>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</si>
  <si>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</si>
  <si>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</si>
  <si>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</si>
  <si>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</si>
  <si>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</si>
  <si>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</si>
  <si>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</si>
  <si>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</si>
  <si>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</si>
  <si>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</si>
  <si>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</si>
  <si>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</si>
  <si>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</si>
  <si>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</si>
  <si>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</si>
  <si>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</si>
  <si>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</si>
  <si>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</si>
  <si>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</si>
  <si>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</si>
  <si>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</si>
  <si>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</si>
  <si>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</si>
  <si>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</si>
  <si>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</si>
  <si>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</si>
  <si>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</si>
  <si>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</si>
  <si>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</si>
  <si>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</si>
  <si>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</si>
  <si>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</si>
  <si>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</si>
  <si>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</si>
  <si>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</si>
  <si>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</si>
  <si>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</si>
  <si>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</si>
  <si>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</si>
  <si>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</si>
  <si>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</si>
  <si>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</si>
  <si>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</si>
  <si>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Alimentación a TK  Inventarios</t>
  </si>
  <si>
    <t>Delta TK inventarios</t>
  </si>
  <si>
    <t>Alimentación Filtrado</t>
  </si>
  <si>
    <t xml:space="preserve">Alim Nodo Productos Filtrados  </t>
  </si>
  <si>
    <t>De filtros a Balling</t>
  </si>
  <si>
    <t>Filtrado a Stock Derrames</t>
  </si>
  <si>
    <t>de Pila Intermadia a Stok Pellet Feed</t>
  </si>
  <si>
    <t>a Stock Pellet Feed (de nodo post filtros)</t>
  </si>
  <si>
    <t>A embarque de Stock Pellet Feed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</si>
  <si>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</si>
  <si>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</si>
  <si>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</si>
  <si>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</si>
  <si>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</si>
  <si>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</si>
  <si>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</si>
  <si>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</si>
  <si>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</si>
  <si>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</si>
  <si>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</si>
  <si>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</si>
  <si>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</si>
  <si>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</si>
  <si>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</si>
  <si>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</si>
  <si>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</si>
  <si>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</si>
  <si>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</si>
  <si>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</si>
  <si>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</si>
  <si>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</si>
  <si>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</si>
  <si>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A embarque desde Stock Finos Huasco</t>
  </si>
  <si>
    <t>A embarque desde Stock Sinter Feed</t>
  </si>
  <si>
    <t>A embarque desde Stock Pellet Chip</t>
  </si>
  <si>
    <t>Total Embarcado</t>
  </si>
  <si>
    <t xml:space="preserve"> </t>
  </si>
  <si>
    <t>PRODUCCIÓN BALANCE</t>
  </si>
  <si>
    <t>AJUSTES</t>
  </si>
  <si>
    <t>EMBARQUE</t>
  </si>
  <si>
    <t>Ingreso
31</t>
  </si>
  <si>
    <t>Salida
31</t>
  </si>
  <si>
    <t>Producción Mes</t>
  </si>
  <si>
    <t>Embarque Mes</t>
  </si>
  <si>
    <t>SAP INICIAL</t>
  </si>
  <si>
    <t>SAP FINAL</t>
  </si>
  <si>
    <t>CUBICACIÓN</t>
  </si>
  <si>
    <t>DIFERENCIA</t>
  </si>
  <si>
    <t>Costo</t>
  </si>
  <si>
    <t>Existencia Contable</t>
  </si>
  <si>
    <t>Pellets Básico</t>
  </si>
  <si>
    <t>Alimentación Silos</t>
  </si>
  <si>
    <t>Recuperación en peso</t>
  </si>
  <si>
    <t>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</si>
</sst>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0.00000"/>
  </numFmts>
  <fonts count="42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rgb="FF44546A"/>
      <name val="Calibri"/>
      <family val="2"/>
    </font>
    <font>
      <b/>
      <sz val="11"/>
      <color rgb="FF00B05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theme="9"/>
      <name val="Calibri"/>
      <family val="2"/>
    </font>
    <font>
      <sz val="12"/>
      <color rgb="FF00B050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</fills>
  <borders count="8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3" fontId="2" fillId="3" borderId="1" xfId="0" applyNumberFormat="1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3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/>
    <xf numFmtId="0" fontId="1" fillId="4" borderId="3" xfId="0" applyFont="1" applyFill="1" applyBorder="1" applyAlignment="1">
      <alignment vertical="center"/>
    </xf>
    <xf numFmtId="0" fontId="1" fillId="0" borderId="4" xfId="0" applyFont="1" applyBorder="1"/>
    <xf numFmtId="3" fontId="4" fillId="4" borderId="1" xfId="0" applyNumberFormat="1" applyFont="1" applyFill="1" applyBorder="1"/>
    <xf numFmtId="10" fontId="4" fillId="4" borderId="1" xfId="0" applyNumberFormat="1" applyFont="1" applyFill="1" applyBorder="1"/>
    <xf numFmtId="3" fontId="1" fillId="0" borderId="0" xfId="0" applyNumberFormat="1" applyFont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7" fillId="0" borderId="0" xfId="0" applyFont="1"/>
    <xf numFmtId="3" fontId="1" fillId="0" borderId="0" xfId="0" applyNumberFormat="1" applyFont="1" applyAlignment="1">
      <alignment horizontal="center"/>
    </xf>
    <xf numFmtId="0" fontId="8" fillId="4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9" borderId="5" xfId="0" applyFont="1" applyFill="1" applyBorder="1"/>
    <xf numFmtId="0" fontId="1" fillId="10" borderId="5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0" fontId="8" fillId="4" borderId="5" xfId="0" applyNumberFormat="1" applyFont="1" applyFill="1" applyBorder="1"/>
    <xf numFmtId="3" fontId="12" fillId="0" borderId="1" xfId="0" applyNumberFormat="1" applyFont="1" applyBorder="1"/>
    <xf numFmtId="10" fontId="12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1" borderId="1" xfId="0" applyNumberFormat="1" applyFont="1" applyFill="1" applyBorder="1"/>
    <xf numFmtId="10" fontId="13" fillId="0" borderId="1" xfId="0" applyNumberFormat="1" applyFont="1" applyBorder="1"/>
    <xf numFmtId="164" fontId="1" fillId="0" borderId="1" xfId="0" applyNumberFormat="1" applyFont="1" applyBorder="1"/>
    <xf numFmtId="0" fontId="14" fillId="2" borderId="1" xfId="0" applyFont="1" applyFill="1" applyBorder="1"/>
    <xf numFmtId="0" fontId="15" fillId="0" borderId="0" xfId="0" applyFont="1"/>
    <xf numFmtId="3" fontId="8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8" borderId="1" xfId="0" applyNumberFormat="1" applyFont="1" applyFill="1" applyBorder="1"/>
    <xf numFmtId="10" fontId="1" fillId="8" borderId="1" xfId="0" applyNumberFormat="1" applyFont="1" applyFill="1" applyBorder="1"/>
    <xf numFmtId="3" fontId="1" fillId="6" borderId="5" xfId="0" applyNumberFormat="1" applyFont="1" applyFill="1" applyBorder="1"/>
    <xf numFmtId="0" fontId="14" fillId="2" borderId="2" xfId="0" applyFont="1" applyFill="1" applyBorder="1"/>
    <xf numFmtId="3" fontId="12" fillId="0" borderId="15" xfId="0" applyNumberFormat="1" applyFont="1" applyBorder="1"/>
    <xf numFmtId="10" fontId="12" fillId="0" borderId="15" xfId="0" applyNumberFormat="1" applyFont="1" applyBorder="1"/>
    <xf numFmtId="3" fontId="1" fillId="0" borderId="15" xfId="0" applyNumberFormat="1" applyFont="1" applyBorder="1"/>
    <xf numFmtId="10" fontId="1" fillId="0" borderId="15" xfId="0" applyNumberFormat="1" applyFont="1" applyBorder="1"/>
    <xf numFmtId="164" fontId="1" fillId="0" borderId="15" xfId="0" applyNumberFormat="1" applyFont="1" applyBorder="1"/>
    <xf numFmtId="0" fontId="8" fillId="4" borderId="16" xfId="0" applyFont="1" applyFill="1" applyBorder="1"/>
    <xf numFmtId="3" fontId="12" fillId="0" borderId="17" xfId="0" applyNumberFormat="1" applyFont="1" applyBorder="1"/>
    <xf numFmtId="10" fontId="12" fillId="0" borderId="17" xfId="0" applyNumberFormat="1" applyFont="1" applyBorder="1"/>
    <xf numFmtId="3" fontId="1" fillId="0" borderId="17" xfId="0" applyNumberFormat="1" applyFont="1" applyBorder="1"/>
    <xf numFmtId="10" fontId="1" fillId="0" borderId="17" xfId="0" applyNumberFormat="1" applyFont="1" applyBorder="1"/>
    <xf numFmtId="3" fontId="1" fillId="0" borderId="7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4" fillId="2" borderId="5" xfId="0" applyFont="1" applyFill="1" applyBorder="1"/>
    <xf numFmtId="0" fontId="14" fillId="0" borderId="0" xfId="0" applyFont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3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left"/>
    </xf>
    <xf numFmtId="10" fontId="17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left"/>
    </xf>
    <xf numFmtId="0" fontId="19" fillId="12" borderId="1" xfId="0" applyFont="1" applyFill="1" applyBorder="1"/>
    <xf numFmtId="10" fontId="19" fillId="12" borderId="1" xfId="0" applyNumberFormat="1" applyFont="1" applyFill="1" applyBorder="1" applyAlignment="1">
      <alignment horizontal="center"/>
    </xf>
    <xf numFmtId="3" fontId="1" fillId="0" borderId="21" xfId="0" applyNumberFormat="1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1" fillId="0" borderId="0" xfId="0" applyFont="1"/>
    <xf numFmtId="0" fontId="1" fillId="0" borderId="1" xfId="0" applyFont="1" applyBorder="1" applyAlignment="1">
      <alignment horizontal="left"/>
    </xf>
    <xf numFmtId="3" fontId="20" fillId="0" borderId="1" xfId="0" applyNumberFormat="1" applyFont="1" applyBorder="1"/>
    <xf numFmtId="3" fontId="17" fillId="0" borderId="1" xfId="0" applyNumberFormat="1" applyFont="1" applyBorder="1" applyAlignment="1">
      <alignment horizontal="left"/>
    </xf>
    <xf numFmtId="0" fontId="11" fillId="0" borderId="8" xfId="0" applyFont="1" applyBorder="1"/>
    <xf numFmtId="0" fontId="10" fillId="0" borderId="9" xfId="0" applyFont="1" applyBorder="1"/>
    <xf numFmtId="0" fontId="10" fillId="0" borderId="8" xfId="0" applyFont="1" applyBorder="1"/>
    <xf numFmtId="3" fontId="10" fillId="0" borderId="1" xfId="0" applyNumberFormat="1" applyFont="1" applyBorder="1" applyAlignment="1">
      <alignment horizontal="center"/>
    </xf>
    <xf numFmtId="0" fontId="10" fillId="0" borderId="0" xfId="0" applyFont="1"/>
    <xf numFmtId="3" fontId="10" fillId="0" borderId="0" xfId="0" applyNumberFormat="1" applyFont="1" applyAlignment="1">
      <alignment horizontal="center"/>
    </xf>
    <xf numFmtId="0" fontId="21" fillId="2" borderId="16" xfId="0" applyFont="1" applyFill="1" applyBorder="1"/>
    <xf numFmtId="1" fontId="22" fillId="0" borderId="17" xfId="0" applyNumberFormat="1" applyFont="1" applyBorder="1"/>
    <xf numFmtId="10" fontId="21" fillId="0" borderId="17" xfId="0" applyNumberFormat="1" applyFont="1" applyBorder="1"/>
    <xf numFmtId="10" fontId="22" fillId="0" borderId="28" xfId="0" applyNumberFormat="1" applyFont="1" applyBorder="1" applyAlignment="1">
      <alignment horizontal="right"/>
    </xf>
    <xf numFmtId="3" fontId="8" fillId="0" borderId="4" xfId="0" applyNumberFormat="1" applyFont="1" applyBorder="1"/>
    <xf numFmtId="0" fontId="22" fillId="2" borderId="13" xfId="0" applyFont="1" applyFill="1" applyBorder="1" applyAlignment="1">
      <alignment horizontal="left"/>
    </xf>
    <xf numFmtId="1" fontId="22" fillId="0" borderId="1" xfId="0" applyNumberFormat="1" applyFont="1" applyBorder="1"/>
    <xf numFmtId="10" fontId="22" fillId="0" borderId="1" xfId="0" applyNumberFormat="1" applyFont="1" applyBorder="1"/>
    <xf numFmtId="10" fontId="22" fillId="0" borderId="8" xfId="0" applyNumberFormat="1" applyFont="1" applyBorder="1" applyAlignment="1">
      <alignment horizontal="right"/>
    </xf>
    <xf numFmtId="0" fontId="22" fillId="2" borderId="29" xfId="0" applyFont="1" applyFill="1" applyBorder="1" applyAlignment="1">
      <alignment horizontal="left"/>
    </xf>
    <xf numFmtId="1" fontId="22" fillId="0" borderId="30" xfId="0" applyNumberFormat="1" applyFont="1" applyBorder="1"/>
    <xf numFmtId="10" fontId="22" fillId="0" borderId="30" xfId="0" applyNumberFormat="1" applyFont="1" applyBorder="1"/>
    <xf numFmtId="10" fontId="22" fillId="0" borderId="31" xfId="0" applyNumberFormat="1" applyFont="1" applyBorder="1" applyAlignment="1">
      <alignment horizontal="right"/>
    </xf>
    <xf numFmtId="1" fontId="22" fillId="0" borderId="1" xfId="0" applyNumberFormat="1" applyFont="1" applyBorder="1" applyAlignment="1">
      <alignment horizontal="right" vertical="center"/>
    </xf>
    <xf numFmtId="10" fontId="22" fillId="0" borderId="1" xfId="0" applyNumberFormat="1" applyFont="1" applyBorder="1" applyAlignment="1">
      <alignment horizontal="right" vertical="center"/>
    </xf>
    <xf numFmtId="0" fontId="21" fillId="2" borderId="13" xfId="0" applyFont="1" applyFill="1" applyBorder="1"/>
    <xf numFmtId="0" fontId="21" fillId="2" borderId="32" xfId="0" applyFont="1" applyFill="1" applyBorder="1"/>
    <xf numFmtId="0" fontId="21" fillId="2" borderId="33" xfId="0" applyFont="1" applyFill="1" applyBorder="1"/>
    <xf numFmtId="0" fontId="21" fillId="2" borderId="34" xfId="0" applyFont="1" applyFill="1" applyBorder="1"/>
    <xf numFmtId="10" fontId="22" fillId="0" borderId="1" xfId="0" applyNumberFormat="1" applyFont="1" applyBorder="1" applyAlignment="1">
      <alignment horizontal="right"/>
    </xf>
    <xf numFmtId="0" fontId="21" fillId="2" borderId="1" xfId="0" applyFont="1" applyFill="1" applyBorder="1"/>
    <xf numFmtId="0" fontId="21" fillId="2" borderId="2" xfId="0" applyFont="1" applyFill="1" applyBorder="1"/>
    <xf numFmtId="1" fontId="22" fillId="0" borderId="15" xfId="0" applyNumberFormat="1" applyFont="1" applyBorder="1"/>
    <xf numFmtId="10" fontId="22" fillId="0" borderId="15" xfId="0" applyNumberFormat="1" applyFont="1" applyBorder="1"/>
    <xf numFmtId="10" fontId="22" fillId="0" borderId="15" xfId="0" applyNumberFormat="1" applyFont="1" applyBorder="1" applyAlignment="1">
      <alignment horizontal="right"/>
    </xf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right"/>
    </xf>
    <xf numFmtId="0" fontId="22" fillId="14" borderId="1" xfId="0" applyFont="1" applyFill="1" applyBorder="1"/>
    <xf numFmtId="1" fontId="22" fillId="14" borderId="1" xfId="0" applyNumberFormat="1" applyFont="1" applyFill="1" applyBorder="1"/>
    <xf numFmtId="10" fontId="22" fillId="14" borderId="1" xfId="0" applyNumberFormat="1" applyFont="1" applyFill="1" applyBorder="1" applyAlignment="1">
      <alignment horizontal="right"/>
    </xf>
    <xf numFmtId="0" fontId="23" fillId="15" borderId="6" xfId="0" applyFont="1" applyFill="1" applyBorder="1" applyAlignment="1">
      <alignment horizontal="center" vertical="center"/>
    </xf>
    <xf numFmtId="0" fontId="23" fillId="15" borderId="35" xfId="0" applyFont="1" applyFill="1" applyBorder="1" applyAlignment="1">
      <alignment horizontal="center" vertical="center"/>
    </xf>
    <xf numFmtId="0" fontId="23" fillId="0" borderId="7" xfId="0" applyFont="1" applyBorder="1"/>
    <xf numFmtId="0" fontId="23" fillId="0" borderId="20" xfId="0" applyFont="1" applyBorder="1"/>
    <xf numFmtId="0" fontId="23" fillId="15" borderId="36" xfId="0" applyFont="1" applyFill="1" applyBorder="1" applyAlignment="1">
      <alignment horizontal="center" vertical="center"/>
    </xf>
    <xf numFmtId="0" fontId="23" fillId="15" borderId="5" xfId="0" applyFont="1" applyFill="1" applyBorder="1" applyAlignment="1">
      <alignment horizontal="center" vertical="center"/>
    </xf>
    <xf numFmtId="0" fontId="23" fillId="0" borderId="22" xfId="0" applyFont="1" applyBorder="1"/>
    <xf numFmtId="0" fontId="23" fillId="15" borderId="5" xfId="0" applyFont="1" applyFill="1" applyBorder="1"/>
    <xf numFmtId="14" fontId="23" fillId="15" borderId="5" xfId="0" applyNumberFormat="1" applyFont="1" applyFill="1" applyBorder="1"/>
    <xf numFmtId="0" fontId="23" fillId="0" borderId="21" xfId="0" applyFont="1" applyBorder="1"/>
    <xf numFmtId="0" fontId="25" fillId="0" borderId="0" xfId="0" applyFont="1"/>
    <xf numFmtId="0" fontId="26" fillId="15" borderId="17" xfId="0" applyFont="1" applyFill="1" applyBorder="1" applyAlignment="1">
      <alignment horizontal="center" vertical="center"/>
    </xf>
    <xf numFmtId="0" fontId="26" fillId="15" borderId="18" xfId="0" applyFont="1" applyFill="1" applyBorder="1" applyAlignment="1">
      <alignment horizontal="center" vertical="center"/>
    </xf>
    <xf numFmtId="0" fontId="26" fillId="15" borderId="30" xfId="0" applyFont="1" applyFill="1" applyBorder="1" applyAlignment="1">
      <alignment horizontal="center" vertical="center"/>
    </xf>
    <xf numFmtId="0" fontId="26" fillId="15" borderId="51" xfId="0" applyFont="1" applyFill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10" fontId="25" fillId="0" borderId="1" xfId="0" applyNumberFormat="1" applyFont="1" applyBorder="1" applyAlignment="1">
      <alignment horizontal="center" vertical="center"/>
    </xf>
    <xf numFmtId="166" fontId="25" fillId="15" borderId="14" xfId="0" applyNumberFormat="1" applyFont="1" applyFill="1" applyBorder="1" applyAlignment="1">
      <alignment horizontal="center" vertical="center"/>
    </xf>
    <xf numFmtId="166" fontId="25" fillId="0" borderId="17" xfId="0" applyNumberFormat="1" applyFont="1" applyBorder="1" applyAlignment="1">
      <alignment horizontal="center" vertical="center"/>
    </xf>
    <xf numFmtId="10" fontId="25" fillId="0" borderId="17" xfId="0" applyNumberFormat="1" applyFont="1" applyBorder="1" applyAlignment="1">
      <alignment horizontal="center" vertical="center"/>
    </xf>
    <xf numFmtId="166" fontId="25" fillId="0" borderId="15" xfId="0" applyNumberFormat="1" applyFont="1" applyBorder="1" applyAlignment="1">
      <alignment horizontal="center" vertical="center"/>
    </xf>
    <xf numFmtId="10" fontId="25" fillId="0" borderId="15" xfId="0" applyNumberFormat="1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166" fontId="25" fillId="0" borderId="60" xfId="0" applyNumberFormat="1" applyFont="1" applyBorder="1" applyAlignment="1">
      <alignment horizontal="center" vertical="center"/>
    </xf>
    <xf numFmtId="167" fontId="23" fillId="0" borderId="0" xfId="0" applyNumberFormat="1" applyFont="1"/>
    <xf numFmtId="166" fontId="26" fillId="11" borderId="64" xfId="0" applyNumberFormat="1" applyFont="1" applyFill="1" applyBorder="1" applyAlignment="1">
      <alignment horizontal="center" vertical="center" wrapText="1"/>
    </xf>
    <xf numFmtId="10" fontId="26" fillId="11" borderId="64" xfId="0" applyNumberFormat="1" applyFont="1" applyFill="1" applyBorder="1" applyAlignment="1">
      <alignment horizontal="center" vertical="center" wrapText="1"/>
    </xf>
    <xf numFmtId="168" fontId="23" fillId="0" borderId="0" xfId="0" applyNumberFormat="1" applyFont="1"/>
    <xf numFmtId="0" fontId="25" fillId="0" borderId="26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169" fontId="23" fillId="0" borderId="0" xfId="0" applyNumberFormat="1" applyFont="1"/>
    <xf numFmtId="166" fontId="26" fillId="11" borderId="64" xfId="0" applyNumberFormat="1" applyFont="1" applyFill="1" applyBorder="1" applyAlignment="1">
      <alignment horizontal="center" vertical="center"/>
    </xf>
    <xf numFmtId="10" fontId="26" fillId="11" borderId="64" xfId="0" applyNumberFormat="1" applyFont="1" applyFill="1" applyBorder="1" applyAlignment="1">
      <alignment horizontal="center" vertical="center"/>
    </xf>
    <xf numFmtId="166" fontId="26" fillId="11" borderId="67" xfId="0" applyNumberFormat="1" applyFont="1" applyFill="1" applyBorder="1" applyAlignment="1">
      <alignment horizontal="center" vertical="center"/>
    </xf>
    <xf numFmtId="0" fontId="28" fillId="0" borderId="0" xfId="0" applyFont="1"/>
    <xf numFmtId="0" fontId="6" fillId="0" borderId="0" xfId="0" applyFont="1"/>
    <xf numFmtId="170" fontId="29" fillId="0" borderId="0" xfId="0" applyNumberFormat="1" applyFont="1" applyAlignment="1">
      <alignment horizontal="center" vertical="center"/>
    </xf>
    <xf numFmtId="167" fontId="30" fillId="0" borderId="0" xfId="0" applyNumberFormat="1" applyFont="1" applyAlignment="1">
      <alignment horizontal="center" vertical="center"/>
    </xf>
    <xf numFmtId="166" fontId="30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166" fontId="27" fillId="0" borderId="0" xfId="0" applyNumberFormat="1" applyFont="1" applyAlignment="1">
      <alignment horizontal="center" vertical="center"/>
    </xf>
    <xf numFmtId="170" fontId="31" fillId="0" borderId="0" xfId="0" applyNumberFormat="1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0" fontId="27" fillId="17" borderId="64" xfId="0" applyFont="1" applyFill="1" applyBorder="1" applyAlignment="1">
      <alignment horizontal="center" vertical="center"/>
    </xf>
    <xf numFmtId="0" fontId="27" fillId="17" borderId="67" xfId="0" applyFont="1" applyFill="1" applyBorder="1" applyAlignment="1">
      <alignment horizontal="center" vertical="center"/>
    </xf>
    <xf numFmtId="0" fontId="27" fillId="17" borderId="68" xfId="0" applyFont="1" applyFill="1" applyBorder="1" applyAlignment="1">
      <alignment horizontal="center" vertical="center"/>
    </xf>
    <xf numFmtId="0" fontId="27" fillId="17" borderId="69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6" fontId="23" fillId="0" borderId="22" xfId="0" applyNumberFormat="1" applyFont="1" applyBorder="1"/>
    <xf numFmtId="166" fontId="25" fillId="0" borderId="70" xfId="0" applyNumberFormat="1" applyFont="1" applyBorder="1" applyAlignment="1">
      <alignment horizontal="center" vertical="center"/>
    </xf>
    <xf numFmtId="10" fontId="25" fillId="0" borderId="71" xfId="0" applyNumberFormat="1" applyFont="1" applyBorder="1" applyAlignment="1">
      <alignment horizontal="center" vertical="center"/>
    </xf>
    <xf numFmtId="166" fontId="25" fillId="15" borderId="72" xfId="0" applyNumberFormat="1" applyFont="1" applyFill="1" applyBorder="1" applyAlignment="1">
      <alignment horizontal="center" vertical="center"/>
    </xf>
    <xf numFmtId="166" fontId="25" fillId="0" borderId="13" xfId="0" applyNumberFormat="1" applyFont="1" applyBorder="1" applyAlignment="1">
      <alignment horizontal="center" vertical="center"/>
    </xf>
    <xf numFmtId="166" fontId="25" fillId="6" borderId="73" xfId="0" applyNumberFormat="1" applyFont="1" applyFill="1" applyBorder="1" applyAlignment="1">
      <alignment horizontal="center" vertical="center"/>
    </xf>
    <xf numFmtId="168" fontId="30" fillId="0" borderId="0" xfId="0" applyNumberFormat="1" applyFont="1" applyAlignment="1">
      <alignment horizontal="center" vertical="center"/>
    </xf>
    <xf numFmtId="167" fontId="29" fillId="0" borderId="0" xfId="0" applyNumberFormat="1" applyFont="1" applyAlignment="1">
      <alignment horizontal="center" vertical="center"/>
    </xf>
    <xf numFmtId="171" fontId="23" fillId="0" borderId="0" xfId="0" applyNumberFormat="1" applyFont="1"/>
    <xf numFmtId="0" fontId="25" fillId="0" borderId="55" xfId="0" applyFont="1" applyBorder="1" applyAlignment="1">
      <alignment vertical="center"/>
    </xf>
    <xf numFmtId="166" fontId="25" fillId="15" borderId="3" xfId="0" applyNumberFormat="1" applyFont="1" applyFill="1" applyBorder="1" applyAlignment="1">
      <alignment horizontal="center" vertical="center"/>
    </xf>
    <xf numFmtId="166" fontId="25" fillId="6" borderId="14" xfId="0" applyNumberFormat="1" applyFont="1" applyFill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166" fontId="25" fillId="0" borderId="43" xfId="0" applyNumberFormat="1" applyFont="1" applyBorder="1" applyAlignment="1">
      <alignment horizontal="center" vertical="center"/>
    </xf>
    <xf numFmtId="166" fontId="25" fillId="0" borderId="74" xfId="0" applyNumberFormat="1" applyFont="1" applyBorder="1" applyAlignment="1">
      <alignment horizontal="center" vertical="center"/>
    </xf>
    <xf numFmtId="166" fontId="25" fillId="6" borderId="75" xfId="0" applyNumberFormat="1" applyFont="1" applyFill="1" applyBorder="1" applyAlignment="1">
      <alignment horizontal="center" vertical="center"/>
    </xf>
    <xf numFmtId="166" fontId="25" fillId="0" borderId="30" xfId="0" applyNumberFormat="1" applyFont="1" applyBorder="1" applyAlignment="1">
      <alignment horizontal="center" vertical="center"/>
    </xf>
    <xf numFmtId="10" fontId="25" fillId="0" borderId="30" xfId="0" applyNumberFormat="1" applyFont="1" applyBorder="1" applyAlignment="1">
      <alignment horizontal="center" vertical="center"/>
    </xf>
    <xf numFmtId="166" fontId="25" fillId="15" borderId="76" xfId="0" applyNumberFormat="1" applyFont="1" applyFill="1" applyBorder="1" applyAlignment="1">
      <alignment horizontal="center" vertical="center"/>
    </xf>
    <xf numFmtId="166" fontId="26" fillId="11" borderId="77" xfId="0" applyNumberFormat="1" applyFont="1" applyFill="1" applyBorder="1" applyAlignment="1">
      <alignment horizontal="center" vertical="center"/>
    </xf>
    <xf numFmtId="166" fontId="26" fillId="11" borderId="33" xfId="0" applyNumberFormat="1" applyFont="1" applyFill="1" applyBorder="1" applyAlignment="1">
      <alignment horizontal="center" vertical="center"/>
    </xf>
    <xf numFmtId="0" fontId="23" fillId="0" borderId="62" xfId="0" applyFont="1" applyBorder="1"/>
    <xf numFmtId="3" fontId="32" fillId="0" borderId="0" xfId="0" applyNumberFormat="1" applyFont="1" applyAlignment="1">
      <alignment horizontal="right" vertical="center"/>
    </xf>
    <xf numFmtId="3" fontId="32" fillId="0" borderId="0" xfId="0" applyNumberFormat="1" applyFont="1" applyAlignment="1">
      <alignment horizontal="right"/>
    </xf>
    <xf numFmtId="172" fontId="32" fillId="0" borderId="0" xfId="0" applyNumberFormat="1" applyFont="1" applyAlignment="1">
      <alignment horizontal="center" vertical="center"/>
    </xf>
    <xf numFmtId="9" fontId="32" fillId="12" borderId="5" xfId="0" applyNumberFormat="1" applyFont="1" applyFill="1" applyBorder="1" applyAlignment="1">
      <alignment horizontal="center"/>
    </xf>
    <xf numFmtId="0" fontId="32" fillId="12" borderId="5" xfId="0" applyFont="1" applyFill="1" applyBorder="1" applyAlignment="1">
      <alignment horizontal="center"/>
    </xf>
    <xf numFmtId="9" fontId="23" fillId="12" borderId="5" xfId="0" applyNumberFormat="1" applyFont="1" applyFill="1" applyBorder="1" applyAlignment="1">
      <alignment horizontal="center"/>
    </xf>
    <xf numFmtId="2" fontId="23" fillId="12" borderId="5" xfId="0" applyNumberFormat="1" applyFont="1" applyFill="1" applyBorder="1" applyAlignment="1">
      <alignment horizontal="center"/>
    </xf>
    <xf numFmtId="166" fontId="23" fillId="12" borderId="5" xfId="0" applyNumberFormat="1" applyFont="1" applyFill="1" applyBorder="1" applyAlignment="1">
      <alignment horizontal="center"/>
    </xf>
    <xf numFmtId="168" fontId="23" fillId="0" borderId="0" xfId="0" applyNumberFormat="1" applyFont="1" applyAlignment="1">
      <alignment horizontal="center" vertical="center"/>
    </xf>
    <xf numFmtId="9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23" xfId="0" applyFont="1" applyBorder="1"/>
    <xf numFmtId="0" fontId="23" fillId="0" borderId="24" xfId="0" applyFont="1" applyBorder="1"/>
    <xf numFmtId="0" fontId="23" fillId="0" borderId="25" xfId="0" applyFont="1" applyBorder="1"/>
    <xf numFmtId="10" fontId="23" fillId="0" borderId="0" xfId="0" applyNumberFormat="1" applyFont="1"/>
    <xf numFmtId="0" fontId="35" fillId="0" borderId="0" xfId="0" applyFont="1"/>
    <xf numFmtId="10" fontId="35" fillId="0" borderId="0" xfId="0" applyNumberFormat="1" applyFont="1"/>
    <xf numFmtId="10" fontId="1" fillId="12" borderId="5" xfId="0" applyNumberFormat="1" applyFont="1" applyFill="1" applyBorder="1"/>
    <xf numFmtId="0" fontId="35" fillId="12" borderId="5" xfId="0" applyFont="1" applyFill="1" applyBorder="1"/>
    <xf numFmtId="0" fontId="36" fillId="12" borderId="5" xfId="0" applyFont="1" applyFill="1" applyBorder="1"/>
    <xf numFmtId="0" fontId="36" fillId="12" borderId="5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10" fontId="35" fillId="12" borderId="5" xfId="0" applyNumberFormat="1" applyFont="1" applyFill="1" applyBorder="1"/>
    <xf numFmtId="0" fontId="1" fillId="12" borderId="5" xfId="0" applyFont="1" applyFill="1" applyBorder="1"/>
    <xf numFmtId="0" fontId="1" fillId="0" borderId="0" xfId="0" applyFont="1" applyAlignment="1">
      <alignment wrapText="1"/>
    </xf>
    <xf numFmtId="0" fontId="1" fillId="12" borderId="5" xfId="0" applyFont="1" applyFill="1" applyBorder="1" applyAlignment="1">
      <alignment horizontal="center"/>
    </xf>
    <xf numFmtId="1" fontId="1" fillId="1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8" fillId="0" borderId="0" xfId="0" applyNumberFormat="1" applyFont="1"/>
    <xf numFmtId="3" fontId="8" fillId="12" borderId="5" xfId="0" applyNumberFormat="1" applyFont="1" applyFill="1" applyBorder="1"/>
    <xf numFmtId="10" fontId="8" fillId="12" borderId="5" xfId="0" applyNumberFormat="1" applyFont="1" applyFill="1" applyBorder="1"/>
    <xf numFmtId="1" fontId="1" fillId="12" borderId="5" xfId="0" applyNumberFormat="1" applyFont="1" applyFill="1" applyBorder="1"/>
    <xf numFmtId="9" fontId="1" fillId="12" borderId="5" xfId="0" applyNumberFormat="1" applyFont="1" applyFill="1" applyBorder="1"/>
    <xf numFmtId="164" fontId="1" fillId="0" borderId="0" xfId="0" applyNumberFormat="1" applyFont="1"/>
    <xf numFmtId="10" fontId="1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2" borderId="5" xfId="0" applyNumberFormat="1" applyFont="1" applyFill="1" applyBorder="1"/>
    <xf numFmtId="3" fontId="35" fillId="12" borderId="5" xfId="0" applyNumberFormat="1" applyFont="1" applyFill="1" applyBorder="1"/>
    <xf numFmtId="164" fontId="35" fillId="12" borderId="5" xfId="0" applyNumberFormat="1" applyFont="1" applyFill="1" applyBorder="1"/>
    <xf numFmtId="3" fontId="37" fillId="12" borderId="5" xfId="0" applyNumberFormat="1" applyFont="1" applyFill="1" applyBorder="1" applyAlignment="1">
      <alignment horizontal="center" vertical="center"/>
    </xf>
    <xf numFmtId="0" fontId="38" fillId="0" borderId="0" xfId="0" applyFont="1"/>
    <xf numFmtId="10" fontId="1" fillId="12" borderId="5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5" fillId="12" borderId="5" xfId="0" applyFont="1" applyFill="1" applyBorder="1" applyAlignment="1">
      <alignment horizontal="center"/>
    </xf>
    <xf numFmtId="0" fontId="1" fillId="0" borderId="41" xfId="0" applyFont="1" applyBorder="1"/>
    <xf numFmtId="0" fontId="10" fillId="0" borderId="4" xfId="0" applyFont="1" applyBorder="1" applyAlignment="1">
      <alignment wrapText="1"/>
    </xf>
    <xf numFmtId="0" fontId="10" fillId="9" borderId="1" xfId="0" applyFont="1" applyFill="1" applyBorder="1"/>
    <xf numFmtId="0" fontId="10" fillId="10" borderId="1" xfId="0" applyFont="1" applyFill="1" applyBorder="1" applyAlignment="1">
      <alignment wrapText="1"/>
    </xf>
    <xf numFmtId="0" fontId="22" fillId="18" borderId="1" xfId="0" applyFont="1" applyFill="1" applyBorder="1"/>
    <xf numFmtId="0" fontId="22" fillId="18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0" fontId="10" fillId="4" borderId="1" xfId="0" applyNumberFormat="1" applyFont="1" applyFill="1" applyBorder="1"/>
    <xf numFmtId="1" fontId="21" fillId="0" borderId="1" xfId="0" applyNumberFormat="1" applyFont="1" applyBorder="1"/>
    <xf numFmtId="10" fontId="21" fillId="0" borderId="1" xfId="0" applyNumberFormat="1" applyFont="1" applyBorder="1"/>
    <xf numFmtId="164" fontId="20" fillId="0" borderId="1" xfId="0" applyNumberFormat="1" applyFont="1" applyBorder="1"/>
    <xf numFmtId="164" fontId="20" fillId="0" borderId="0" xfId="0" applyNumberFormat="1" applyFont="1"/>
    <xf numFmtId="10" fontId="20" fillId="0" borderId="1" xfId="0" applyNumberFormat="1" applyFont="1" applyBorder="1"/>
    <xf numFmtId="3" fontId="11" fillId="0" borderId="0" xfId="0" applyNumberFormat="1" applyFont="1"/>
    <xf numFmtId="10" fontId="17" fillId="0" borderId="0" xfId="0" applyNumberFormat="1" applyFont="1"/>
    <xf numFmtId="3" fontId="18" fillId="0" borderId="0" xfId="0" applyNumberFormat="1" applyFont="1"/>
    <xf numFmtId="3" fontId="16" fillId="0" borderId="0" xfId="0" applyNumberFormat="1" applyFont="1"/>
    <xf numFmtId="9" fontId="1" fillId="0" borderId="0" xfId="0" applyNumberFormat="1" applyFont="1"/>
    <xf numFmtId="4" fontId="11" fillId="0" borderId="0" xfId="0" applyNumberFormat="1" applyFont="1"/>
    <xf numFmtId="164" fontId="39" fillId="0" borderId="0" xfId="0" applyNumberFormat="1" applyFont="1"/>
    <xf numFmtId="10" fontId="4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center"/>
    </xf>
    <xf numFmtId="10" fontId="17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11" fillId="0" borderId="22" xfId="0" applyNumberFormat="1" applyFont="1" applyBorder="1" applyAlignment="1">
      <alignment horizontal="right"/>
    </xf>
    <xf numFmtId="3" fontId="1" fillId="0" borderId="22" xfId="0" applyNumberFormat="1" applyFont="1" applyBorder="1"/>
    <xf numFmtId="0" fontId="8" fillId="19" borderId="1" xfId="0" applyFont="1" applyFill="1" applyBorder="1" applyAlignment="1">
      <alignment horizontal="center" vertical="center" wrapText="1"/>
    </xf>
    <xf numFmtId="0" fontId="8" fillId="19" borderId="3" xfId="0" applyFont="1" applyFill="1" applyBorder="1" applyAlignment="1">
      <alignment horizontal="center" vertical="center" wrapText="1"/>
    </xf>
    <xf numFmtId="3" fontId="41" fillId="0" borderId="0" xfId="0" applyNumberFormat="1" applyFont="1" applyAlignment="1">
      <alignment horizontal="right"/>
    </xf>
    <xf numFmtId="3" fontId="1" fillId="6" borderId="84" xfId="0" applyNumberFormat="1" applyFont="1" applyFill="1" applyBorder="1" applyAlignment="1">
      <alignment horizontal="center"/>
    </xf>
    <xf numFmtId="3" fontId="1" fillId="0" borderId="70" xfId="0" applyNumberFormat="1" applyFont="1" applyBorder="1" applyAlignment="1">
      <alignment horizontal="center"/>
    </xf>
    <xf numFmtId="3" fontId="41" fillId="6" borderId="70" xfId="0" applyNumberFormat="1" applyFont="1" applyFill="1" applyBorder="1" applyAlignment="1">
      <alignment horizontal="center"/>
    </xf>
    <xf numFmtId="3" fontId="41" fillId="0" borderId="70" xfId="0" applyNumberFormat="1" applyFont="1" applyBorder="1" applyAlignment="1">
      <alignment horizontal="center"/>
    </xf>
    <xf numFmtId="3" fontId="1" fillId="12" borderId="84" xfId="0" applyNumberFormat="1" applyFont="1" applyFill="1" applyBorder="1" applyAlignment="1">
      <alignment horizontal="center"/>
    </xf>
    <xf numFmtId="3" fontId="8" fillId="19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8" fillId="19" borderId="3" xfId="0" applyNumberFormat="1" applyFont="1" applyFill="1" applyBorder="1" applyAlignment="1">
      <alignment horizontal="center"/>
    </xf>
    <xf numFmtId="10" fontId="12" fillId="0" borderId="0" xfId="0" applyNumberFormat="1" applyFont="1"/>
    <xf numFmtId="1" fontId="1" fillId="0" borderId="0" xfId="0" applyNumberFormat="1" applyFont="1"/>
    <xf numFmtId="3" fontId="1" fillId="6" borderId="1" xfId="0" applyNumberFormat="1" applyFont="1" applyFill="1" applyBorder="1" applyAlignment="1">
      <alignment horizontal="center"/>
    </xf>
    <xf numFmtId="3" fontId="1" fillId="1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1" fillId="0" borderId="0" xfId="0" applyFont="1"/>
    <xf numFmtId="4" fontId="1" fillId="0" borderId="1" xfId="0" applyNumberFormat="1" applyFont="1" applyBorder="1" applyAlignment="1">
      <alignment horizontal="center"/>
    </xf>
    <xf numFmtId="3" fontId="41" fillId="6" borderId="1" xfId="0" applyNumberFormat="1" applyFont="1" applyFill="1" applyBorder="1" applyAlignment="1">
      <alignment horizontal="center"/>
    </xf>
    <xf numFmtId="3" fontId="41" fillId="6" borderId="84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3" fontId="8" fillId="6" borderId="1" xfId="0" applyNumberFormat="1" applyFont="1" applyFill="1" applyBorder="1" applyAlignment="1">
      <alignment horizontal="center"/>
    </xf>
    <xf numFmtId="3" fontId="8" fillId="6" borderId="3" xfId="0" applyNumberFormat="1" applyFont="1" applyFill="1" applyBorder="1" applyAlignment="1">
      <alignment horizontal="center"/>
    </xf>
    <xf numFmtId="0" fontId="1" fillId="6" borderId="1" xfId="0" applyFont="1" applyFill="1" applyBorder="1"/>
    <xf numFmtId="174" fontId="1" fillId="0" borderId="0" xfId="0" applyNumberFormat="1" applyFont="1"/>
    <xf numFmtId="0" fontId="8" fillId="8" borderId="8" xfId="0" applyFont="1" applyFill="1" applyBorder="1" applyAlignment="1">
      <alignment horizontal="center"/>
    </xf>
    <xf numFmtId="0" fontId="9" fillId="0" borderId="9" xfId="0" applyFont="1" applyBorder="1"/>
    <xf numFmtId="0" fontId="10" fillId="2" borderId="10" xfId="0" applyFont="1" applyFill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1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1" fillId="12" borderId="8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center" vertical="center"/>
    </xf>
    <xf numFmtId="0" fontId="9" fillId="0" borderId="26" xfId="0" applyFont="1" applyBorder="1"/>
    <xf numFmtId="0" fontId="10" fillId="7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9" fillId="0" borderId="27" xfId="0" applyFont="1" applyBorder="1"/>
    <xf numFmtId="0" fontId="10" fillId="0" borderId="8" xfId="0" applyFont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/>
    </xf>
    <xf numFmtId="0" fontId="9" fillId="0" borderId="37" xfId="0" applyFont="1" applyBorder="1"/>
    <xf numFmtId="0" fontId="9" fillId="0" borderId="21" xfId="0" applyFont="1" applyBorder="1"/>
    <xf numFmtId="0" fontId="9" fillId="0" borderId="39" xfId="0" applyFont="1" applyBorder="1"/>
    <xf numFmtId="0" fontId="9" fillId="0" borderId="23" xfId="0" applyFont="1" applyBorder="1"/>
    <xf numFmtId="0" fontId="9" fillId="0" borderId="47" xfId="0" applyFont="1" applyBorder="1"/>
    <xf numFmtId="49" fontId="24" fillId="16" borderId="38" xfId="0" applyNumberFormat="1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20" xfId="0" applyFont="1" applyBorder="1"/>
    <xf numFmtId="0" fontId="9" fillId="0" borderId="40" xfId="0" applyFont="1" applyBorder="1"/>
    <xf numFmtId="0" fontId="9" fillId="0" borderId="41" xfId="0" applyFont="1" applyBorder="1"/>
    <xf numFmtId="0" fontId="9" fillId="0" borderId="42" xfId="0" applyFont="1" applyBorder="1"/>
    <xf numFmtId="49" fontId="24" fillId="16" borderId="43" xfId="0" applyNumberFormat="1" applyFont="1" applyFill="1" applyBorder="1" applyAlignment="1">
      <alignment horizontal="center" vertical="center" wrapText="1"/>
    </xf>
    <xf numFmtId="0" fontId="9" fillId="0" borderId="44" xfId="0" applyFont="1" applyBorder="1"/>
    <xf numFmtId="0" fontId="9" fillId="0" borderId="45" xfId="0" applyFont="1" applyBorder="1"/>
    <xf numFmtId="0" fontId="9" fillId="0" borderId="48" xfId="0" applyFont="1" applyBorder="1"/>
    <xf numFmtId="0" fontId="9" fillId="0" borderId="24" xfId="0" applyFont="1" applyBorder="1"/>
    <xf numFmtId="165" fontId="24" fillId="16" borderId="43" xfId="0" applyNumberFormat="1" applyFont="1" applyFill="1" applyBorder="1" applyAlignment="1">
      <alignment horizontal="center" vertical="center" wrapText="1"/>
    </xf>
    <xf numFmtId="0" fontId="9" fillId="0" borderId="46" xfId="0" applyFont="1" applyBorder="1"/>
    <xf numFmtId="0" fontId="9" fillId="0" borderId="25" xfId="0" applyFont="1" applyBorder="1"/>
    <xf numFmtId="0" fontId="25" fillId="0" borderId="19" xfId="0" applyFont="1" applyBorder="1" applyAlignment="1">
      <alignment horizontal="center" vertical="center"/>
    </xf>
    <xf numFmtId="0" fontId="9" fillId="0" borderId="49" xfId="0" applyFont="1" applyBorder="1"/>
    <xf numFmtId="0" fontId="9" fillId="0" borderId="50" xfId="0" applyFont="1" applyBorder="1"/>
    <xf numFmtId="0" fontId="25" fillId="0" borderId="7" xfId="0" applyFont="1" applyBorder="1" applyAlignment="1">
      <alignment horizontal="center" vertical="center"/>
    </xf>
    <xf numFmtId="0" fontId="27" fillId="17" borderId="10" xfId="0" applyFont="1" applyFill="1" applyBorder="1" applyAlignment="1">
      <alignment horizontal="center" vertical="center"/>
    </xf>
    <xf numFmtId="0" fontId="27" fillId="17" borderId="52" xfId="0" applyFont="1" applyFill="1" applyBorder="1" applyAlignment="1">
      <alignment horizontal="center" vertical="center"/>
    </xf>
    <xf numFmtId="0" fontId="9" fillId="0" borderId="53" xfId="0" applyFont="1" applyBorder="1"/>
    <xf numFmtId="0" fontId="9" fillId="0" borderId="54" xfId="0" applyFont="1" applyBorder="1"/>
    <xf numFmtId="0" fontId="25" fillId="0" borderId="55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9" fillId="0" borderId="56" xfId="0" applyFont="1" applyBorder="1"/>
    <xf numFmtId="0" fontId="25" fillId="0" borderId="57" xfId="0" applyFont="1" applyBorder="1" applyAlignment="1">
      <alignment horizontal="left" vertical="center"/>
    </xf>
    <xf numFmtId="0" fontId="9" fillId="0" borderId="58" xfId="0" applyFont="1" applyBorder="1"/>
    <xf numFmtId="0" fontId="9" fillId="0" borderId="59" xfId="0" applyFont="1" applyBorder="1"/>
    <xf numFmtId="0" fontId="26" fillId="11" borderId="61" xfId="0" applyFont="1" applyFill="1" applyBorder="1" applyAlignment="1">
      <alignment horizontal="left" vertical="center" wrapText="1"/>
    </xf>
    <xf numFmtId="0" fontId="9" fillId="0" borderId="62" xfId="0" applyFont="1" applyBorder="1"/>
    <xf numFmtId="0" fontId="9" fillId="0" borderId="63" xfId="0" applyFont="1" applyBorder="1"/>
    <xf numFmtId="0" fontId="26" fillId="11" borderId="65" xfId="0" applyFont="1" applyFill="1" applyBorder="1" applyAlignment="1">
      <alignment horizontal="left" vertical="center" wrapText="1"/>
    </xf>
    <xf numFmtId="0" fontId="27" fillId="17" borderId="65" xfId="0" applyFont="1" applyFill="1" applyBorder="1" applyAlignment="1">
      <alignment horizontal="center" vertical="center"/>
    </xf>
    <xf numFmtId="0" fontId="9" fillId="0" borderId="66" xfId="0" applyFont="1" applyBorder="1"/>
    <xf numFmtId="0" fontId="26" fillId="0" borderId="0" xfId="0" applyFont="1" applyAlignment="1">
      <alignment horizontal="left" vertical="center" wrapText="1"/>
    </xf>
    <xf numFmtId="0" fontId="0" fillId="0" borderId="0" xfId="0"/>
    <xf numFmtId="0" fontId="25" fillId="0" borderId="0" xfId="0" applyFont="1" applyAlignment="1">
      <alignment horizontal="left" vertical="center"/>
    </xf>
    <xf numFmtId="10" fontId="23" fillId="0" borderId="19" xfId="0" applyNumberFormat="1" applyFont="1" applyBorder="1" applyAlignment="1">
      <alignment horizontal="center" vertical="center"/>
    </xf>
    <xf numFmtId="10" fontId="9" fillId="0" borderId="7" xfId="0" applyNumberFormat="1" applyFont="1" applyBorder="1"/>
    <xf numFmtId="10" fontId="9" fillId="0" borderId="20" xfId="0" applyNumberFormat="1" applyFont="1" applyBorder="1"/>
    <xf numFmtId="10" fontId="9" fillId="0" borderId="23" xfId="0" applyNumberFormat="1" applyFont="1" applyBorder="1"/>
    <xf numFmtId="10" fontId="9" fillId="0" borderId="24" xfId="0" applyNumberFormat="1" applyFont="1" applyBorder="1"/>
    <xf numFmtId="10" fontId="9" fillId="0" borderId="25" xfId="0" applyNumberFormat="1" applyFont="1" applyBorder="1"/>
    <xf numFmtId="0" fontId="27" fillId="17" borderId="61" xfId="0" applyFont="1" applyFill="1" applyBorder="1" applyAlignment="1">
      <alignment horizontal="center" vertical="center"/>
    </xf>
    <xf numFmtId="0" fontId="25" fillId="0" borderId="49" xfId="0" applyFont="1" applyBorder="1" applyAlignment="1">
      <alignment vertical="center"/>
    </xf>
    <xf numFmtId="0" fontId="25" fillId="0" borderId="55" xfId="0" applyFont="1" applyBorder="1" applyAlignment="1">
      <alignment vertical="center"/>
    </xf>
    <xf numFmtId="0" fontId="25" fillId="0" borderId="57" xfId="0" applyFont="1" applyBorder="1" applyAlignment="1">
      <alignment vertical="center"/>
    </xf>
    <xf numFmtId="0" fontId="26" fillId="11" borderId="61" xfId="0" applyFont="1" applyFill="1" applyBorder="1" applyAlignment="1">
      <alignment horizontal="left" vertical="center"/>
    </xf>
    <xf numFmtId="0" fontId="33" fillId="17" borderId="61" xfId="0" applyFont="1" applyFill="1" applyBorder="1" applyAlignment="1">
      <alignment horizontal="center" vertical="center"/>
    </xf>
    <xf numFmtId="0" fontId="33" fillId="12" borderId="78" xfId="0" applyFont="1" applyFill="1" applyBorder="1" applyAlignment="1">
      <alignment horizontal="center"/>
    </xf>
    <xf numFmtId="0" fontId="9" fillId="0" borderId="79" xfId="0" applyFont="1" applyBorder="1"/>
    <xf numFmtId="0" fontId="34" fillId="17" borderId="61" xfId="0" applyFont="1" applyFill="1" applyBorder="1" applyAlignment="1">
      <alignment horizontal="center"/>
    </xf>
    <xf numFmtId="0" fontId="8" fillId="12" borderId="78" xfId="0" applyFont="1" applyFill="1" applyBorder="1" applyAlignment="1">
      <alignment horizontal="center"/>
    </xf>
    <xf numFmtId="0" fontId="10" fillId="12" borderId="78" xfId="0" applyFont="1" applyFill="1" applyBorder="1" applyAlignment="1">
      <alignment horizontal="center"/>
    </xf>
    <xf numFmtId="0" fontId="9" fillId="0" borderId="80" xfId="0" applyFont="1" applyBorder="1"/>
    <xf numFmtId="0" fontId="11" fillId="0" borderId="0" xfId="0" applyFont="1" applyAlignment="1">
      <alignment horizontal="center" wrapText="1"/>
    </xf>
    <xf numFmtId="0" fontId="35" fillId="12" borderId="78" xfId="0" applyFont="1" applyFill="1" applyBorder="1" applyAlignment="1">
      <alignment horizontal="center"/>
    </xf>
    <xf numFmtId="0" fontId="22" fillId="18" borderId="81" xfId="0" applyFont="1" applyFill="1" applyBorder="1" applyAlignment="1">
      <alignment horizontal="center"/>
    </xf>
    <xf numFmtId="0" fontId="9" fillId="0" borderId="82" xfId="0" applyFont="1" applyBorder="1"/>
    <xf numFmtId="0" fontId="9" fillId="0" borderId="83" xfId="0" applyFont="1" applyBorder="1"/>
    <xf numFmtId="0" fontId="10" fillId="6" borderId="8" xfId="0" applyFont="1" applyFill="1" applyBorder="1" applyAlignment="1">
      <alignment horizontal="center" wrapText="1"/>
    </xf>
    <xf numFmtId="0" fontId="1" fillId="0" borderId="41" xfId="0" applyFont="1" applyBorder="1" applyAlignment="1">
      <alignment horizontal="center"/>
    </xf>
    <xf numFmtId="0" fontId="8" fillId="1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772025" y="18002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2924175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486727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647950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5505450" y="2800350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4981575" y="464820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8401050" y="461962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9734550" y="33813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9734550" y="4752975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1039475" y="33813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1591925" y="58674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752600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98107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458152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762000</xdr:colOff>
      <xdr:row>6</xdr:row>
      <xdr:rowOff>161925</xdr:rowOff>
    </xdr:from>
    <xdr:ext cx="247650" cy="3048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5226938" y="3632363"/>
          <a:ext cx="238125" cy="2952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571500</xdr:colOff>
      <xdr:row>32</xdr:row>
      <xdr:rowOff>85725</xdr:rowOff>
    </xdr:from>
    <xdr:ext cx="752475" cy="80962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4974525" y="3379950"/>
          <a:ext cx="742950" cy="8001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50</xdr:row>
      <xdr:rowOff>28575</xdr:rowOff>
    </xdr:from>
    <xdr:ext cx="1695450" cy="62865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4503038" y="3470438"/>
          <a:ext cx="1685925" cy="6191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6</xdr:col>
      <xdr:colOff>714375</xdr:colOff>
      <xdr:row>40</xdr:row>
      <xdr:rowOff>19050</xdr:rowOff>
    </xdr:from>
    <xdr:ext cx="2038350" cy="100965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4331588" y="3279938"/>
          <a:ext cx="2028825" cy="10001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TK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Inventarios + Vaciado Espesadores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104775</xdr:colOff>
      <xdr:row>52</xdr:row>
      <xdr:rowOff>57150</xdr:rowOff>
    </xdr:from>
    <xdr:ext cx="866775" cy="67627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4917375" y="3446625"/>
          <a:ext cx="857250" cy="6667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40</xdr:row>
      <xdr:rowOff>0</xdr:rowOff>
    </xdr:from>
    <xdr:ext cx="1095375" cy="885825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4803075" y="3341850"/>
          <a:ext cx="1085850" cy="8763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295275</xdr:colOff>
      <xdr:row>12</xdr:row>
      <xdr:rowOff>0</xdr:rowOff>
    </xdr:from>
    <xdr:ext cx="1076325" cy="56197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4812600" y="3503775"/>
          <a:ext cx="1066800" cy="5524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9525</xdr:colOff>
      <xdr:row>2</xdr:row>
      <xdr:rowOff>123825</xdr:rowOff>
    </xdr:from>
    <xdr:ext cx="38100" cy="8477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4514850" y="504825"/>
          <a:ext cx="38100" cy="847725"/>
          <a:chOff x="5326950" y="3356138"/>
          <a:chExt cx="38100" cy="847725"/>
        </a:xfrm>
      </xdr:grpSpPr>
      <xdr:grpSp>
        <xdr:nvGrpSpPr>
          <xdr:cNvPr id="69" name="Shape 69">
            <a:extLst>
              <a:ext uri="{FF2B5EF4-FFF2-40B4-BE49-F238E27FC236}">
                <a16:creationId xmlns:a16="http://schemas.microsoft.com/office/drawing/2014/main" id="{00000000-0008-0000-0700-000045000000}"/>
              </a:ext>
            </a:extLst>
          </xdr:cNvPr>
          <xdr:cNvGrpSpPr/>
        </xdr:nvGrpSpPr>
        <xdr:grpSpPr>
          <a:xfrm>
            <a:off x="5326950" y="3356138"/>
            <a:ext cx="38100" cy="847725"/>
            <a:chOff x="5341163" y="3356138"/>
            <a:chExt cx="9600" cy="8478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/>
          </xdr:nvSpPr>
          <xdr:spPr>
            <a:xfrm>
              <a:off x="5341163" y="3356138"/>
              <a:ext cx="9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700-000046000000}"/>
                </a:ext>
              </a:extLst>
            </xdr:cNvPr>
            <xdr:cNvCxnSpPr>
              <a:endCxn id="62" idx="0"/>
            </xdr:cNvCxnSpPr>
          </xdr:nvCxnSpPr>
          <xdr:spPr>
            <a:xfrm flipH="1">
              <a:off x="5341163" y="3356138"/>
              <a:ext cx="9600" cy="8478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28575</xdr:colOff>
      <xdr:row>8</xdr:row>
      <xdr:rowOff>47625</xdr:rowOff>
    </xdr:from>
    <xdr:ext cx="1866900" cy="7620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4533900" y="1600200"/>
          <a:ext cx="1866900" cy="762000"/>
          <a:chOff x="4412550" y="3399000"/>
          <a:chExt cx="1866900" cy="762000"/>
        </a:xfrm>
      </xdr:grpSpPr>
      <xdr:grpSp>
        <xdr:nvGrpSpPr>
          <xdr:cNvPr id="33" name="Shape 33">
            <a:extLst>
              <a:ext uri="{FF2B5EF4-FFF2-40B4-BE49-F238E27FC236}">
                <a16:creationId xmlns:a16="http://schemas.microsoft.com/office/drawing/2014/main" id="{00000000-0008-0000-0700-000021000000}"/>
              </a:ext>
            </a:extLst>
          </xdr:cNvPr>
          <xdr:cNvGrpSpPr/>
        </xdr:nvGrpSpPr>
        <xdr:grpSpPr>
          <a:xfrm>
            <a:off x="4412550" y="3399000"/>
            <a:ext cx="1866900" cy="762000"/>
            <a:chOff x="4417313" y="3403763"/>
            <a:chExt cx="1857300" cy="752400"/>
          </a:xfrm>
        </xdr:grpSpPr>
        <xdr:sp macro="" textlink="">
          <xdr:nvSpPr>
            <xdr:cNvPr id="4" name="Shape 6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1" name="Shape 71">
              <a:extLst>
                <a:ext uri="{FF2B5EF4-FFF2-40B4-BE49-F238E27FC236}">
                  <a16:creationId xmlns:a16="http://schemas.microsoft.com/office/drawing/2014/main" id="{00000000-0008-0000-0700-000047000000}"/>
                </a:ext>
              </a:extLst>
            </xdr:cNvPr>
            <xdr:cNvCxnSpPr>
              <a:stCxn id="62" idx="4"/>
              <a:endCxn id="68" idx="0"/>
            </xdr:cNvCxnSpPr>
          </xdr:nvCxnSpPr>
          <xdr:spPr>
            <a:xfrm>
              <a:off x="4417313" y="3403763"/>
              <a:ext cx="1857300" cy="752400"/>
            </a:xfrm>
            <a:prstGeom prst="bentConnector3">
              <a:avLst>
                <a:gd name="adj1" fmla="val 863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476250</xdr:colOff>
      <xdr:row>21</xdr:row>
      <xdr:rowOff>0</xdr:rowOff>
    </xdr:from>
    <xdr:ext cx="723900" cy="77152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4988813" y="3399000"/>
          <a:ext cx="714375" cy="762000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676275</xdr:colOff>
      <xdr:row>31</xdr:row>
      <xdr:rowOff>19050</xdr:rowOff>
    </xdr:from>
    <xdr:ext cx="2124075" cy="714375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4288725" y="3427575"/>
          <a:ext cx="2114550" cy="7048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4</xdr:col>
      <xdr:colOff>542925</xdr:colOff>
      <xdr:row>48</xdr:row>
      <xdr:rowOff>95250</xdr:rowOff>
    </xdr:from>
    <xdr:ext cx="704850" cy="33337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4998338" y="3618075"/>
          <a:ext cx="695325" cy="323850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85725</xdr:colOff>
      <xdr:row>49</xdr:row>
      <xdr:rowOff>66675</xdr:rowOff>
    </xdr:from>
    <xdr:ext cx="1790700" cy="48577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3762375" y="9820275"/>
          <a:ext cx="1790700" cy="485775"/>
          <a:chOff x="4450650" y="3537113"/>
          <a:chExt cx="1790700" cy="48577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GrpSpPr/>
        </xdr:nvGrpSpPr>
        <xdr:grpSpPr>
          <a:xfrm>
            <a:off x="4450650" y="3537113"/>
            <a:ext cx="1790700" cy="485775"/>
            <a:chOff x="4455488" y="3542025"/>
            <a:chExt cx="1781100" cy="476100"/>
          </a:xfrm>
        </xdr:grpSpPr>
        <xdr:sp macro="" textlink="">
          <xdr:nvSpPr>
            <xdr:cNvPr id="7" name="Shape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75">
              <a:extLst>
                <a:ext uri="{FF2B5EF4-FFF2-40B4-BE49-F238E27FC236}">
                  <a16:creationId xmlns:a16="http://schemas.microsoft.com/office/drawing/2014/main" id="{00000000-0008-0000-0700-00004B000000}"/>
                </a:ext>
              </a:extLst>
            </xdr:cNvPr>
            <xdr:cNvCxnSpPr>
              <a:stCxn id="64" idx="1"/>
              <a:endCxn id="74" idx="6"/>
            </xdr:cNvCxnSpPr>
          </xdr:nvCxnSpPr>
          <xdr:spPr>
            <a:xfrm rot="10800000">
              <a:off x="4455488" y="3542025"/>
              <a:ext cx="1781100" cy="476100"/>
            </a:xfrm>
            <a:prstGeom prst="bentConnector3">
              <a:avLst>
                <a:gd name="adj1" fmla="val 4099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847725</xdr:colOff>
      <xdr:row>42</xdr:row>
      <xdr:rowOff>47625</xdr:rowOff>
    </xdr:from>
    <xdr:ext cx="809625" cy="12668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pSpPr/>
      </xdr:nvGrpSpPr>
      <xdr:grpSpPr>
        <a:xfrm>
          <a:off x="2438400" y="8401050"/>
          <a:ext cx="809625" cy="1266825"/>
          <a:chOff x="4941188" y="2784638"/>
          <a:chExt cx="809625" cy="1990725"/>
        </a:xfrm>
      </xdr:grpSpPr>
      <xdr:grpSp>
        <xdr:nvGrpSpPr>
          <xdr:cNvPr id="76" name="Shape 76">
            <a:extLst>
              <a:ext uri="{FF2B5EF4-FFF2-40B4-BE49-F238E27FC236}">
                <a16:creationId xmlns:a16="http://schemas.microsoft.com/office/drawing/2014/main" id="{00000000-0008-0000-0700-00004C000000}"/>
              </a:ext>
            </a:extLst>
          </xdr:cNvPr>
          <xdr:cNvGrpSpPr/>
        </xdr:nvGrpSpPr>
        <xdr:grpSpPr>
          <a:xfrm>
            <a:off x="4941188" y="2784638"/>
            <a:ext cx="809625" cy="1990725"/>
            <a:chOff x="4717350" y="3151350"/>
            <a:chExt cx="1257300" cy="1257300"/>
          </a:xfrm>
        </xdr:grpSpPr>
        <xdr:sp macro="" textlink="">
          <xdr:nvSpPr>
            <xdr:cNvPr id="9" name="Shape 6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/>
          </xdr:nvSpPr>
          <xdr:spPr>
            <a:xfrm>
              <a:off x="4717350" y="3379950"/>
              <a:ext cx="12573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7" name="Shape 77">
              <a:extLst>
                <a:ext uri="{FF2B5EF4-FFF2-40B4-BE49-F238E27FC236}">
                  <a16:creationId xmlns:a16="http://schemas.microsoft.com/office/drawing/2014/main" id="{00000000-0008-0000-0700-00004D000000}"/>
                </a:ext>
              </a:extLst>
            </xdr:cNvPr>
            <xdr:cNvCxnSpPr>
              <a:stCxn id="74" idx="0"/>
              <a:endCxn id="67" idx="5"/>
            </xdr:cNvCxnSpPr>
          </xdr:nvCxnSpPr>
          <xdr:spPr>
            <a:xfrm rot="5400000" flipH="1">
              <a:off x="4717350" y="3379950"/>
              <a:ext cx="1257300" cy="800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781050</xdr:colOff>
      <xdr:row>50</xdr:row>
      <xdr:rowOff>19050</xdr:rowOff>
    </xdr:from>
    <xdr:ext cx="876300" cy="800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2371725" y="9972675"/>
          <a:ext cx="876300" cy="800100"/>
          <a:chOff x="4907850" y="3379950"/>
          <a:chExt cx="876300" cy="800100"/>
        </a:xfrm>
      </xdr:grpSpPr>
      <xdr:grpSp>
        <xdr:nvGrpSpPr>
          <xdr:cNvPr id="78" name="Shape 78">
            <a:extLst>
              <a:ext uri="{FF2B5EF4-FFF2-40B4-BE49-F238E27FC236}">
                <a16:creationId xmlns:a16="http://schemas.microsoft.com/office/drawing/2014/main" id="{00000000-0008-0000-0700-00004E000000}"/>
              </a:ext>
            </a:extLst>
          </xdr:cNvPr>
          <xdr:cNvGrpSpPr/>
        </xdr:nvGrpSpPr>
        <xdr:grpSpPr>
          <a:xfrm>
            <a:off x="4907850" y="3379950"/>
            <a:ext cx="876300" cy="800100"/>
            <a:chOff x="4912688" y="3384713"/>
            <a:chExt cx="866700" cy="790500"/>
          </a:xfrm>
        </xdr:grpSpPr>
        <xdr:sp macro="" textlink="">
          <xdr:nvSpPr>
            <xdr:cNvPr id="11" name="Shape 6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SpPr/>
          </xdr:nvSpPr>
          <xdr:spPr>
            <a:xfrm>
              <a:off x="4912688" y="3384713"/>
              <a:ext cx="866700" cy="790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9" name="Shape 79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CxnSpPr>
              <a:stCxn id="74" idx="4"/>
              <a:endCxn id="66" idx="5"/>
            </xdr:cNvCxnSpPr>
          </xdr:nvCxnSpPr>
          <xdr:spPr>
            <a:xfrm flipH="1">
              <a:off x="4912688" y="3384713"/>
              <a:ext cx="866700" cy="790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523875</xdr:colOff>
      <xdr:row>59</xdr:row>
      <xdr:rowOff>57150</xdr:rowOff>
    </xdr:from>
    <xdr:ext cx="2647950" cy="62865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4026788" y="3470438"/>
          <a:ext cx="2638425" cy="6191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3</xdr:col>
      <xdr:colOff>447675</xdr:colOff>
      <xdr:row>55</xdr:row>
      <xdr:rowOff>133350</xdr:rowOff>
    </xdr:from>
    <xdr:ext cx="3009900" cy="10477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pSpPr/>
      </xdr:nvGrpSpPr>
      <xdr:grpSpPr>
        <a:xfrm>
          <a:off x="2038350" y="11087100"/>
          <a:ext cx="3009900" cy="1047750"/>
          <a:chOff x="3841050" y="3256125"/>
          <a:chExt cx="3009900" cy="1047750"/>
        </a:xfrm>
      </xdr:grpSpPr>
      <xdr:grpSp>
        <xdr:nvGrpSpPr>
          <xdr:cNvPr id="36" name="Shape 36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GrpSpPr/>
        </xdr:nvGrpSpPr>
        <xdr:grpSpPr>
          <a:xfrm>
            <a:off x="3841050" y="3256125"/>
            <a:ext cx="3009900" cy="1047750"/>
            <a:chOff x="3845813" y="3260888"/>
            <a:chExt cx="3000300" cy="1038300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00000000-0008-0000-0700-00000D000000}"/>
                </a:ext>
              </a:extLst>
            </xdr:cNvPr>
            <xdr:cNvSpPr/>
          </xdr:nvSpPr>
          <xdr:spPr>
            <a:xfrm>
              <a:off x="3845813" y="3260888"/>
              <a:ext cx="3000300" cy="1038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1" name="Shape 81">
              <a:extLst>
                <a:ext uri="{FF2B5EF4-FFF2-40B4-BE49-F238E27FC236}">
                  <a16:creationId xmlns:a16="http://schemas.microsoft.com/office/drawing/2014/main" id="{00000000-0008-0000-0700-000051000000}"/>
                </a:ext>
              </a:extLst>
            </xdr:cNvPr>
            <xdr:cNvCxnSpPr>
              <a:stCxn id="66" idx="3"/>
              <a:endCxn id="80" idx="1"/>
            </xdr:cNvCxnSpPr>
          </xdr:nvCxnSpPr>
          <xdr:spPr>
            <a:xfrm>
              <a:off x="3845813" y="3260888"/>
              <a:ext cx="3000300" cy="10383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685800</xdr:colOff>
      <xdr:row>53</xdr:row>
      <xdr:rowOff>57150</xdr:rowOff>
    </xdr:from>
    <xdr:ext cx="38100" cy="12192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6219825" y="10610850"/>
          <a:ext cx="38100" cy="1219200"/>
          <a:chOff x="5326950" y="-1234927200"/>
          <a:chExt cx="38100" cy="2147483647"/>
        </a:xfrm>
      </xdr:grpSpPr>
      <xdr:grpSp>
        <xdr:nvGrpSpPr>
          <xdr:cNvPr id="82" name="Shape 82">
            <a:extLst>
              <a:ext uri="{FF2B5EF4-FFF2-40B4-BE49-F238E27FC236}">
                <a16:creationId xmlns:a16="http://schemas.microsoft.com/office/drawing/2014/main" id="{00000000-0008-0000-0700-000052000000}"/>
              </a:ext>
            </a:extLst>
          </xdr:cNvPr>
          <xdr:cNvGrpSpPr/>
        </xdr:nvGrpSpPr>
        <xdr:grpSpPr>
          <a:xfrm>
            <a:off x="5326950" y="-1234927200"/>
            <a:ext cx="38100" cy="2147483647"/>
            <a:chOff x="4736700" y="3170400"/>
            <a:chExt cx="1219200" cy="1219200"/>
          </a:xfrm>
        </xdr:grpSpPr>
        <xdr:sp macro="" textlink="">
          <xdr:nvSpPr>
            <xdr:cNvPr id="15" name="Shape 6">
              <a:extLst>
                <a:ext uri="{FF2B5EF4-FFF2-40B4-BE49-F238E27FC236}">
                  <a16:creationId xmlns:a16="http://schemas.microsoft.com/office/drawing/2014/main" id="{00000000-0008-0000-0700-00000F000000}"/>
                </a:ext>
              </a:extLst>
            </xdr:cNvPr>
            <xdr:cNvSpPr/>
          </xdr:nvSpPr>
          <xdr:spPr>
            <a:xfrm>
              <a:off x="4736700" y="3779700"/>
              <a:ext cx="1219200" cy="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3" name="Shape 83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CxnSpPr>
              <a:stCxn id="64" idx="2"/>
              <a:endCxn id="80" idx="0"/>
            </xdr:cNvCxnSpPr>
          </xdr:nvCxnSpPr>
          <xdr:spPr>
            <a:xfrm rot="-5400000" flipH="1">
              <a:off x="4744350" y="3772050"/>
              <a:ext cx="1219200" cy="15900"/>
            </a:xfrm>
            <a:prstGeom prst="bentConnector3">
              <a:avLst>
                <a:gd name="adj1" fmla="val 49710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</xdr:col>
      <xdr:colOff>190500</xdr:colOff>
      <xdr:row>38</xdr:row>
      <xdr:rowOff>47625</xdr:rowOff>
    </xdr:from>
    <xdr:ext cx="1190625" cy="6477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4755450" y="3460913"/>
          <a:ext cx="1181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Feed Embarque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57</xdr:row>
      <xdr:rowOff>66675</xdr:rowOff>
    </xdr:from>
    <xdr:ext cx="828675" cy="35242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4936425" y="3608550"/>
          <a:ext cx="81915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7</xdr:col>
      <xdr:colOff>704850</xdr:colOff>
      <xdr:row>62</xdr:row>
      <xdr:rowOff>85725</xdr:rowOff>
    </xdr:from>
    <xdr:ext cx="923925" cy="140017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6238875" y="12439650"/>
          <a:ext cx="923925" cy="1400175"/>
          <a:chOff x="4884038" y="2715169"/>
          <a:chExt cx="923925" cy="2129663"/>
        </a:xfrm>
      </xdr:grpSpPr>
      <xdr:grpSp>
        <xdr:nvGrpSpPr>
          <xdr:cNvPr id="32" name="Shape 32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GrpSpPr/>
        </xdr:nvGrpSpPr>
        <xdr:grpSpPr>
          <a:xfrm>
            <a:off x="4884038" y="2715169"/>
            <a:ext cx="923925" cy="2129663"/>
            <a:chOff x="4650600" y="3084675"/>
            <a:chExt cx="1390800" cy="1390800"/>
          </a:xfrm>
        </xdr:grpSpPr>
        <xdr:sp macro="" textlink="">
          <xdr:nvSpPr>
            <xdr:cNvPr id="17" name="Shape 6">
              <a:extLst>
                <a:ext uri="{FF2B5EF4-FFF2-40B4-BE49-F238E27FC236}">
                  <a16:creationId xmlns:a16="http://schemas.microsoft.com/office/drawing/2014/main" id="{00000000-0008-0000-0700-000011000000}"/>
                </a:ext>
              </a:extLst>
            </xdr:cNvPr>
            <xdr:cNvSpPr/>
          </xdr:nvSpPr>
          <xdr:spPr>
            <a:xfrm>
              <a:off x="4650600" y="3322875"/>
              <a:ext cx="1390800" cy="914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6" name="Shape 86">
              <a:extLst>
                <a:ext uri="{FF2B5EF4-FFF2-40B4-BE49-F238E27FC236}">
                  <a16:creationId xmlns:a16="http://schemas.microsoft.com/office/drawing/2014/main" id="{00000000-0008-0000-0700-000056000000}"/>
                </a:ext>
              </a:extLst>
            </xdr:cNvPr>
            <xdr:cNvCxnSpPr>
              <a:stCxn id="80" idx="2"/>
              <a:endCxn id="87" idx="0"/>
            </xdr:cNvCxnSpPr>
          </xdr:nvCxnSpPr>
          <xdr:spPr>
            <a:xfrm rot="-5400000" flipH="1">
              <a:off x="4650600" y="3322875"/>
              <a:ext cx="1390800" cy="914400"/>
            </a:xfrm>
            <a:prstGeom prst="bentConnector3">
              <a:avLst>
                <a:gd name="adj1" fmla="val -37294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409575</xdr:colOff>
      <xdr:row>60</xdr:row>
      <xdr:rowOff>104775</xdr:rowOff>
    </xdr:from>
    <xdr:ext cx="2200275" cy="62865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4250625" y="3470438"/>
          <a:ext cx="2190750" cy="6191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Harnero Producto</a:t>
          </a:r>
          <a:endParaRPr sz="1400"/>
        </a:p>
      </xdr:txBody>
    </xdr:sp>
    <xdr:clientData fLocksWithSheet="0"/>
  </xdr:oneCellAnchor>
  <xdr:oneCellAnchor>
    <xdr:from>
      <xdr:col>13</xdr:col>
      <xdr:colOff>238125</xdr:colOff>
      <xdr:row>71</xdr:row>
      <xdr:rowOff>57150</xdr:rowOff>
    </xdr:from>
    <xdr:ext cx="895350" cy="80962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4903088" y="3379950"/>
          <a:ext cx="885825" cy="8001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285750</xdr:colOff>
      <xdr:row>75</xdr:row>
      <xdr:rowOff>19050</xdr:rowOff>
    </xdr:from>
    <xdr:ext cx="1476375" cy="314325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4612575" y="3627600"/>
          <a:ext cx="14668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de Emergencia</a:t>
          </a:r>
          <a:endParaRPr sz="1400"/>
        </a:p>
      </xdr:txBody>
    </xdr:sp>
    <xdr:clientData fLocksWithSheet="0"/>
  </xdr:oneCellAnchor>
  <xdr:oneCellAnchor>
    <xdr:from>
      <xdr:col>10</xdr:col>
      <xdr:colOff>628650</xdr:colOff>
      <xdr:row>31</xdr:row>
      <xdr:rowOff>76200</xdr:rowOff>
    </xdr:from>
    <xdr:ext cx="1581150" cy="4191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4560188" y="3575213"/>
          <a:ext cx="157162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Inventarios Derrames</a:t>
          </a:r>
          <a:endParaRPr sz="1400"/>
        </a:p>
      </xdr:txBody>
    </xdr:sp>
    <xdr:clientData fLocksWithSheet="0"/>
  </xdr:oneCellAnchor>
  <xdr:oneCellAnchor>
    <xdr:from>
      <xdr:col>8</xdr:col>
      <xdr:colOff>714375</xdr:colOff>
      <xdr:row>32</xdr:row>
      <xdr:rowOff>180975</xdr:rowOff>
    </xdr:from>
    <xdr:ext cx="3409950" cy="6667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96150" y="6534150"/>
          <a:ext cx="3409950" cy="66675"/>
          <a:chOff x="3641025" y="3746663"/>
          <a:chExt cx="3409950" cy="66675"/>
        </a:xfrm>
      </xdr:grpSpPr>
      <xdr:grpSp>
        <xdr:nvGrpSpPr>
          <xdr:cNvPr id="92" name="Shape 92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GrpSpPr/>
        </xdr:nvGrpSpPr>
        <xdr:grpSpPr>
          <a:xfrm>
            <a:off x="3641025" y="3746663"/>
            <a:ext cx="3409950" cy="66675"/>
            <a:chOff x="3645788" y="3751425"/>
            <a:chExt cx="3400500" cy="57300"/>
          </a:xfrm>
        </xdr:grpSpPr>
        <xdr:sp macro="" textlink="">
          <xdr:nvSpPr>
            <xdr:cNvPr id="19" name="Shape 6">
              <a:extLst>
                <a:ext uri="{FF2B5EF4-FFF2-40B4-BE49-F238E27FC236}">
                  <a16:creationId xmlns:a16="http://schemas.microsoft.com/office/drawing/2014/main" id="{00000000-0008-0000-0700-000013000000}"/>
                </a:ext>
              </a:extLst>
            </xdr:cNvPr>
            <xdr:cNvSpPr/>
          </xdr:nvSpPr>
          <xdr:spPr>
            <a:xfrm>
              <a:off x="3645788" y="3751425"/>
              <a:ext cx="3400500" cy="57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700-00005D000000}"/>
                </a:ext>
              </a:extLst>
            </xdr:cNvPr>
            <xdr:cNvCxnSpPr>
              <a:stCxn id="73" idx="3"/>
            </xdr:cNvCxnSpPr>
          </xdr:nvCxnSpPr>
          <xdr:spPr>
            <a:xfrm>
              <a:off x="3645788" y="3751425"/>
              <a:ext cx="3400500" cy="57300"/>
            </a:xfrm>
            <a:prstGeom prst="bentConnector3">
              <a:avLst>
                <a:gd name="adj1" fmla="val -134981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8</xdr:col>
      <xdr:colOff>657225</xdr:colOff>
      <xdr:row>34</xdr:row>
      <xdr:rowOff>85725</xdr:rowOff>
    </xdr:from>
    <xdr:ext cx="3476625" cy="16383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GrpSpPr/>
      </xdr:nvGrpSpPr>
      <xdr:grpSpPr>
        <a:xfrm>
          <a:off x="7239000" y="6838950"/>
          <a:ext cx="3476625" cy="1638300"/>
          <a:chOff x="3607688" y="2960850"/>
          <a:chExt cx="3476625" cy="1638300"/>
        </a:xfrm>
      </xdr:grpSpPr>
      <xdr:grpSp>
        <xdr:nvGrpSpPr>
          <xdr:cNvPr id="39" name="Shape 39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GrpSpPr/>
        </xdr:nvGrpSpPr>
        <xdr:grpSpPr>
          <a:xfrm>
            <a:off x="3607688" y="2960850"/>
            <a:ext cx="3476625" cy="1638300"/>
            <a:chOff x="3612450" y="2965688"/>
            <a:chExt cx="3467100" cy="1628700"/>
          </a:xfrm>
        </xdr:grpSpPr>
        <xdr:sp macro="" textlink="">
          <xdr:nvSpPr>
            <xdr:cNvPr id="21" name="Shape 6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SpPr/>
          </xdr:nvSpPr>
          <xdr:spPr>
            <a:xfrm>
              <a:off x="3612450" y="2965688"/>
              <a:ext cx="3467100" cy="162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4" name="Shape 94">
              <a:extLst>
                <a:ext uri="{FF2B5EF4-FFF2-40B4-BE49-F238E27FC236}">
                  <a16:creationId xmlns:a16="http://schemas.microsoft.com/office/drawing/2014/main" id="{00000000-0008-0000-0700-00005E000000}"/>
                </a:ext>
              </a:extLst>
            </xdr:cNvPr>
            <xdr:cNvCxnSpPr>
              <a:stCxn id="65" idx="4"/>
              <a:endCxn id="63" idx="1"/>
            </xdr:cNvCxnSpPr>
          </xdr:nvCxnSpPr>
          <xdr:spPr>
            <a:xfrm rot="10800000" flipH="1">
              <a:off x="3612450" y="2965688"/>
              <a:ext cx="3467100" cy="1628700"/>
            </a:xfrm>
            <a:prstGeom prst="bentConnector3">
              <a:avLst>
                <a:gd name="adj1" fmla="val -87519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771525</xdr:colOff>
      <xdr:row>33</xdr:row>
      <xdr:rowOff>180975</xdr:rowOff>
    </xdr:from>
    <xdr:ext cx="2305050" cy="714375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pSpPr/>
      </xdr:nvGrpSpPr>
      <xdr:grpSpPr>
        <a:xfrm>
          <a:off x="8315325" y="6734175"/>
          <a:ext cx="2305050" cy="7143750"/>
          <a:chOff x="4193475" y="-7320970"/>
          <a:chExt cx="2305050" cy="22201943"/>
        </a:xfrm>
      </xdr:grpSpPr>
      <xdr:grpSp>
        <xdr:nvGrpSpPr>
          <xdr:cNvPr id="45" name="Shape 45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pSpPr/>
        </xdr:nvGrpSpPr>
        <xdr:grpSpPr>
          <a:xfrm>
            <a:off x="4193475" y="-7320970"/>
            <a:ext cx="2305050" cy="22201943"/>
            <a:chOff x="1778888" y="212889"/>
            <a:chExt cx="7134225" cy="7134225"/>
          </a:xfrm>
        </xdr:grpSpPr>
        <xdr:sp macro="" textlink="">
          <xdr:nvSpPr>
            <xdr:cNvPr id="23" name="Shape 6">
              <a:extLst>
                <a:ext uri="{FF2B5EF4-FFF2-40B4-BE49-F238E27FC236}">
                  <a16:creationId xmlns:a16="http://schemas.microsoft.com/office/drawing/2014/main" id="{00000000-0008-0000-0700-000017000000}"/>
                </a:ext>
              </a:extLst>
            </xdr:cNvPr>
            <xdr:cNvSpPr/>
          </xdr:nvSpPr>
          <xdr:spPr>
            <a:xfrm>
              <a:off x="1778888" y="2632238"/>
              <a:ext cx="7134225" cy="2295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700-00005F000000}"/>
                </a:ext>
              </a:extLst>
            </xdr:cNvPr>
            <xdr:cNvCxnSpPr/>
          </xdr:nvCxnSpPr>
          <xdr:spPr>
            <a:xfrm rot="-5400000">
              <a:off x="1778888" y="2632238"/>
              <a:ext cx="7134225" cy="2295525"/>
            </a:xfrm>
            <a:prstGeom prst="bentConnector3">
              <a:avLst>
                <a:gd name="adj1" fmla="val 95135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8</xdr:col>
      <xdr:colOff>638175</xdr:colOff>
      <xdr:row>35</xdr:row>
      <xdr:rowOff>85725</xdr:rowOff>
    </xdr:from>
    <xdr:ext cx="3409950" cy="3267075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pSpPr/>
      </xdr:nvGrpSpPr>
      <xdr:grpSpPr>
        <a:xfrm>
          <a:off x="7219950" y="7038975"/>
          <a:ext cx="3409950" cy="3267075"/>
          <a:chOff x="3641025" y="2146463"/>
          <a:chExt cx="3409950" cy="3267075"/>
        </a:xfrm>
      </xdr:grpSpPr>
      <xdr:grpSp>
        <xdr:nvGrpSpPr>
          <xdr:cNvPr id="96" name="Shape 96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GrpSpPr/>
        </xdr:nvGrpSpPr>
        <xdr:grpSpPr>
          <a:xfrm>
            <a:off x="3641025" y="2146463"/>
            <a:ext cx="3409950" cy="3267075"/>
            <a:chOff x="3645788" y="2151075"/>
            <a:chExt cx="3400500" cy="3257700"/>
          </a:xfrm>
        </xdr:grpSpPr>
        <xdr:sp macro="" textlink="">
          <xdr:nvSpPr>
            <xdr:cNvPr id="25" name="Shape 6">
              <a:extLst>
                <a:ext uri="{FF2B5EF4-FFF2-40B4-BE49-F238E27FC236}">
                  <a16:creationId xmlns:a16="http://schemas.microsoft.com/office/drawing/2014/main" id="{00000000-0008-0000-0700-000019000000}"/>
                </a:ext>
              </a:extLst>
            </xdr:cNvPr>
            <xdr:cNvSpPr/>
          </xdr:nvSpPr>
          <xdr:spPr>
            <a:xfrm>
              <a:off x="3645788" y="2151075"/>
              <a:ext cx="3400500" cy="3257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700-000061000000}"/>
                </a:ext>
              </a:extLst>
            </xdr:cNvPr>
            <xdr:cNvCxnSpPr>
              <a:stCxn id="64" idx="3"/>
            </xdr:cNvCxnSpPr>
          </xdr:nvCxnSpPr>
          <xdr:spPr>
            <a:xfrm rot="10800000" flipH="1">
              <a:off x="3645788" y="2151075"/>
              <a:ext cx="3400500" cy="3257700"/>
            </a:xfrm>
            <a:prstGeom prst="bentConnector3">
              <a:avLst>
                <a:gd name="adj1" fmla="val -8279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638175</xdr:colOff>
      <xdr:row>60</xdr:row>
      <xdr:rowOff>180975</xdr:rowOff>
    </xdr:from>
    <xdr:ext cx="742950" cy="4572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GrpSpPr/>
      </xdr:nvGrpSpPr>
      <xdr:grpSpPr>
        <a:xfrm>
          <a:off x="4314825" y="12134850"/>
          <a:ext cx="742950" cy="457200"/>
          <a:chOff x="4974525" y="3551400"/>
          <a:chExt cx="742950" cy="457200"/>
        </a:xfrm>
      </xdr:grpSpPr>
      <xdr:grpSp>
        <xdr:nvGrpSpPr>
          <xdr:cNvPr id="48" name="Shape 48">
            <a:extLst>
              <a:ext uri="{FF2B5EF4-FFF2-40B4-BE49-F238E27FC236}">
                <a16:creationId xmlns:a16="http://schemas.microsoft.com/office/drawing/2014/main" id="{00000000-0008-0000-0700-000030000000}"/>
              </a:ext>
            </a:extLst>
          </xdr:cNvPr>
          <xdr:cNvGrpSpPr/>
        </xdr:nvGrpSpPr>
        <xdr:grpSpPr>
          <a:xfrm>
            <a:off x="4974525" y="3551400"/>
            <a:ext cx="742950" cy="457200"/>
            <a:chOff x="4979288" y="3556238"/>
            <a:chExt cx="733500" cy="447600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00000000-0008-0000-0700-00001B000000}"/>
                </a:ext>
              </a:extLst>
            </xdr:cNvPr>
            <xdr:cNvSpPr/>
          </xdr:nvSpPr>
          <xdr:spPr>
            <a:xfrm>
              <a:off x="4979288" y="3556238"/>
              <a:ext cx="733500" cy="447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8" name="Shape 98">
              <a:extLst>
                <a:ext uri="{FF2B5EF4-FFF2-40B4-BE49-F238E27FC236}">
                  <a16:creationId xmlns:a16="http://schemas.microsoft.com/office/drawing/2014/main" id="{00000000-0008-0000-0700-000062000000}"/>
                </a:ext>
              </a:extLst>
            </xdr:cNvPr>
            <xdr:cNvCxnSpPr>
              <a:stCxn id="99" idx="3"/>
              <a:endCxn id="80" idx="1"/>
            </xdr:cNvCxnSpPr>
          </xdr:nvCxnSpPr>
          <xdr:spPr>
            <a:xfrm rot="10800000" flipH="1">
              <a:off x="4979288" y="3556238"/>
              <a:ext cx="733500" cy="447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457200</xdr:colOff>
      <xdr:row>62</xdr:row>
      <xdr:rowOff>47625</xdr:rowOff>
    </xdr:from>
    <xdr:ext cx="1333500" cy="32385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4684013" y="3622838"/>
          <a:ext cx="13239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5</xdr:col>
      <xdr:colOff>171450</xdr:colOff>
      <xdr:row>70</xdr:row>
      <xdr:rowOff>142875</xdr:rowOff>
    </xdr:from>
    <xdr:ext cx="1095375" cy="352425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4803075" y="3608550"/>
          <a:ext cx="108585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70</xdr:row>
      <xdr:rowOff>171450</xdr:rowOff>
    </xdr:from>
    <xdr:ext cx="1295400" cy="36195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GrpSpPr/>
      </xdr:nvGrpSpPr>
      <xdr:grpSpPr>
        <a:xfrm>
          <a:off x="4629150" y="14125575"/>
          <a:ext cx="1295400" cy="361950"/>
          <a:chOff x="4698300" y="3599025"/>
          <a:chExt cx="1295400" cy="361950"/>
        </a:xfrm>
      </xdr:grpSpPr>
      <xdr:grpSp>
        <xdr:nvGrpSpPr>
          <xdr:cNvPr id="53" name="Shape 53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GrpSpPr/>
        </xdr:nvGrpSpPr>
        <xdr:grpSpPr>
          <a:xfrm>
            <a:off x="4698300" y="3599025"/>
            <a:ext cx="1295400" cy="361950"/>
            <a:chOff x="4703063" y="3603713"/>
            <a:chExt cx="1285800" cy="352500"/>
          </a:xfrm>
        </xdr:grpSpPr>
        <xdr:sp macro="" textlink="">
          <xdr:nvSpPr>
            <xdr:cNvPr id="30" name="Shape 6">
              <a:extLst>
                <a:ext uri="{FF2B5EF4-FFF2-40B4-BE49-F238E27FC236}">
                  <a16:creationId xmlns:a16="http://schemas.microsoft.com/office/drawing/2014/main" id="{00000000-0008-0000-0700-00001E000000}"/>
                </a:ext>
              </a:extLst>
            </xdr:cNvPr>
            <xdr:cNvSpPr/>
          </xdr:nvSpPr>
          <xdr:spPr>
            <a:xfrm>
              <a:off x="4703063" y="3603713"/>
              <a:ext cx="1285800" cy="3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700-000065000000}"/>
                </a:ext>
              </a:extLst>
            </xdr:cNvPr>
            <xdr:cNvCxnSpPr>
              <a:endCxn id="87" idx="1"/>
            </xdr:cNvCxnSpPr>
          </xdr:nvCxnSpPr>
          <xdr:spPr>
            <a:xfrm rot="10800000" flipH="1">
              <a:off x="4703063" y="3603713"/>
              <a:ext cx="1285800" cy="3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390525</xdr:colOff>
      <xdr:row>68</xdr:row>
      <xdr:rowOff>171450</xdr:rowOff>
    </xdr:from>
    <xdr:ext cx="2971800" cy="80010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GrpSpPr/>
      </xdr:nvGrpSpPr>
      <xdr:grpSpPr>
        <a:xfrm>
          <a:off x="5924550" y="13725525"/>
          <a:ext cx="2971800" cy="800100"/>
          <a:chOff x="3860100" y="3379950"/>
          <a:chExt cx="2971801" cy="800101"/>
        </a:xfrm>
      </xdr:grpSpPr>
      <xdr:grpSp>
        <xdr:nvGrpSpPr>
          <xdr:cNvPr id="102" name="Shape 102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34" name="Shape 6">
              <a:extLst>
                <a:ext uri="{FF2B5EF4-FFF2-40B4-BE49-F238E27FC236}">
                  <a16:creationId xmlns:a16="http://schemas.microsoft.com/office/drawing/2014/main" id="{00000000-0008-0000-0700-00002200000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03" name="Shape 103">
              <a:extLst>
                <a:ext uri="{FF2B5EF4-FFF2-40B4-BE49-F238E27FC236}">
                  <a16:creationId xmlns:a16="http://schemas.microsoft.com/office/drawing/2014/main" id="{00000000-0008-0000-0700-000067000000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04" name="Shape 104">
                <a:extLst>
                  <a:ext uri="{FF2B5EF4-FFF2-40B4-BE49-F238E27FC236}">
                    <a16:creationId xmlns:a16="http://schemas.microsoft.com/office/drawing/2014/main" id="{00000000-0008-0000-0700-000068000000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700-000057000000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105" name="Shape 105">
                <a:extLst>
                  <a:ext uri="{FF2B5EF4-FFF2-40B4-BE49-F238E27FC236}">
                    <a16:creationId xmlns:a16="http://schemas.microsoft.com/office/drawing/2014/main" id="{00000000-0008-0000-0700-00006900000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06" name="Shape 106">
                <a:extLst>
                  <a:ext uri="{FF2B5EF4-FFF2-40B4-BE49-F238E27FC236}">
                    <a16:creationId xmlns:a16="http://schemas.microsoft.com/office/drawing/2014/main" id="{00000000-0008-0000-0700-00006A000000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07" name="Shape 107">
                <a:extLst>
                  <a:ext uri="{FF2B5EF4-FFF2-40B4-BE49-F238E27FC236}">
                    <a16:creationId xmlns:a16="http://schemas.microsoft.com/office/drawing/2014/main" id="{00000000-0008-0000-0700-00006B000000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08" name="Shape 108">
                <a:extLst>
                  <a:ext uri="{FF2B5EF4-FFF2-40B4-BE49-F238E27FC236}">
                    <a16:creationId xmlns:a16="http://schemas.microsoft.com/office/drawing/2014/main" id="{00000000-0008-0000-0700-00006C000000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609600</xdr:colOff>
      <xdr:row>40</xdr:row>
      <xdr:rowOff>104775</xdr:rowOff>
    </xdr:from>
    <xdr:ext cx="752475" cy="80010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4974525" y="3384713"/>
          <a:ext cx="742950" cy="7905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295275</xdr:colOff>
      <xdr:row>43</xdr:row>
      <xdr:rowOff>0</xdr:rowOff>
    </xdr:from>
    <xdr:ext cx="1333500" cy="30480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4684013" y="3632363"/>
          <a:ext cx="13239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Chunk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42</xdr:row>
      <xdr:rowOff>161925</xdr:rowOff>
    </xdr:from>
    <xdr:ext cx="1857375" cy="554355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GrpSpPr/>
      </xdr:nvGrpSpPr>
      <xdr:grpSpPr>
        <a:xfrm>
          <a:off x="8886825" y="8515350"/>
          <a:ext cx="1857375" cy="5543550"/>
          <a:chOff x="4417313" y="1008225"/>
          <a:chExt cx="1857375" cy="5543550"/>
        </a:xfrm>
      </xdr:grpSpPr>
      <xdr:grpSp>
        <xdr:nvGrpSpPr>
          <xdr:cNvPr id="111" name="Shape 111">
            <a:extLst>
              <a:ext uri="{FF2B5EF4-FFF2-40B4-BE49-F238E27FC236}">
                <a16:creationId xmlns:a16="http://schemas.microsoft.com/office/drawing/2014/main" id="{00000000-0008-0000-0700-00006F000000}"/>
              </a:ext>
            </a:extLst>
          </xdr:cNvPr>
          <xdr:cNvGrpSpPr/>
        </xdr:nvGrpSpPr>
        <xdr:grpSpPr>
          <a:xfrm>
            <a:off x="4417313" y="1008225"/>
            <a:ext cx="1857375" cy="5543550"/>
            <a:chOff x="4422075" y="1012988"/>
            <a:chExt cx="1847850" cy="5534025"/>
          </a:xfrm>
        </xdr:grpSpPr>
        <xdr:sp macro="" textlink="">
          <xdr:nvSpPr>
            <xdr:cNvPr id="37" name="Shape 6">
              <a:extLst>
                <a:ext uri="{FF2B5EF4-FFF2-40B4-BE49-F238E27FC236}">
                  <a16:creationId xmlns:a16="http://schemas.microsoft.com/office/drawing/2014/main" id="{00000000-0008-0000-0700-000025000000}"/>
                </a:ext>
              </a:extLst>
            </xdr:cNvPr>
            <xdr:cNvSpPr/>
          </xdr:nvSpPr>
          <xdr:spPr>
            <a:xfrm>
              <a:off x="4422075" y="1012988"/>
              <a:ext cx="1847850" cy="5534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2" name="Shape 112">
              <a:extLst>
                <a:ext uri="{FF2B5EF4-FFF2-40B4-BE49-F238E27FC236}">
                  <a16:creationId xmlns:a16="http://schemas.microsoft.com/office/drawing/2014/main" id="{00000000-0008-0000-0700-000070000000}"/>
                </a:ext>
              </a:extLst>
            </xdr:cNvPr>
            <xdr:cNvCxnSpPr/>
          </xdr:nvCxnSpPr>
          <xdr:spPr>
            <a:xfrm rot="10800000" flipH="1">
              <a:off x="4422075" y="1012988"/>
              <a:ext cx="1847850" cy="5534025"/>
            </a:xfrm>
            <a:prstGeom prst="bentConnector3">
              <a:avLst>
                <a:gd name="adj1" fmla="val -259867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0</xdr:colOff>
      <xdr:row>62</xdr:row>
      <xdr:rowOff>28575</xdr:rowOff>
    </xdr:from>
    <xdr:ext cx="2219325" cy="18478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GrpSpPr/>
      </xdr:nvGrpSpPr>
      <xdr:grpSpPr>
        <a:xfrm>
          <a:off x="8886825" y="12382500"/>
          <a:ext cx="2219325" cy="1847850"/>
          <a:chOff x="4236338" y="2856075"/>
          <a:chExt cx="2219325" cy="1847850"/>
        </a:xfrm>
      </xdr:grpSpPr>
      <xdr:grpSp>
        <xdr:nvGrpSpPr>
          <xdr:cNvPr id="113" name="Shape 113">
            <a:extLst>
              <a:ext uri="{FF2B5EF4-FFF2-40B4-BE49-F238E27FC236}">
                <a16:creationId xmlns:a16="http://schemas.microsoft.com/office/drawing/2014/main" id="{00000000-0008-0000-0700-000071000000}"/>
              </a:ext>
            </a:extLst>
          </xdr:cNvPr>
          <xdr:cNvGrpSpPr/>
        </xdr:nvGrpSpPr>
        <xdr:grpSpPr>
          <a:xfrm>
            <a:off x="4236338" y="2856075"/>
            <a:ext cx="2219325" cy="1847850"/>
            <a:chOff x="4241100" y="2860763"/>
            <a:chExt cx="2209800" cy="18384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700-000028000000}"/>
                </a:ext>
              </a:extLst>
            </xdr:cNvPr>
            <xdr:cNvSpPr/>
          </xdr:nvSpPr>
          <xdr:spPr>
            <a:xfrm>
              <a:off x="4241100" y="2860763"/>
              <a:ext cx="2209800" cy="1838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4" name="Shape 114">
              <a:extLst>
                <a:ext uri="{FF2B5EF4-FFF2-40B4-BE49-F238E27FC236}">
                  <a16:creationId xmlns:a16="http://schemas.microsoft.com/office/drawing/2014/main" id="{00000000-0008-0000-0700-000072000000}"/>
                </a:ext>
              </a:extLst>
            </xdr:cNvPr>
            <xdr:cNvCxnSpPr>
              <a:stCxn id="107" idx="6"/>
              <a:endCxn id="88" idx="1"/>
            </xdr:cNvCxnSpPr>
          </xdr:nvCxnSpPr>
          <xdr:spPr>
            <a:xfrm rot="10800000" flipH="1">
              <a:off x="4241100" y="2860763"/>
              <a:ext cx="2209800" cy="1838400"/>
            </a:xfrm>
            <a:prstGeom prst="bentConnector3">
              <a:avLst>
                <a:gd name="adj1" fmla="val -217485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13</xdr:col>
      <xdr:colOff>228600</xdr:colOff>
      <xdr:row>51</xdr:row>
      <xdr:rowOff>66675</xdr:rowOff>
    </xdr:from>
    <xdr:ext cx="895350" cy="809625"/>
    <xdr:sp macro="" textlink="">
      <xdr:nvSpPr>
        <xdr:cNvPr id="41" name="Shape 89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4903088" y="3379950"/>
          <a:ext cx="885825" cy="8001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590550</xdr:colOff>
      <xdr:row>51</xdr:row>
      <xdr:rowOff>161925</xdr:rowOff>
    </xdr:from>
    <xdr:ext cx="1476375" cy="32385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4612575" y="3622838"/>
          <a:ext cx="146685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Fresco</a:t>
          </a:r>
          <a:endParaRPr sz="1400"/>
        </a:p>
      </xdr:txBody>
    </xdr:sp>
    <xdr:clientData fLocksWithSheet="0"/>
  </xdr:oneCellAnchor>
  <xdr:oneCellAnchor>
    <xdr:from>
      <xdr:col>9</xdr:col>
      <xdr:colOff>847725</xdr:colOff>
      <xdr:row>72</xdr:row>
      <xdr:rowOff>123825</xdr:rowOff>
    </xdr:from>
    <xdr:ext cx="3581400" cy="14287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GrpSpPr/>
      </xdr:nvGrpSpPr>
      <xdr:grpSpPr>
        <a:xfrm>
          <a:off x="8391525" y="14478000"/>
          <a:ext cx="3581400" cy="142875"/>
          <a:chOff x="3555300" y="3708563"/>
          <a:chExt cx="3581400" cy="142875"/>
        </a:xfrm>
      </xdr:grpSpPr>
      <xdr:grpSp>
        <xdr:nvGrpSpPr>
          <xdr:cNvPr id="116" name="Shape 116">
            <a:extLst>
              <a:ext uri="{FF2B5EF4-FFF2-40B4-BE49-F238E27FC236}">
                <a16:creationId xmlns:a16="http://schemas.microsoft.com/office/drawing/2014/main" id="{00000000-0008-0000-0700-000074000000}"/>
              </a:ext>
            </a:extLst>
          </xdr:cNvPr>
          <xdr:cNvGrpSpPr/>
        </xdr:nvGrpSpPr>
        <xdr:grpSpPr>
          <a:xfrm>
            <a:off x="3555300" y="3708563"/>
            <a:ext cx="3581400" cy="142875"/>
            <a:chOff x="3560063" y="3713325"/>
            <a:chExt cx="3571800" cy="133200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3560063" y="3713325"/>
              <a:ext cx="3571800" cy="133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7" name="Shape 117">
              <a:extLst>
                <a:ext uri="{FF2B5EF4-FFF2-40B4-BE49-F238E27FC236}">
                  <a16:creationId xmlns:a16="http://schemas.microsoft.com/office/drawing/2014/main" id="{00000000-0008-0000-0700-000075000000}"/>
                </a:ext>
              </a:extLst>
            </xdr:cNvPr>
            <xdr:cNvCxnSpPr>
              <a:stCxn id="108" idx="5"/>
              <a:endCxn id="89" idx="1"/>
            </xdr:cNvCxnSpPr>
          </xdr:nvCxnSpPr>
          <xdr:spPr>
            <a:xfrm>
              <a:off x="3560063" y="3713325"/>
              <a:ext cx="3571800" cy="1332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561975</xdr:colOff>
      <xdr:row>34</xdr:row>
      <xdr:rowOff>85725</xdr:rowOff>
    </xdr:from>
    <xdr:ext cx="1914525" cy="238125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GrpSpPr/>
      </xdr:nvGrpSpPr>
      <xdr:grpSpPr>
        <a:xfrm>
          <a:off x="11249025" y="6838950"/>
          <a:ext cx="1914525" cy="238125"/>
          <a:chOff x="4388738" y="3660938"/>
          <a:chExt cx="1914525" cy="238125"/>
        </a:xfrm>
      </xdr:grpSpPr>
      <xdr:grpSp>
        <xdr:nvGrpSpPr>
          <xdr:cNvPr id="118" name="Shape 118">
            <a:extLst>
              <a:ext uri="{FF2B5EF4-FFF2-40B4-BE49-F238E27FC236}">
                <a16:creationId xmlns:a16="http://schemas.microsoft.com/office/drawing/2014/main" id="{00000000-0008-0000-0700-000076000000}"/>
              </a:ext>
            </a:extLst>
          </xdr:cNvPr>
          <xdr:cNvGrpSpPr/>
        </xdr:nvGrpSpPr>
        <xdr:grpSpPr>
          <a:xfrm>
            <a:off x="4388738" y="3660938"/>
            <a:ext cx="1914525" cy="238125"/>
            <a:chOff x="4393500" y="3665700"/>
            <a:chExt cx="1905000" cy="228600"/>
          </a:xfrm>
        </xdr:grpSpPr>
        <xdr:sp macro="" textlink="">
          <xdr:nvSpPr>
            <xdr:cNvPr id="46" name="Shape 6">
              <a:extLst>
                <a:ext uri="{FF2B5EF4-FFF2-40B4-BE49-F238E27FC236}">
                  <a16:creationId xmlns:a16="http://schemas.microsoft.com/office/drawing/2014/main" id="{00000000-0008-0000-0700-00002E000000}"/>
                </a:ext>
              </a:extLst>
            </xdr:cNvPr>
            <xdr:cNvSpPr/>
          </xdr:nvSpPr>
          <xdr:spPr>
            <a:xfrm>
              <a:off x="4393500" y="3665700"/>
              <a:ext cx="1905000" cy="228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9" name="Shape 119">
              <a:extLst>
                <a:ext uri="{FF2B5EF4-FFF2-40B4-BE49-F238E27FC236}">
                  <a16:creationId xmlns:a16="http://schemas.microsoft.com/office/drawing/2014/main" id="{00000000-0008-0000-0700-000077000000}"/>
                </a:ext>
              </a:extLst>
            </xdr:cNvPr>
            <xdr:cNvCxnSpPr>
              <a:endCxn id="120" idx="1"/>
            </xdr:cNvCxnSpPr>
          </xdr:nvCxnSpPr>
          <xdr:spPr>
            <a:xfrm rot="10800000" flipH="1">
              <a:off x="4393500" y="3665700"/>
              <a:ext cx="1905000" cy="228600"/>
            </a:xfrm>
            <a:prstGeom prst="bentConnector3">
              <a:avLst>
                <a:gd name="adj1" fmla="val -388925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438150</xdr:colOff>
      <xdr:row>42</xdr:row>
      <xdr:rowOff>76200</xdr:rowOff>
    </xdr:from>
    <xdr:ext cx="1990725" cy="38100"/>
    <xdr:grpSp>
      <xdr:nvGrpSpPr>
        <xdr:cNvPr id="47" name="Shape 2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GrpSpPr/>
      </xdr:nvGrpSpPr>
      <xdr:grpSpPr>
        <a:xfrm>
          <a:off x="11125200" y="8429625"/>
          <a:ext cx="1990725" cy="38100"/>
          <a:chOff x="4350638" y="3760950"/>
          <a:chExt cx="1990725" cy="38100"/>
        </a:xfrm>
      </xdr:grpSpPr>
      <xdr:grpSp>
        <xdr:nvGrpSpPr>
          <xdr:cNvPr id="121" name="Shape 121">
            <a:extLst>
              <a:ext uri="{FF2B5EF4-FFF2-40B4-BE49-F238E27FC236}">
                <a16:creationId xmlns:a16="http://schemas.microsoft.com/office/drawing/2014/main" id="{00000000-0008-0000-0700-000079000000}"/>
              </a:ext>
            </a:extLst>
          </xdr:cNvPr>
          <xdr:cNvGrpSpPr/>
        </xdr:nvGrpSpPr>
        <xdr:grpSpPr>
          <a:xfrm>
            <a:off x="4350638" y="3760950"/>
            <a:ext cx="1990725" cy="38100"/>
            <a:chOff x="4350638" y="3780000"/>
            <a:chExt cx="1990800" cy="600"/>
          </a:xfrm>
        </xdr:grpSpPr>
        <xdr:sp macro="" textlink="">
          <xdr:nvSpPr>
            <xdr:cNvPr id="49" name="Shape 6">
              <a:extLst>
                <a:ext uri="{FF2B5EF4-FFF2-40B4-BE49-F238E27FC236}">
                  <a16:creationId xmlns:a16="http://schemas.microsoft.com/office/drawing/2014/main" id="{00000000-0008-0000-0700-000031000000}"/>
                </a:ext>
              </a:extLst>
            </xdr:cNvPr>
            <xdr:cNvSpPr/>
          </xdr:nvSpPr>
          <xdr:spPr>
            <a:xfrm>
              <a:off x="4350638" y="3780000"/>
              <a:ext cx="1990800" cy="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22" name="Shape 122">
              <a:extLst>
                <a:ext uri="{FF2B5EF4-FFF2-40B4-BE49-F238E27FC236}">
                  <a16:creationId xmlns:a16="http://schemas.microsoft.com/office/drawing/2014/main" id="{00000000-0008-0000-0700-00007A000000}"/>
                </a:ext>
              </a:extLst>
            </xdr:cNvPr>
            <xdr:cNvCxnSpPr>
              <a:stCxn id="109" idx="5"/>
              <a:endCxn id="123" idx="1"/>
            </xdr:cNvCxnSpPr>
          </xdr:nvCxnSpPr>
          <xdr:spPr>
            <a:xfrm>
              <a:off x="4350638" y="3780000"/>
              <a:ext cx="1990800" cy="600"/>
            </a:xfrm>
            <a:prstGeom prst="bentConnector3">
              <a:avLst>
                <a:gd name="adj1" fmla="val -36781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47625</xdr:colOff>
      <xdr:row>49</xdr:row>
      <xdr:rowOff>76200</xdr:rowOff>
    </xdr:from>
    <xdr:ext cx="1790700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GrpSpPr/>
      </xdr:nvGrpSpPr>
      <xdr:grpSpPr>
        <a:xfrm>
          <a:off x="12430125" y="9829800"/>
          <a:ext cx="1790700" cy="800100"/>
          <a:chOff x="4450650" y="3379950"/>
          <a:chExt cx="1790700" cy="800100"/>
        </a:xfrm>
      </xdr:grpSpPr>
      <xdr:grpSp>
        <xdr:nvGrpSpPr>
          <xdr:cNvPr id="124" name="Shape 124">
            <a:extLst>
              <a:ext uri="{FF2B5EF4-FFF2-40B4-BE49-F238E27FC236}">
                <a16:creationId xmlns:a16="http://schemas.microsoft.com/office/drawing/2014/main" id="{00000000-0008-0000-0700-00007C000000}"/>
              </a:ext>
            </a:extLst>
          </xdr:cNvPr>
          <xdr:cNvGrpSpPr/>
        </xdr:nvGrpSpPr>
        <xdr:grpSpPr>
          <a:xfrm>
            <a:off x="4450650" y="3379950"/>
            <a:ext cx="1790700" cy="800100"/>
            <a:chOff x="4455413" y="3379950"/>
            <a:chExt cx="1781100" cy="800100"/>
          </a:xfrm>
        </xdr:grpSpPr>
        <xdr:sp macro="" textlink="">
          <xdr:nvSpPr>
            <xdr:cNvPr id="51" name="Shape 6">
              <a:extLst>
                <a:ext uri="{FF2B5EF4-FFF2-40B4-BE49-F238E27FC236}">
                  <a16:creationId xmlns:a16="http://schemas.microsoft.com/office/drawing/2014/main" id="{00000000-0008-0000-0700-000033000000}"/>
                </a:ext>
              </a:extLst>
            </xdr:cNvPr>
            <xdr:cNvSpPr/>
          </xdr:nvSpPr>
          <xdr:spPr>
            <a:xfrm>
              <a:off x="4455413" y="3379950"/>
              <a:ext cx="17811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25" name="Shape 125">
              <a:extLst>
                <a:ext uri="{FF2B5EF4-FFF2-40B4-BE49-F238E27FC236}">
                  <a16:creationId xmlns:a16="http://schemas.microsoft.com/office/drawing/2014/main" id="{00000000-0008-0000-0700-00007D000000}"/>
                </a:ext>
              </a:extLst>
            </xdr:cNvPr>
            <xdr:cNvCxnSpPr>
              <a:stCxn id="126" idx="5"/>
              <a:endCxn id="127" idx="1"/>
            </xdr:cNvCxnSpPr>
          </xdr:nvCxnSpPr>
          <xdr:spPr>
            <a:xfrm rot="10800000" flipH="1">
              <a:off x="4455413" y="3379950"/>
              <a:ext cx="1781100" cy="800100"/>
            </a:xfrm>
            <a:prstGeom prst="bentConnector3">
              <a:avLst>
                <a:gd name="adj1" fmla="val -495609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17</xdr:col>
      <xdr:colOff>781050</xdr:colOff>
      <xdr:row>34</xdr:row>
      <xdr:rowOff>114300</xdr:rowOff>
    </xdr:from>
    <xdr:ext cx="1047750" cy="80962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4826888" y="3379950"/>
          <a:ext cx="1038225" cy="8001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685800</xdr:colOff>
      <xdr:row>37</xdr:row>
      <xdr:rowOff>9525</xdr:rowOff>
    </xdr:from>
    <xdr:ext cx="1323975" cy="30480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4688775" y="3632363"/>
          <a:ext cx="13144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Finos Huasco</a:t>
          </a:r>
          <a:endParaRPr sz="1400"/>
        </a:p>
      </xdr:txBody>
    </xdr:sp>
    <xdr:clientData fLocksWithSheet="0"/>
  </xdr:oneCellAnchor>
  <xdr:oneCellAnchor>
    <xdr:from>
      <xdr:col>17</xdr:col>
      <xdr:colOff>895350</xdr:colOff>
      <xdr:row>52</xdr:row>
      <xdr:rowOff>0</xdr:rowOff>
    </xdr:from>
    <xdr:ext cx="1000125" cy="79057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4850700" y="3389475"/>
          <a:ext cx="990600" cy="7810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66675</xdr:colOff>
      <xdr:row>53</xdr:row>
      <xdr:rowOff>85725</xdr:rowOff>
    </xdr:from>
    <xdr:ext cx="628650" cy="45720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5036438" y="3556163"/>
          <a:ext cx="61912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Chip</a:t>
          </a:r>
          <a:endParaRPr sz="1400"/>
        </a:p>
      </xdr:txBody>
    </xdr:sp>
    <xdr:clientData fLocksWithSheet="0"/>
  </xdr:oneCellAnchor>
  <xdr:oneCellAnchor>
    <xdr:from>
      <xdr:col>17</xdr:col>
      <xdr:colOff>790575</xdr:colOff>
      <xdr:row>60</xdr:row>
      <xdr:rowOff>0</xdr:rowOff>
    </xdr:from>
    <xdr:ext cx="1047750" cy="79057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4826888" y="3389475"/>
          <a:ext cx="1038225" cy="78105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876300</xdr:colOff>
      <xdr:row>61</xdr:row>
      <xdr:rowOff>114300</xdr:rowOff>
    </xdr:from>
    <xdr:ext cx="971550" cy="523875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4864988" y="3522825"/>
          <a:ext cx="962025" cy="514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Básico</a:t>
          </a:r>
          <a:endParaRPr sz="1400"/>
        </a:p>
      </xdr:txBody>
    </xdr:sp>
    <xdr:clientData fLocksWithSheet="0"/>
  </xdr:oneCellAnchor>
  <xdr:oneCellAnchor>
    <xdr:from>
      <xdr:col>17</xdr:col>
      <xdr:colOff>771525</xdr:colOff>
      <xdr:row>13</xdr:row>
      <xdr:rowOff>57150</xdr:rowOff>
    </xdr:from>
    <xdr:ext cx="962025" cy="72390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4869750" y="3422813"/>
          <a:ext cx="952500" cy="7143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466725</xdr:colOff>
      <xdr:row>11</xdr:row>
      <xdr:rowOff>66675</xdr:rowOff>
    </xdr:from>
    <xdr:ext cx="1504950" cy="809625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4598288" y="3379950"/>
          <a:ext cx="1495425" cy="800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 Feed</a:t>
          </a:r>
          <a:endParaRPr sz="1400"/>
        </a:p>
      </xdr:txBody>
    </xdr:sp>
    <xdr:clientData fLocksWithSheet="0"/>
  </xdr:oneCellAnchor>
  <xdr:oneCellAnchor>
    <xdr:from>
      <xdr:col>20</xdr:col>
      <xdr:colOff>742950</xdr:colOff>
      <xdr:row>45</xdr:row>
      <xdr:rowOff>19050</xdr:rowOff>
    </xdr:from>
    <xdr:ext cx="561975" cy="30480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5069775" y="3632363"/>
          <a:ext cx="552450" cy="2952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219075</xdr:colOff>
      <xdr:row>42</xdr:row>
      <xdr:rowOff>47625</xdr:rowOff>
    </xdr:from>
    <xdr:ext cx="16630650" cy="87630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GrpSpPr/>
      </xdr:nvGrpSpPr>
      <xdr:grpSpPr>
        <a:xfrm>
          <a:off x="1809750" y="8401050"/>
          <a:ext cx="16630650" cy="876300"/>
          <a:chOff x="0" y="3341850"/>
          <a:chExt cx="10692000" cy="876300"/>
        </a:xfrm>
      </xdr:grpSpPr>
      <xdr:grpSp>
        <xdr:nvGrpSpPr>
          <xdr:cNvPr id="137" name="Shape 137">
            <a:extLst>
              <a:ext uri="{FF2B5EF4-FFF2-40B4-BE49-F238E27FC236}">
                <a16:creationId xmlns:a16="http://schemas.microsoft.com/office/drawing/2014/main" id="{00000000-0008-0000-0700-000089000000}"/>
              </a:ext>
            </a:extLst>
          </xdr:cNvPr>
          <xdr:cNvGrpSpPr/>
        </xdr:nvGrpSpPr>
        <xdr:grpSpPr>
          <a:xfrm>
            <a:off x="0" y="3341850"/>
            <a:ext cx="10692000" cy="876300"/>
            <a:chOff x="0" y="3346613"/>
            <a:chExt cx="10692000" cy="866700"/>
          </a:xfrm>
        </xdr:grpSpPr>
        <xdr:sp macro="" textlink="">
          <xdr:nvSpPr>
            <xdr:cNvPr id="54" name="Shape 6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SpPr/>
          </xdr:nvSpPr>
          <xdr:spPr>
            <a:xfrm>
              <a:off x="0" y="3346613"/>
              <a:ext cx="106920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38" name="Shape 138">
              <a:extLst>
                <a:ext uri="{FF2B5EF4-FFF2-40B4-BE49-F238E27FC236}">
                  <a16:creationId xmlns:a16="http://schemas.microsoft.com/office/drawing/2014/main" id="{00000000-0008-0000-0700-00008A000000}"/>
                </a:ext>
              </a:extLst>
            </xdr:cNvPr>
            <xdr:cNvCxnSpPr>
              <a:stCxn id="67" idx="1"/>
              <a:endCxn id="136" idx="4"/>
            </xdr:cNvCxnSpPr>
          </xdr:nvCxnSpPr>
          <xdr:spPr>
            <a:xfrm>
              <a:off x="0" y="3346613"/>
              <a:ext cx="10692000" cy="866700"/>
            </a:xfrm>
            <a:prstGeom prst="bentConnector4">
              <a:avLst>
                <a:gd name="adj1" fmla="val -17367"/>
                <a:gd name="adj2" fmla="val 277235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66675</xdr:colOff>
      <xdr:row>42</xdr:row>
      <xdr:rowOff>57150</xdr:rowOff>
    </xdr:from>
    <xdr:ext cx="1457325" cy="6181725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GrpSpPr/>
      </xdr:nvGrpSpPr>
      <xdr:grpSpPr>
        <a:xfrm>
          <a:off x="12449175" y="8410575"/>
          <a:ext cx="1457325" cy="6181725"/>
          <a:chOff x="4617338" y="689138"/>
          <a:chExt cx="1457325" cy="6181725"/>
        </a:xfrm>
      </xdr:grpSpPr>
      <xdr:grpSp>
        <xdr:nvGrpSpPr>
          <xdr:cNvPr id="139" name="Shape 139">
            <a:extLst>
              <a:ext uri="{FF2B5EF4-FFF2-40B4-BE49-F238E27FC236}">
                <a16:creationId xmlns:a16="http://schemas.microsoft.com/office/drawing/2014/main" id="{00000000-0008-0000-0700-00008B000000}"/>
              </a:ext>
            </a:extLst>
          </xdr:cNvPr>
          <xdr:cNvGrpSpPr/>
        </xdr:nvGrpSpPr>
        <xdr:grpSpPr>
          <a:xfrm>
            <a:off x="4617338" y="689138"/>
            <a:ext cx="1457325" cy="6181725"/>
            <a:chOff x="4622100" y="693900"/>
            <a:chExt cx="1447800" cy="61722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700-000038000000}"/>
                </a:ext>
              </a:extLst>
            </xdr:cNvPr>
            <xdr:cNvSpPr/>
          </xdr:nvSpPr>
          <xdr:spPr>
            <a:xfrm>
              <a:off x="4622100" y="693900"/>
              <a:ext cx="1447800" cy="6172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0" name="Shape 140">
              <a:extLst>
                <a:ext uri="{FF2B5EF4-FFF2-40B4-BE49-F238E27FC236}">
                  <a16:creationId xmlns:a16="http://schemas.microsoft.com/office/drawing/2014/main" id="{00000000-0008-0000-0700-00008C000000}"/>
                </a:ext>
              </a:extLst>
            </xdr:cNvPr>
            <xdr:cNvCxnSpPr/>
          </xdr:nvCxnSpPr>
          <xdr:spPr>
            <a:xfrm flipH="1">
              <a:off x="4622100" y="693900"/>
              <a:ext cx="1447800" cy="6172200"/>
            </a:xfrm>
            <a:prstGeom prst="bentConnector3">
              <a:avLst>
                <a:gd name="adj1" fmla="val 645479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34</xdr:row>
      <xdr:rowOff>85725</xdr:rowOff>
    </xdr:from>
    <xdr:ext cx="1790700" cy="438150"/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GrpSpPr/>
      </xdr:nvGrpSpPr>
      <xdr:grpSpPr>
        <a:xfrm>
          <a:off x="13944600" y="6838950"/>
          <a:ext cx="1790700" cy="438150"/>
          <a:chOff x="4450650" y="3560925"/>
          <a:chExt cx="1790700" cy="438150"/>
        </a:xfrm>
      </xdr:grpSpPr>
      <xdr:grpSp>
        <xdr:nvGrpSpPr>
          <xdr:cNvPr id="141" name="Shape 141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GrpSpPr/>
        </xdr:nvGrpSpPr>
        <xdr:grpSpPr>
          <a:xfrm>
            <a:off x="4450650" y="3560925"/>
            <a:ext cx="1790700" cy="438150"/>
            <a:chOff x="4455413" y="3565688"/>
            <a:chExt cx="1781100" cy="428700"/>
          </a:xfrm>
        </xdr:grpSpPr>
        <xdr:sp macro="" textlink="">
          <xdr:nvSpPr>
            <xdr:cNvPr id="58" name="Shape 6">
              <a:extLst>
                <a:ext uri="{FF2B5EF4-FFF2-40B4-BE49-F238E27FC236}">
                  <a16:creationId xmlns:a16="http://schemas.microsoft.com/office/drawing/2014/main" id="{00000000-0008-0000-0700-00003A000000}"/>
                </a:ext>
              </a:extLst>
            </xdr:cNvPr>
            <xdr:cNvSpPr/>
          </xdr:nvSpPr>
          <xdr:spPr>
            <a:xfrm>
              <a:off x="4455413" y="3565688"/>
              <a:ext cx="1781100" cy="42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2" name="Shape 142">
              <a:extLst>
                <a:ext uri="{FF2B5EF4-FFF2-40B4-BE49-F238E27FC236}">
                  <a16:creationId xmlns:a16="http://schemas.microsoft.com/office/drawing/2014/main" id="{00000000-0008-0000-0700-00008E000000}"/>
                </a:ext>
              </a:extLst>
            </xdr:cNvPr>
            <xdr:cNvCxnSpPr>
              <a:stCxn id="120" idx="3"/>
              <a:endCxn id="128" idx="1"/>
            </xdr:cNvCxnSpPr>
          </xdr:nvCxnSpPr>
          <xdr:spPr>
            <a:xfrm>
              <a:off x="4455413" y="3565688"/>
              <a:ext cx="1781100" cy="428700"/>
            </a:xfrm>
            <a:prstGeom prst="bentConnector3">
              <a:avLst>
                <a:gd name="adj1" fmla="val -587630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18</xdr:col>
      <xdr:colOff>209550</xdr:colOff>
      <xdr:row>16</xdr:row>
      <xdr:rowOff>180975</xdr:rowOff>
    </xdr:from>
    <xdr:ext cx="76200" cy="356235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GrpSpPr/>
      </xdr:nvGrpSpPr>
      <xdr:grpSpPr>
        <a:xfrm>
          <a:off x="15925800" y="3333750"/>
          <a:ext cx="76200" cy="3562350"/>
          <a:chOff x="5307900" y="1998825"/>
          <a:chExt cx="76200" cy="3562350"/>
        </a:xfrm>
      </xdr:grpSpPr>
      <xdr:grpSp>
        <xdr:nvGrpSpPr>
          <xdr:cNvPr id="60" name="Shape 42">
            <a:extLst>
              <a:ext uri="{FF2B5EF4-FFF2-40B4-BE49-F238E27FC236}">
                <a16:creationId xmlns:a16="http://schemas.microsoft.com/office/drawing/2014/main" id="{00000000-0008-0000-0700-00003C000000}"/>
              </a:ext>
            </a:extLst>
          </xdr:cNvPr>
          <xdr:cNvGrpSpPr/>
        </xdr:nvGrpSpPr>
        <xdr:grpSpPr>
          <a:xfrm>
            <a:off x="5307900" y="1998825"/>
            <a:ext cx="76200" cy="3562350"/>
            <a:chOff x="5312738" y="2003513"/>
            <a:chExt cx="66600" cy="3552900"/>
          </a:xfrm>
        </xdr:grpSpPr>
        <xdr:sp macro="" textlink="">
          <xdr:nvSpPr>
            <xdr:cNvPr id="61" name="Shape 6">
              <a:extLst>
                <a:ext uri="{FF2B5EF4-FFF2-40B4-BE49-F238E27FC236}">
                  <a16:creationId xmlns:a16="http://schemas.microsoft.com/office/drawing/2014/main" id="{00000000-0008-0000-0700-00003D000000}"/>
                </a:ext>
              </a:extLst>
            </xdr:cNvPr>
            <xdr:cNvSpPr/>
          </xdr:nvSpPr>
          <xdr:spPr>
            <a:xfrm>
              <a:off x="5312738" y="2003513"/>
              <a:ext cx="66600" cy="3552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3" name="Shape 143">
              <a:extLst>
                <a:ext uri="{FF2B5EF4-FFF2-40B4-BE49-F238E27FC236}">
                  <a16:creationId xmlns:a16="http://schemas.microsoft.com/office/drawing/2014/main" id="{00000000-0008-0000-0700-00008F000000}"/>
                </a:ext>
              </a:extLst>
            </xdr:cNvPr>
            <xdr:cNvCxnSpPr>
              <a:stCxn id="128" idx="0"/>
              <a:endCxn id="134" idx="3"/>
            </xdr:cNvCxnSpPr>
          </xdr:nvCxnSpPr>
          <xdr:spPr>
            <a:xfrm rot="10800000">
              <a:off x="5312738" y="2003513"/>
              <a:ext cx="66600" cy="35529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18</xdr:col>
      <xdr:colOff>571500</xdr:colOff>
      <xdr:row>36</xdr:row>
      <xdr:rowOff>123825</xdr:rowOff>
    </xdr:from>
    <xdr:ext cx="1762125" cy="1857375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GrpSpPr/>
      </xdr:nvGrpSpPr>
      <xdr:grpSpPr>
        <a:xfrm>
          <a:off x="16287750" y="7277100"/>
          <a:ext cx="1762125" cy="1857375"/>
          <a:chOff x="4464938" y="2800920"/>
          <a:chExt cx="1762125" cy="1958160"/>
        </a:xfrm>
      </xdr:grpSpPr>
      <xdr:grpSp>
        <xdr:nvGrpSpPr>
          <xdr:cNvPr id="144" name="Shape 144">
            <a:extLst>
              <a:ext uri="{FF2B5EF4-FFF2-40B4-BE49-F238E27FC236}">
                <a16:creationId xmlns:a16="http://schemas.microsoft.com/office/drawing/2014/main" id="{00000000-0008-0000-0700-000090000000}"/>
              </a:ext>
            </a:extLst>
          </xdr:cNvPr>
          <xdr:cNvGrpSpPr/>
        </xdr:nvGrpSpPr>
        <xdr:grpSpPr>
          <a:xfrm>
            <a:off x="4464938" y="2800920"/>
            <a:ext cx="1762125" cy="1958160"/>
            <a:chOff x="4422150" y="2856075"/>
            <a:chExt cx="1847700" cy="1847700"/>
          </a:xfrm>
        </xdr:grpSpPr>
        <xdr:sp macro="" textlink="">
          <xdr:nvSpPr>
            <xdr:cNvPr id="123" name="Shape 6">
              <a:extLst>
                <a:ext uri="{FF2B5EF4-FFF2-40B4-BE49-F238E27FC236}">
                  <a16:creationId xmlns:a16="http://schemas.microsoft.com/office/drawing/2014/main" id="{00000000-0008-0000-0700-00007B000000}"/>
                </a:ext>
              </a:extLst>
            </xdr:cNvPr>
            <xdr:cNvSpPr/>
          </xdr:nvSpPr>
          <xdr:spPr>
            <a:xfrm>
              <a:off x="4422150" y="2903625"/>
              <a:ext cx="1847700" cy="1752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5" name="Shape 145">
              <a:extLst>
                <a:ext uri="{FF2B5EF4-FFF2-40B4-BE49-F238E27FC236}">
                  <a16:creationId xmlns:a16="http://schemas.microsoft.com/office/drawing/2014/main" id="{00000000-0008-0000-0700-000091000000}"/>
                </a:ext>
              </a:extLst>
            </xdr:cNvPr>
            <xdr:cNvCxnSpPr>
              <a:stCxn id="128" idx="5"/>
              <a:endCxn id="136" idx="2"/>
            </xdr:cNvCxnSpPr>
          </xdr:nvCxnSpPr>
          <xdr:spPr>
            <a:xfrm rot="-5400000" flipH="1">
              <a:off x="4422150" y="2903625"/>
              <a:ext cx="1847700" cy="1752600"/>
            </a:xfrm>
            <a:prstGeom prst="bentConnector3">
              <a:avLst>
                <a:gd name="adj1" fmla="val -170671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18</xdr:col>
      <xdr:colOff>647700</xdr:colOff>
      <xdr:row>45</xdr:row>
      <xdr:rowOff>171450</xdr:rowOff>
    </xdr:from>
    <xdr:ext cx="1676400" cy="163830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GrpSpPr/>
      </xdr:nvGrpSpPr>
      <xdr:grpSpPr>
        <a:xfrm>
          <a:off x="16363950" y="9124950"/>
          <a:ext cx="1676400" cy="1638300"/>
          <a:chOff x="4507800" y="2960850"/>
          <a:chExt cx="1676400" cy="1638300"/>
        </a:xfrm>
      </xdr:grpSpPr>
      <xdr:grpSp>
        <xdr:nvGrpSpPr>
          <xdr:cNvPr id="146" name="Shape 146">
            <a:extLst>
              <a:ext uri="{FF2B5EF4-FFF2-40B4-BE49-F238E27FC236}">
                <a16:creationId xmlns:a16="http://schemas.microsoft.com/office/drawing/2014/main" id="{00000000-0008-0000-0700-000092000000}"/>
              </a:ext>
            </a:extLst>
          </xdr:cNvPr>
          <xdr:cNvGrpSpPr/>
        </xdr:nvGrpSpPr>
        <xdr:grpSpPr>
          <a:xfrm>
            <a:off x="4507800" y="2960850"/>
            <a:ext cx="1676400" cy="1638300"/>
            <a:chOff x="4512563" y="2965688"/>
            <a:chExt cx="1666800" cy="1628700"/>
          </a:xfrm>
        </xdr:grpSpPr>
        <xdr:sp macro="" textlink="">
          <xdr:nvSpPr>
            <xdr:cNvPr id="127" name="Shape 6">
              <a:extLst>
                <a:ext uri="{FF2B5EF4-FFF2-40B4-BE49-F238E27FC236}">
                  <a16:creationId xmlns:a16="http://schemas.microsoft.com/office/drawing/2014/main" id="{00000000-0008-0000-0700-00007F000000}"/>
                </a:ext>
              </a:extLst>
            </xdr:cNvPr>
            <xdr:cNvSpPr/>
          </xdr:nvSpPr>
          <xdr:spPr>
            <a:xfrm>
              <a:off x="4512563" y="2965688"/>
              <a:ext cx="1666800" cy="162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7" name="Shape 147">
              <a:extLst>
                <a:ext uri="{FF2B5EF4-FFF2-40B4-BE49-F238E27FC236}">
                  <a16:creationId xmlns:a16="http://schemas.microsoft.com/office/drawing/2014/main" id="{00000000-0008-0000-0700-000093000000}"/>
                </a:ext>
              </a:extLst>
            </xdr:cNvPr>
            <xdr:cNvCxnSpPr>
              <a:stCxn id="130" idx="5"/>
              <a:endCxn id="136" idx="2"/>
            </xdr:cNvCxnSpPr>
          </xdr:nvCxnSpPr>
          <xdr:spPr>
            <a:xfrm rot="10800000" flipH="1">
              <a:off x="4512563" y="2965688"/>
              <a:ext cx="1666800" cy="1628700"/>
            </a:xfrm>
            <a:prstGeom prst="bentConnector3">
              <a:avLst>
                <a:gd name="adj1" fmla="val -7924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161925</xdr:colOff>
      <xdr:row>7</xdr:row>
      <xdr:rowOff>104775</xdr:rowOff>
    </xdr:from>
    <xdr:ext cx="11287125" cy="1171575"/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GrpSpPr/>
      </xdr:nvGrpSpPr>
      <xdr:grpSpPr>
        <a:xfrm>
          <a:off x="4667250" y="1466850"/>
          <a:ext cx="11287125" cy="1171575"/>
          <a:chOff x="0" y="3194213"/>
          <a:chExt cx="10692000" cy="1171575"/>
        </a:xfrm>
      </xdr:grpSpPr>
      <xdr:grpSp>
        <xdr:nvGrpSpPr>
          <xdr:cNvPr id="149" name="Shape 148">
            <a:extLst>
              <a:ext uri="{FF2B5EF4-FFF2-40B4-BE49-F238E27FC236}">
                <a16:creationId xmlns:a16="http://schemas.microsoft.com/office/drawing/2014/main" id="{00000000-0008-0000-0700-000095000000}"/>
              </a:ext>
            </a:extLst>
          </xdr:cNvPr>
          <xdr:cNvGrpSpPr/>
        </xdr:nvGrpSpPr>
        <xdr:grpSpPr>
          <a:xfrm>
            <a:off x="0" y="3194213"/>
            <a:ext cx="10692000" cy="1171575"/>
            <a:chOff x="0" y="3198975"/>
            <a:chExt cx="10692000" cy="1161900"/>
          </a:xfrm>
        </xdr:grpSpPr>
        <xdr:sp macro="" textlink="">
          <xdr:nvSpPr>
            <xdr:cNvPr id="150" name="Shape 6">
              <a:extLst>
                <a:ext uri="{FF2B5EF4-FFF2-40B4-BE49-F238E27FC236}">
                  <a16:creationId xmlns:a16="http://schemas.microsoft.com/office/drawing/2014/main" id="{00000000-0008-0000-0700-000096000000}"/>
                </a:ext>
              </a:extLst>
            </xdr:cNvPr>
            <xdr:cNvSpPr/>
          </xdr:nvSpPr>
          <xdr:spPr>
            <a:xfrm>
              <a:off x="0" y="3198975"/>
              <a:ext cx="10692000" cy="1161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51" name="Shape 149">
              <a:extLst>
                <a:ext uri="{FF2B5EF4-FFF2-40B4-BE49-F238E27FC236}">
                  <a16:creationId xmlns:a16="http://schemas.microsoft.com/office/drawing/2014/main" id="{00000000-0008-0000-0700-000097000000}"/>
                </a:ext>
              </a:extLst>
            </xdr:cNvPr>
            <xdr:cNvCxnSpPr>
              <a:stCxn id="62" idx="6"/>
              <a:endCxn id="135" idx="3"/>
            </xdr:cNvCxnSpPr>
          </xdr:nvCxnSpPr>
          <xdr:spPr>
            <a:xfrm>
              <a:off x="0" y="3198975"/>
              <a:ext cx="10692000" cy="1161900"/>
            </a:xfrm>
            <a:prstGeom prst="bentConnector3">
              <a:avLst>
                <a:gd name="adj1" fmla="val 4769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18</xdr:col>
      <xdr:colOff>457200</xdr:colOff>
      <xdr:row>15</xdr:row>
      <xdr:rowOff>38100</xdr:rowOff>
    </xdr:from>
    <xdr:ext cx="2114550" cy="6000750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GrpSpPr/>
      </xdr:nvGrpSpPr>
      <xdr:grpSpPr>
        <a:xfrm>
          <a:off x="16173450" y="2990850"/>
          <a:ext cx="2114550" cy="6000750"/>
          <a:chOff x="4288725" y="-4773014"/>
          <a:chExt cx="2114550" cy="17106028"/>
        </a:xfrm>
      </xdr:grpSpPr>
      <xdr:grpSp>
        <xdr:nvGrpSpPr>
          <xdr:cNvPr id="153" name="Shape 150">
            <a:extLst>
              <a:ext uri="{FF2B5EF4-FFF2-40B4-BE49-F238E27FC236}">
                <a16:creationId xmlns:a16="http://schemas.microsoft.com/office/drawing/2014/main" id="{00000000-0008-0000-0700-000099000000}"/>
              </a:ext>
            </a:extLst>
          </xdr:cNvPr>
          <xdr:cNvGrpSpPr/>
        </xdr:nvGrpSpPr>
        <xdr:grpSpPr>
          <a:xfrm>
            <a:off x="4288725" y="-4773014"/>
            <a:ext cx="2114550" cy="17106028"/>
            <a:chOff x="2345588" y="779625"/>
            <a:chExt cx="6000900" cy="6000900"/>
          </a:xfrm>
        </xdr:grpSpPr>
        <xdr:sp macro="" textlink="">
          <xdr:nvSpPr>
            <xdr:cNvPr id="154" name="Shape 6">
              <a:extLst>
                <a:ext uri="{FF2B5EF4-FFF2-40B4-BE49-F238E27FC236}">
                  <a16:creationId xmlns:a16="http://schemas.microsoft.com/office/drawing/2014/main" id="{00000000-0008-0000-0700-00009A000000}"/>
                </a:ext>
              </a:extLst>
            </xdr:cNvPr>
            <xdr:cNvSpPr/>
          </xdr:nvSpPr>
          <xdr:spPr>
            <a:xfrm>
              <a:off x="2345588" y="2727525"/>
              <a:ext cx="6000900" cy="2105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55" name="Shape 151">
              <a:extLst>
                <a:ext uri="{FF2B5EF4-FFF2-40B4-BE49-F238E27FC236}">
                  <a16:creationId xmlns:a16="http://schemas.microsoft.com/office/drawing/2014/main" id="{00000000-0008-0000-0700-00009B000000}"/>
                </a:ext>
              </a:extLst>
            </xdr:cNvPr>
            <xdr:cNvCxnSpPr>
              <a:stCxn id="134" idx="5"/>
              <a:endCxn id="136" idx="0"/>
            </xdr:cNvCxnSpPr>
          </xdr:nvCxnSpPr>
          <xdr:spPr>
            <a:xfrm rot="-5400000" flipH="1">
              <a:off x="2345588" y="2727525"/>
              <a:ext cx="6000900" cy="2105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18</xdr:col>
      <xdr:colOff>581025</xdr:colOff>
      <xdr:row>45</xdr:row>
      <xdr:rowOff>171450</xdr:rowOff>
    </xdr:from>
    <xdr:ext cx="1752600" cy="3238500"/>
    <xdr:grpSp>
      <xdr:nvGrpSpPr>
        <xdr:cNvPr id="156" name="Shape 2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GrpSpPr/>
      </xdr:nvGrpSpPr>
      <xdr:grpSpPr>
        <a:xfrm>
          <a:off x="16297275" y="9124950"/>
          <a:ext cx="1752600" cy="3238500"/>
          <a:chOff x="4469700" y="780346"/>
          <a:chExt cx="1752600" cy="5999307"/>
        </a:xfrm>
      </xdr:grpSpPr>
      <xdr:grpSp>
        <xdr:nvGrpSpPr>
          <xdr:cNvPr id="157" name="Shape 152">
            <a:extLst>
              <a:ext uri="{FF2B5EF4-FFF2-40B4-BE49-F238E27FC236}">
                <a16:creationId xmlns:a16="http://schemas.microsoft.com/office/drawing/2014/main" id="{00000000-0008-0000-0700-00009D000000}"/>
              </a:ext>
            </a:extLst>
          </xdr:cNvPr>
          <xdr:cNvGrpSpPr/>
        </xdr:nvGrpSpPr>
        <xdr:grpSpPr>
          <a:xfrm>
            <a:off x="4469700" y="780346"/>
            <a:ext cx="1752600" cy="5999307"/>
            <a:chOff x="3731513" y="2165588"/>
            <a:chExt cx="3228900" cy="3228900"/>
          </a:xfrm>
        </xdr:grpSpPr>
        <xdr:sp macro="" textlink="">
          <xdr:nvSpPr>
            <xdr:cNvPr id="158" name="Shape 6">
              <a:extLst>
                <a:ext uri="{FF2B5EF4-FFF2-40B4-BE49-F238E27FC236}">
                  <a16:creationId xmlns:a16="http://schemas.microsoft.com/office/drawing/2014/main" id="{00000000-0008-0000-0700-00009E000000}"/>
                </a:ext>
              </a:extLst>
            </xdr:cNvPr>
            <xdr:cNvSpPr/>
          </xdr:nvSpPr>
          <xdr:spPr>
            <a:xfrm>
              <a:off x="3731513" y="2908538"/>
              <a:ext cx="3228900" cy="1743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59" name="Shape 153">
              <a:extLst>
                <a:ext uri="{FF2B5EF4-FFF2-40B4-BE49-F238E27FC236}">
                  <a16:creationId xmlns:a16="http://schemas.microsoft.com/office/drawing/2014/main" id="{00000000-0008-0000-0700-00009F000000}"/>
                </a:ext>
              </a:extLst>
            </xdr:cNvPr>
            <xdr:cNvCxnSpPr>
              <a:stCxn id="132" idx="5"/>
              <a:endCxn id="136" idx="2"/>
            </xdr:cNvCxnSpPr>
          </xdr:nvCxnSpPr>
          <xdr:spPr>
            <a:xfrm rot="-5400000">
              <a:off x="3731513" y="2908538"/>
              <a:ext cx="3228900" cy="1743000"/>
            </a:xfrm>
            <a:prstGeom prst="bentConnector3">
              <a:avLst>
                <a:gd name="adj1" fmla="val 162907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133350</xdr:colOff>
      <xdr:row>19</xdr:row>
      <xdr:rowOff>114300</xdr:rowOff>
    </xdr:from>
    <xdr:ext cx="1457325" cy="723900"/>
    <xdr:sp macro="" textlink="">
      <xdr:nvSpPr>
        <xdr:cNvPr id="160" name="Shape 154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4622100" y="3422813"/>
          <a:ext cx="1447800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209550</xdr:colOff>
      <xdr:row>32</xdr:row>
      <xdr:rowOff>171450</xdr:rowOff>
    </xdr:from>
    <xdr:ext cx="1295400" cy="38100"/>
    <xdr:grpSp>
      <xdr:nvGrpSpPr>
        <xdr:cNvPr id="161" name="Shape 2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GrpSpPr/>
      </xdr:nvGrpSpPr>
      <xdr:grpSpPr>
        <a:xfrm>
          <a:off x="3886200" y="6524625"/>
          <a:ext cx="1295400" cy="38100"/>
          <a:chOff x="4698300" y="3760950"/>
          <a:chExt cx="1295400" cy="38100"/>
        </a:xfrm>
      </xdr:grpSpPr>
      <xdr:grpSp>
        <xdr:nvGrpSpPr>
          <xdr:cNvPr id="162" name="Shape 155">
            <a:extLst>
              <a:ext uri="{FF2B5EF4-FFF2-40B4-BE49-F238E27FC236}">
                <a16:creationId xmlns:a16="http://schemas.microsoft.com/office/drawing/2014/main" id="{00000000-0008-0000-0700-0000A2000000}"/>
              </a:ext>
            </a:extLst>
          </xdr:cNvPr>
          <xdr:cNvGrpSpPr/>
        </xdr:nvGrpSpPr>
        <xdr:grpSpPr>
          <a:xfrm>
            <a:off x="4698300" y="3760950"/>
            <a:ext cx="1295400" cy="38100"/>
            <a:chOff x="4698300" y="3775238"/>
            <a:chExt cx="1295400" cy="9600"/>
          </a:xfrm>
        </xdr:grpSpPr>
        <xdr:sp macro="" textlink="">
          <xdr:nvSpPr>
            <xdr:cNvPr id="163" name="Shape 6">
              <a:extLst>
                <a:ext uri="{FF2B5EF4-FFF2-40B4-BE49-F238E27FC236}">
                  <a16:creationId xmlns:a16="http://schemas.microsoft.com/office/drawing/2014/main" id="{00000000-0008-0000-0700-0000A300000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64" name="Shape 156">
              <a:extLst>
                <a:ext uri="{FF2B5EF4-FFF2-40B4-BE49-F238E27FC236}">
                  <a16:creationId xmlns:a16="http://schemas.microsoft.com/office/drawing/2014/main" id="{00000000-0008-0000-0700-0000A4000000}"/>
                </a:ext>
              </a:extLst>
            </xdr:cNvPr>
            <xdr:cNvCxnSpPr>
              <a:stCxn id="73" idx="1"/>
            </xdr:cNvCxnSpPr>
          </xdr:nvCxnSpPr>
          <xdr:spPr>
            <a:xfrm flipH="1">
              <a:off x="4698300" y="3775238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209550</xdr:colOff>
      <xdr:row>30</xdr:row>
      <xdr:rowOff>142875</xdr:rowOff>
    </xdr:from>
    <xdr:ext cx="1371600" cy="742950"/>
    <xdr:sp macro="" textlink="">
      <xdr:nvSpPr>
        <xdr:cNvPr id="165" name="Shape 157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4664963" y="3413288"/>
          <a:ext cx="1362075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3</xdr:col>
      <xdr:colOff>476250</xdr:colOff>
      <xdr:row>44</xdr:row>
      <xdr:rowOff>85725</xdr:rowOff>
    </xdr:from>
    <xdr:ext cx="38100" cy="1590675"/>
    <xdr:grpSp>
      <xdr:nvGrpSpPr>
        <xdr:cNvPr id="166" name="Shape 2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GrpSpPr/>
      </xdr:nvGrpSpPr>
      <xdr:grpSpPr>
        <a:xfrm>
          <a:off x="2066925" y="8839200"/>
          <a:ext cx="38100" cy="1590675"/>
          <a:chOff x="5326950" y="-2104660361"/>
          <a:chExt cx="38100" cy="2147483647"/>
        </a:xfrm>
      </xdr:grpSpPr>
      <xdr:grpSp>
        <xdr:nvGrpSpPr>
          <xdr:cNvPr id="167" name="Shape 158">
            <a:extLst>
              <a:ext uri="{FF2B5EF4-FFF2-40B4-BE49-F238E27FC236}">
                <a16:creationId xmlns:a16="http://schemas.microsoft.com/office/drawing/2014/main" id="{00000000-0008-0000-0700-0000A7000000}"/>
              </a:ext>
            </a:extLst>
          </xdr:cNvPr>
          <xdr:cNvGrpSpPr/>
        </xdr:nvGrpSpPr>
        <xdr:grpSpPr>
          <a:xfrm>
            <a:off x="5326950" y="-2104660361"/>
            <a:ext cx="38100" cy="2147483647"/>
            <a:chOff x="4551000" y="2984738"/>
            <a:chExt cx="1590600" cy="1590600"/>
          </a:xfrm>
        </xdr:grpSpPr>
        <xdr:sp macro="" textlink="">
          <xdr:nvSpPr>
            <xdr:cNvPr id="168" name="Shape 6">
              <a:extLst>
                <a:ext uri="{FF2B5EF4-FFF2-40B4-BE49-F238E27FC236}">
                  <a16:creationId xmlns:a16="http://schemas.microsoft.com/office/drawing/2014/main" id="{00000000-0008-0000-0700-0000A8000000}"/>
                </a:ext>
              </a:extLst>
            </xdr:cNvPr>
            <xdr:cNvSpPr/>
          </xdr:nvSpPr>
          <xdr:spPr>
            <a:xfrm>
              <a:off x="4551000" y="3779738"/>
              <a:ext cx="1590600" cy="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69" name="Shape 159">
              <a:extLst>
                <a:ext uri="{FF2B5EF4-FFF2-40B4-BE49-F238E27FC236}">
                  <a16:creationId xmlns:a16="http://schemas.microsoft.com/office/drawing/2014/main" id="{00000000-0008-0000-0700-0000A9000000}"/>
                </a:ext>
              </a:extLst>
            </xdr:cNvPr>
            <xdr:cNvCxnSpPr>
              <a:stCxn id="66" idx="0"/>
              <a:endCxn id="67" idx="3"/>
            </xdr:cNvCxnSpPr>
          </xdr:nvCxnSpPr>
          <xdr:spPr>
            <a:xfrm rot="-5400000">
              <a:off x="4561200" y="3769538"/>
              <a:ext cx="1590600" cy="21000"/>
            </a:xfrm>
            <a:prstGeom prst="bentConnector3">
              <a:avLst>
                <a:gd name="adj1" fmla="val 50135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13</xdr:col>
      <xdr:colOff>609600</xdr:colOff>
      <xdr:row>63</xdr:row>
      <xdr:rowOff>133350</xdr:rowOff>
    </xdr:from>
    <xdr:ext cx="38100" cy="1543050"/>
    <xdr:grpSp>
      <xdr:nvGrpSpPr>
        <xdr:cNvPr id="170" name="Shape 2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GrpSpPr/>
      </xdr:nvGrpSpPr>
      <xdr:grpSpPr>
        <a:xfrm>
          <a:off x="12125325" y="12687300"/>
          <a:ext cx="38100" cy="1543050"/>
          <a:chOff x="5326950" y="3008475"/>
          <a:chExt cx="38100" cy="1543050"/>
        </a:xfrm>
      </xdr:grpSpPr>
      <xdr:grpSp>
        <xdr:nvGrpSpPr>
          <xdr:cNvPr id="171" name="Shape 160">
            <a:extLst>
              <a:ext uri="{FF2B5EF4-FFF2-40B4-BE49-F238E27FC236}">
                <a16:creationId xmlns:a16="http://schemas.microsoft.com/office/drawing/2014/main" id="{00000000-0008-0000-0700-0000AB000000}"/>
              </a:ext>
            </a:extLst>
          </xdr:cNvPr>
          <xdr:cNvGrpSpPr/>
        </xdr:nvGrpSpPr>
        <xdr:grpSpPr>
          <a:xfrm>
            <a:off x="5326950" y="3008475"/>
            <a:ext cx="38100" cy="1543050"/>
            <a:chOff x="5336625" y="3008625"/>
            <a:chExt cx="18900" cy="1542900"/>
          </a:xfrm>
        </xdr:grpSpPr>
        <xdr:sp macro="" textlink="">
          <xdr:nvSpPr>
            <xdr:cNvPr id="172" name="Shape 6">
              <a:extLst>
                <a:ext uri="{FF2B5EF4-FFF2-40B4-BE49-F238E27FC236}">
                  <a16:creationId xmlns:a16="http://schemas.microsoft.com/office/drawing/2014/main" id="{00000000-0008-0000-0700-0000AC000000}"/>
                </a:ext>
              </a:extLst>
            </xdr:cNvPr>
            <xdr:cNvSpPr/>
          </xdr:nvSpPr>
          <xdr:spPr>
            <a:xfrm>
              <a:off x="5336625" y="3008625"/>
              <a:ext cx="18900" cy="1542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73" name="Shape 161">
              <a:extLst>
                <a:ext uri="{FF2B5EF4-FFF2-40B4-BE49-F238E27FC236}">
                  <a16:creationId xmlns:a16="http://schemas.microsoft.com/office/drawing/2014/main" id="{00000000-0008-0000-0700-0000AD000000}"/>
                </a:ext>
              </a:extLst>
            </xdr:cNvPr>
            <xdr:cNvCxnSpPr>
              <a:stCxn id="89" idx="0"/>
              <a:endCxn id="88" idx="2"/>
            </xdr:cNvCxnSpPr>
          </xdr:nvCxnSpPr>
          <xdr:spPr>
            <a:xfrm rot="10800000">
              <a:off x="5336625" y="3008625"/>
              <a:ext cx="18900" cy="15429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0</xdr:colOff>
      <xdr:row>62</xdr:row>
      <xdr:rowOff>0</xdr:rowOff>
    </xdr:from>
    <xdr:ext cx="2457450" cy="38100"/>
    <xdr:grpSp>
      <xdr:nvGrpSpPr>
        <xdr:cNvPr id="174" name="Shape 2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GrpSpPr/>
      </xdr:nvGrpSpPr>
      <xdr:grpSpPr>
        <a:xfrm>
          <a:off x="13277850" y="12353925"/>
          <a:ext cx="2457450" cy="38100"/>
          <a:chOff x="4117275" y="3760950"/>
          <a:chExt cx="2457450" cy="38100"/>
        </a:xfrm>
      </xdr:grpSpPr>
      <xdr:grpSp>
        <xdr:nvGrpSpPr>
          <xdr:cNvPr id="175" name="Shape 162">
            <a:extLst>
              <a:ext uri="{FF2B5EF4-FFF2-40B4-BE49-F238E27FC236}">
                <a16:creationId xmlns:a16="http://schemas.microsoft.com/office/drawing/2014/main" id="{00000000-0008-0000-0700-0000AF000000}"/>
              </a:ext>
            </a:extLst>
          </xdr:cNvPr>
          <xdr:cNvGrpSpPr/>
        </xdr:nvGrpSpPr>
        <xdr:grpSpPr>
          <a:xfrm>
            <a:off x="4117275" y="3760950"/>
            <a:ext cx="2457450" cy="38100"/>
            <a:chOff x="4117275" y="3770625"/>
            <a:chExt cx="2457300" cy="18900"/>
          </a:xfrm>
        </xdr:grpSpPr>
        <xdr:sp macro="" textlink="">
          <xdr:nvSpPr>
            <xdr:cNvPr id="176" name="Shape 6">
              <a:extLst>
                <a:ext uri="{FF2B5EF4-FFF2-40B4-BE49-F238E27FC236}">
                  <a16:creationId xmlns:a16="http://schemas.microsoft.com/office/drawing/2014/main" id="{00000000-0008-0000-0700-0000B0000000}"/>
                </a:ext>
              </a:extLst>
            </xdr:cNvPr>
            <xdr:cNvSpPr/>
          </xdr:nvSpPr>
          <xdr:spPr>
            <a:xfrm>
              <a:off x="4117275" y="3770625"/>
              <a:ext cx="2457300" cy="18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77" name="Shape 163">
              <a:extLst>
                <a:ext uri="{FF2B5EF4-FFF2-40B4-BE49-F238E27FC236}">
                  <a16:creationId xmlns:a16="http://schemas.microsoft.com/office/drawing/2014/main" id="{00000000-0008-0000-0700-0000B1000000}"/>
                </a:ext>
              </a:extLst>
            </xdr:cNvPr>
            <xdr:cNvCxnSpPr>
              <a:stCxn id="88" idx="3"/>
              <a:endCxn id="132" idx="1"/>
            </xdr:cNvCxnSpPr>
          </xdr:nvCxnSpPr>
          <xdr:spPr>
            <a:xfrm rot="10800000" flipH="1">
              <a:off x="4117275" y="3770625"/>
              <a:ext cx="2457300" cy="189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695325</xdr:colOff>
      <xdr:row>11</xdr:row>
      <xdr:rowOff>161925</xdr:rowOff>
    </xdr:from>
    <xdr:ext cx="1733550" cy="676275"/>
    <xdr:sp macro="" textlink="">
      <xdr:nvSpPr>
        <xdr:cNvPr id="178" name="Shape 164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4483988" y="3446625"/>
          <a:ext cx="1724025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771525</xdr:colOff>
      <xdr:row>32</xdr:row>
      <xdr:rowOff>123825</xdr:rowOff>
    </xdr:from>
    <xdr:ext cx="809625" cy="723900"/>
    <xdr:sp macro="" textlink="">
      <xdr:nvSpPr>
        <xdr:cNvPr id="179" name="Shape 120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4945950" y="3422813"/>
          <a:ext cx="800100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219075</xdr:colOff>
      <xdr:row>32</xdr:row>
      <xdr:rowOff>95250</xdr:rowOff>
    </xdr:from>
    <xdr:ext cx="2628900" cy="38100"/>
    <xdr:grpSp>
      <xdr:nvGrpSpPr>
        <xdr:cNvPr id="180" name="Shape 2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GrpSpPr/>
      </xdr:nvGrpSpPr>
      <xdr:grpSpPr>
        <a:xfrm>
          <a:off x="10906125" y="6448425"/>
          <a:ext cx="2628900" cy="38100"/>
          <a:chOff x="4031550" y="3760950"/>
          <a:chExt cx="2628900" cy="38100"/>
        </a:xfrm>
      </xdr:grpSpPr>
      <xdr:grpSp>
        <xdr:nvGrpSpPr>
          <xdr:cNvPr id="181" name="Shape 165">
            <a:extLst>
              <a:ext uri="{FF2B5EF4-FFF2-40B4-BE49-F238E27FC236}">
                <a16:creationId xmlns:a16="http://schemas.microsoft.com/office/drawing/2014/main" id="{00000000-0008-0000-0700-0000B5000000}"/>
              </a:ext>
            </a:extLst>
          </xdr:cNvPr>
          <xdr:cNvGrpSpPr/>
        </xdr:nvGrpSpPr>
        <xdr:grpSpPr>
          <a:xfrm>
            <a:off x="4031550" y="3760950"/>
            <a:ext cx="2628900" cy="38100"/>
            <a:chOff x="4031551" y="3765788"/>
            <a:chExt cx="2628900" cy="28500"/>
          </a:xfrm>
        </xdr:grpSpPr>
        <xdr:sp macro="" textlink="">
          <xdr:nvSpPr>
            <xdr:cNvPr id="182" name="Shape 6">
              <a:extLst>
                <a:ext uri="{FF2B5EF4-FFF2-40B4-BE49-F238E27FC236}">
                  <a16:creationId xmlns:a16="http://schemas.microsoft.com/office/drawing/2014/main" id="{00000000-0008-0000-0700-0000B6000000}"/>
                </a:ext>
              </a:extLst>
            </xdr:cNvPr>
            <xdr:cNvSpPr/>
          </xdr:nvSpPr>
          <xdr:spPr>
            <a:xfrm>
              <a:off x="4031551" y="3765788"/>
              <a:ext cx="2628900" cy="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83" name="Shape 166">
              <a:extLst>
                <a:ext uri="{FF2B5EF4-FFF2-40B4-BE49-F238E27FC236}">
                  <a16:creationId xmlns:a16="http://schemas.microsoft.com/office/drawing/2014/main" id="{00000000-0008-0000-0700-0000B7000000}"/>
                </a:ext>
              </a:extLst>
            </xdr:cNvPr>
            <xdr:cNvCxnSpPr>
              <a:stCxn id="120" idx="0"/>
              <a:endCxn id="63" idx="0"/>
            </xdr:cNvCxnSpPr>
          </xdr:nvCxnSpPr>
          <xdr:spPr>
            <a:xfrm rot="10800000">
              <a:off x="4031551" y="3765788"/>
              <a:ext cx="2628900" cy="28500"/>
            </a:xfrm>
            <a:prstGeom prst="bentConnector3">
              <a:avLst>
                <a:gd name="adj1" fmla="val 1020527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219075</xdr:colOff>
      <xdr:row>31</xdr:row>
      <xdr:rowOff>0</xdr:rowOff>
    </xdr:from>
    <xdr:ext cx="1247775" cy="419100"/>
    <xdr:sp macro="" textlink="">
      <xdr:nvSpPr>
        <xdr:cNvPr id="184" name="Shape 167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4726875" y="3575213"/>
          <a:ext cx="123825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re harneo derrames</a:t>
          </a:r>
          <a:endParaRPr sz="1400"/>
        </a:p>
      </xdr:txBody>
    </xdr:sp>
    <xdr:clientData fLocksWithSheet="0"/>
  </xdr:oneCellAnchor>
  <xdr:oneCellAnchor>
    <xdr:from>
      <xdr:col>14</xdr:col>
      <xdr:colOff>723900</xdr:colOff>
      <xdr:row>40</xdr:row>
      <xdr:rowOff>123825</xdr:rowOff>
    </xdr:from>
    <xdr:ext cx="809625" cy="742950"/>
    <xdr:sp macro="" textlink="">
      <xdr:nvSpPr>
        <xdr:cNvPr id="185" name="Shape 123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4945950" y="3413288"/>
          <a:ext cx="800100" cy="7334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16</xdr:col>
      <xdr:colOff>219075</xdr:colOff>
      <xdr:row>47</xdr:row>
      <xdr:rowOff>114300</xdr:rowOff>
    </xdr:from>
    <xdr:ext cx="800100" cy="733425"/>
    <xdr:sp macro="" textlink="">
      <xdr:nvSpPr>
        <xdr:cNvPr id="186" name="Shape 127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4950713" y="3418050"/>
          <a:ext cx="790575" cy="7239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247650</xdr:colOff>
      <xdr:row>40</xdr:row>
      <xdr:rowOff>114300</xdr:rowOff>
    </xdr:from>
    <xdr:ext cx="2628900" cy="38100"/>
    <xdr:grpSp>
      <xdr:nvGrpSpPr>
        <xdr:cNvPr id="187" name="Shape 2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GrpSpPr/>
      </xdr:nvGrpSpPr>
      <xdr:grpSpPr>
        <a:xfrm>
          <a:off x="10934700" y="8067675"/>
          <a:ext cx="2628900" cy="38100"/>
          <a:chOff x="-115583372" y="3760950"/>
          <a:chExt cx="241858794" cy="38100"/>
        </a:xfrm>
      </xdr:grpSpPr>
      <xdr:grpSp>
        <xdr:nvGrpSpPr>
          <xdr:cNvPr id="188" name="Shape 168">
            <a:extLst>
              <a:ext uri="{FF2B5EF4-FFF2-40B4-BE49-F238E27FC236}">
                <a16:creationId xmlns:a16="http://schemas.microsoft.com/office/drawing/2014/main" id="{00000000-0008-0000-0700-0000BC000000}"/>
              </a:ext>
            </a:extLst>
          </xdr:cNvPr>
          <xdr:cNvGrpSpPr/>
        </xdr:nvGrpSpPr>
        <xdr:grpSpPr>
          <a:xfrm>
            <a:off x="-115583372" y="3760950"/>
            <a:ext cx="241858794" cy="38100"/>
            <a:chOff x="4031551" y="2465550"/>
            <a:chExt cx="2628900" cy="2628900"/>
          </a:xfrm>
        </xdr:grpSpPr>
        <xdr:sp macro="" textlink="">
          <xdr:nvSpPr>
            <xdr:cNvPr id="189" name="Shape 6">
              <a:extLst>
                <a:ext uri="{FF2B5EF4-FFF2-40B4-BE49-F238E27FC236}">
                  <a16:creationId xmlns:a16="http://schemas.microsoft.com/office/drawing/2014/main" id="{00000000-0008-0000-0700-0000BD000000}"/>
                </a:ext>
              </a:extLst>
            </xdr:cNvPr>
            <xdr:cNvSpPr/>
          </xdr:nvSpPr>
          <xdr:spPr>
            <a:xfrm>
              <a:off x="5331713" y="2465550"/>
              <a:ext cx="28575" cy="26289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90" name="Shape 169">
              <a:extLst>
                <a:ext uri="{FF2B5EF4-FFF2-40B4-BE49-F238E27FC236}">
                  <a16:creationId xmlns:a16="http://schemas.microsoft.com/office/drawing/2014/main" id="{00000000-0008-0000-0700-0000BE000000}"/>
                </a:ext>
              </a:extLst>
            </xdr:cNvPr>
            <xdr:cNvCxnSpPr/>
          </xdr:nvCxnSpPr>
          <xdr:spPr>
            <a:xfrm rot="5400000" flipH="1">
              <a:off x="5331713" y="2465550"/>
              <a:ext cx="28575" cy="2628900"/>
            </a:xfrm>
            <a:prstGeom prst="bentConnector3">
              <a:avLst>
                <a:gd name="adj1" fmla="val 106351674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190500</xdr:colOff>
      <xdr:row>39</xdr:row>
      <xdr:rowOff>38100</xdr:rowOff>
    </xdr:from>
    <xdr:ext cx="1247775" cy="419100"/>
    <xdr:sp macro="" textlink="">
      <xdr:nvSpPr>
        <xdr:cNvPr id="191" name="Shape 170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SpPr/>
      </xdr:nvSpPr>
      <xdr:spPr>
        <a:xfrm>
          <a:off x="4726875" y="3575213"/>
          <a:ext cx="1238250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re harneo Chunk</a:t>
          </a:r>
          <a:endParaRPr sz="1400"/>
        </a:p>
      </xdr:txBody>
    </xdr:sp>
    <xdr:clientData fLocksWithSheet="0"/>
  </xdr:oneCellAnchor>
  <xdr:oneCellAnchor>
    <xdr:from>
      <xdr:col>12</xdr:col>
      <xdr:colOff>190500</xdr:colOff>
      <xdr:row>33</xdr:row>
      <xdr:rowOff>76200</xdr:rowOff>
    </xdr:from>
    <xdr:ext cx="1257300" cy="428625"/>
    <xdr:sp macro="" textlink="">
      <xdr:nvSpPr>
        <xdr:cNvPr id="192" name="Shape 171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SpPr/>
      </xdr:nvSpPr>
      <xdr:spPr>
        <a:xfrm>
          <a:off x="4722113" y="3570450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alim procesamiento reharneo derrames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638175</xdr:colOff>
      <xdr:row>42</xdr:row>
      <xdr:rowOff>85725</xdr:rowOff>
    </xdr:from>
    <xdr:ext cx="914400" cy="390525"/>
    <xdr:sp macro="" textlink="">
      <xdr:nvSpPr>
        <xdr:cNvPr id="193" name="Shape 17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SpPr/>
      </xdr:nvSpPr>
      <xdr:spPr>
        <a:xfrm>
          <a:off x="4893563" y="3589500"/>
          <a:ext cx="904875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alim procesamiento reharneo Chunk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15</xdr:col>
      <xdr:colOff>619125</xdr:colOff>
      <xdr:row>37</xdr:row>
      <xdr:rowOff>28575</xdr:rowOff>
    </xdr:from>
    <xdr:ext cx="1600200" cy="1066800"/>
    <xdr:grpSp>
      <xdr:nvGrpSpPr>
        <xdr:cNvPr id="194" name="Shape 2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GrpSpPr/>
      </xdr:nvGrpSpPr>
      <xdr:grpSpPr>
        <a:xfrm>
          <a:off x="13896975" y="7381875"/>
          <a:ext cx="1600200" cy="1066800"/>
          <a:chOff x="4545900" y="3246600"/>
          <a:chExt cx="1600200" cy="1066800"/>
        </a:xfrm>
      </xdr:grpSpPr>
      <xdr:grpSp>
        <xdr:nvGrpSpPr>
          <xdr:cNvPr id="195" name="Shape 173">
            <a:extLst>
              <a:ext uri="{FF2B5EF4-FFF2-40B4-BE49-F238E27FC236}">
                <a16:creationId xmlns:a16="http://schemas.microsoft.com/office/drawing/2014/main" id="{00000000-0008-0000-0700-0000C3000000}"/>
              </a:ext>
            </a:extLst>
          </xdr:cNvPr>
          <xdr:cNvGrpSpPr/>
        </xdr:nvGrpSpPr>
        <xdr:grpSpPr>
          <a:xfrm>
            <a:off x="4545900" y="3246600"/>
            <a:ext cx="1600200" cy="1066800"/>
            <a:chOff x="4550663" y="3251438"/>
            <a:chExt cx="1590600" cy="1057200"/>
          </a:xfrm>
        </xdr:grpSpPr>
        <xdr:sp macro="" textlink="">
          <xdr:nvSpPr>
            <xdr:cNvPr id="196" name="Shape 6">
              <a:extLst>
                <a:ext uri="{FF2B5EF4-FFF2-40B4-BE49-F238E27FC236}">
                  <a16:creationId xmlns:a16="http://schemas.microsoft.com/office/drawing/2014/main" id="{00000000-0008-0000-0700-0000C4000000}"/>
                </a:ext>
              </a:extLst>
            </xdr:cNvPr>
            <xdr:cNvSpPr/>
          </xdr:nvSpPr>
          <xdr:spPr>
            <a:xfrm>
              <a:off x="4550663" y="3251438"/>
              <a:ext cx="1590600" cy="1057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97" name="Shape 174">
              <a:extLst>
                <a:ext uri="{FF2B5EF4-FFF2-40B4-BE49-F238E27FC236}">
                  <a16:creationId xmlns:a16="http://schemas.microsoft.com/office/drawing/2014/main" id="{00000000-0008-0000-0700-0000C5000000}"/>
                </a:ext>
              </a:extLst>
            </xdr:cNvPr>
            <xdr:cNvCxnSpPr>
              <a:stCxn id="123" idx="3"/>
            </xdr:cNvCxnSpPr>
          </xdr:nvCxnSpPr>
          <xdr:spPr>
            <a:xfrm rot="10800000" flipH="1">
              <a:off x="4550663" y="3251438"/>
              <a:ext cx="1590600" cy="1057200"/>
            </a:xfrm>
            <a:prstGeom prst="bentConnector3">
              <a:avLst>
                <a:gd name="adj1" fmla="val -64645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17</xdr:col>
      <xdr:colOff>295275</xdr:colOff>
      <xdr:row>37</xdr:row>
      <xdr:rowOff>161925</xdr:rowOff>
    </xdr:from>
    <xdr:ext cx="400050" cy="2324100"/>
    <xdr:grpSp>
      <xdr:nvGrpSpPr>
        <xdr:cNvPr id="198" name="Shape 2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GrpSpPr/>
      </xdr:nvGrpSpPr>
      <xdr:grpSpPr>
        <a:xfrm>
          <a:off x="15001875" y="7515225"/>
          <a:ext cx="400050" cy="2324100"/>
          <a:chOff x="5145975" y="-3105728"/>
          <a:chExt cx="400050" cy="13771452"/>
        </a:xfrm>
      </xdr:grpSpPr>
      <xdr:grpSp>
        <xdr:nvGrpSpPr>
          <xdr:cNvPr id="199" name="Shape 175">
            <a:extLst>
              <a:ext uri="{FF2B5EF4-FFF2-40B4-BE49-F238E27FC236}">
                <a16:creationId xmlns:a16="http://schemas.microsoft.com/office/drawing/2014/main" id="{00000000-0008-0000-0700-0000C7000000}"/>
              </a:ext>
            </a:extLst>
          </xdr:cNvPr>
          <xdr:cNvGrpSpPr/>
        </xdr:nvGrpSpPr>
        <xdr:grpSpPr>
          <a:xfrm>
            <a:off x="5145975" y="-3105728"/>
            <a:ext cx="400050" cy="13771452"/>
            <a:chOff x="4188788" y="2622788"/>
            <a:chExt cx="2314500" cy="2314500"/>
          </a:xfrm>
        </xdr:grpSpPr>
        <xdr:sp macro="" textlink="">
          <xdr:nvSpPr>
            <xdr:cNvPr id="200" name="Shape 6">
              <a:extLst>
                <a:ext uri="{FF2B5EF4-FFF2-40B4-BE49-F238E27FC236}">
                  <a16:creationId xmlns:a16="http://schemas.microsoft.com/office/drawing/2014/main" id="{00000000-0008-0000-0700-0000C8000000}"/>
                </a:ext>
              </a:extLst>
            </xdr:cNvPr>
            <xdr:cNvSpPr/>
          </xdr:nvSpPr>
          <xdr:spPr>
            <a:xfrm>
              <a:off x="4188788" y="3584738"/>
              <a:ext cx="2314500" cy="390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01" name="Shape 176">
              <a:extLst>
                <a:ext uri="{FF2B5EF4-FFF2-40B4-BE49-F238E27FC236}">
                  <a16:creationId xmlns:a16="http://schemas.microsoft.com/office/drawing/2014/main" id="{00000000-0008-0000-0700-0000C9000000}"/>
                </a:ext>
              </a:extLst>
            </xdr:cNvPr>
            <xdr:cNvCxnSpPr>
              <a:stCxn id="127" idx="3"/>
              <a:endCxn id="129" idx="1"/>
            </xdr:cNvCxnSpPr>
          </xdr:nvCxnSpPr>
          <xdr:spPr>
            <a:xfrm rot="-5400000">
              <a:off x="4188788" y="3584738"/>
              <a:ext cx="2314500" cy="390600"/>
            </a:xfrm>
            <a:prstGeom prst="bentConnector3">
              <a:avLst>
                <a:gd name="adj1" fmla="val 84731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17</xdr:col>
      <xdr:colOff>295275</xdr:colOff>
      <xdr:row>49</xdr:row>
      <xdr:rowOff>76200</xdr:rowOff>
    </xdr:from>
    <xdr:ext cx="838200" cy="942975"/>
    <xdr:grpSp>
      <xdr:nvGrpSpPr>
        <xdr:cNvPr id="202" name="Shape 2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GrpSpPr/>
      </xdr:nvGrpSpPr>
      <xdr:grpSpPr>
        <a:xfrm>
          <a:off x="15001875" y="9829800"/>
          <a:ext cx="838200" cy="942975"/>
          <a:chOff x="4926900" y="3248766"/>
          <a:chExt cx="838200" cy="1062469"/>
        </a:xfrm>
      </xdr:grpSpPr>
      <xdr:grpSp>
        <xdr:nvGrpSpPr>
          <xdr:cNvPr id="203" name="Shape 177">
            <a:extLst>
              <a:ext uri="{FF2B5EF4-FFF2-40B4-BE49-F238E27FC236}">
                <a16:creationId xmlns:a16="http://schemas.microsoft.com/office/drawing/2014/main" id="{00000000-0008-0000-0700-0000CB000000}"/>
              </a:ext>
            </a:extLst>
          </xdr:cNvPr>
          <xdr:cNvGrpSpPr/>
        </xdr:nvGrpSpPr>
        <xdr:grpSpPr>
          <a:xfrm>
            <a:off x="4926900" y="3248766"/>
            <a:ext cx="838200" cy="1062469"/>
            <a:chOff x="4879163" y="3313275"/>
            <a:chExt cx="933600" cy="933600"/>
          </a:xfrm>
        </xdr:grpSpPr>
        <xdr:sp macro="" textlink="">
          <xdr:nvSpPr>
            <xdr:cNvPr id="204" name="Shape 6">
              <a:extLst>
                <a:ext uri="{FF2B5EF4-FFF2-40B4-BE49-F238E27FC236}">
                  <a16:creationId xmlns:a16="http://schemas.microsoft.com/office/drawing/2014/main" id="{00000000-0008-0000-0700-0000CC000000}"/>
                </a:ext>
              </a:extLst>
            </xdr:cNvPr>
            <xdr:cNvSpPr/>
          </xdr:nvSpPr>
          <xdr:spPr>
            <a:xfrm>
              <a:off x="4879163" y="3365775"/>
              <a:ext cx="933600" cy="828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05" name="Shape 178">
              <a:extLst>
                <a:ext uri="{FF2B5EF4-FFF2-40B4-BE49-F238E27FC236}">
                  <a16:creationId xmlns:a16="http://schemas.microsoft.com/office/drawing/2014/main" id="{00000000-0008-0000-0700-0000CD000000}"/>
                </a:ext>
              </a:extLst>
            </xdr:cNvPr>
            <xdr:cNvCxnSpPr>
              <a:stCxn id="127" idx="3"/>
              <a:endCxn id="130" idx="1"/>
            </xdr:cNvCxnSpPr>
          </xdr:nvCxnSpPr>
          <xdr:spPr>
            <a:xfrm rot="-5400000" flipH="1">
              <a:off x="4879163" y="3365775"/>
              <a:ext cx="933600" cy="828600"/>
            </a:xfrm>
            <a:prstGeom prst="bentConnector3">
              <a:avLst>
                <a:gd name="adj1" fmla="val -5722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638175</xdr:colOff>
      <xdr:row>51</xdr:row>
      <xdr:rowOff>28575</xdr:rowOff>
    </xdr:from>
    <xdr:ext cx="1400175" cy="1800225"/>
    <xdr:grpSp>
      <xdr:nvGrpSpPr>
        <xdr:cNvPr id="206" name="Shape 2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GrpSpPr/>
      </xdr:nvGrpSpPr>
      <xdr:grpSpPr>
        <a:xfrm>
          <a:off x="14630400" y="10182225"/>
          <a:ext cx="1400175" cy="1800225"/>
          <a:chOff x="4645913" y="2621076"/>
          <a:chExt cx="1400175" cy="2317848"/>
        </a:xfrm>
      </xdr:grpSpPr>
      <xdr:grpSp>
        <xdr:nvGrpSpPr>
          <xdr:cNvPr id="207" name="Shape 179">
            <a:extLst>
              <a:ext uri="{FF2B5EF4-FFF2-40B4-BE49-F238E27FC236}">
                <a16:creationId xmlns:a16="http://schemas.microsoft.com/office/drawing/2014/main" id="{00000000-0008-0000-0700-0000CF000000}"/>
              </a:ext>
            </a:extLst>
          </xdr:cNvPr>
          <xdr:cNvGrpSpPr/>
        </xdr:nvGrpSpPr>
        <xdr:grpSpPr>
          <a:xfrm>
            <a:off x="4645913" y="2621076"/>
            <a:ext cx="1400175" cy="2317848"/>
            <a:chOff x="4450725" y="2884650"/>
            <a:chExt cx="1790700" cy="1790700"/>
          </a:xfrm>
        </xdr:grpSpPr>
        <xdr:sp macro="" textlink="">
          <xdr:nvSpPr>
            <xdr:cNvPr id="208" name="Shape 6">
              <a:extLst>
                <a:ext uri="{FF2B5EF4-FFF2-40B4-BE49-F238E27FC236}">
                  <a16:creationId xmlns:a16="http://schemas.microsoft.com/office/drawing/2014/main" id="{00000000-0008-0000-0700-0000D0000000}"/>
                </a:ext>
              </a:extLst>
            </xdr:cNvPr>
            <xdr:cNvSpPr/>
          </xdr:nvSpPr>
          <xdr:spPr>
            <a:xfrm>
              <a:off x="4450725" y="3084600"/>
              <a:ext cx="1790700" cy="1390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09" name="Shape 180">
              <a:extLst>
                <a:ext uri="{FF2B5EF4-FFF2-40B4-BE49-F238E27FC236}">
                  <a16:creationId xmlns:a16="http://schemas.microsoft.com/office/drawing/2014/main" id="{00000000-0008-0000-0700-0000D1000000}"/>
                </a:ext>
              </a:extLst>
            </xdr:cNvPr>
            <xdr:cNvCxnSpPr>
              <a:stCxn id="127" idx="2"/>
              <a:endCxn id="132" idx="0"/>
            </xdr:cNvCxnSpPr>
          </xdr:nvCxnSpPr>
          <xdr:spPr>
            <a:xfrm rot="-5400000" flipH="1">
              <a:off x="4450725" y="3084600"/>
              <a:ext cx="1790700" cy="1390800"/>
            </a:xfrm>
            <a:prstGeom prst="bentConnector3">
              <a:avLst>
                <a:gd name="adj1" fmla="val -215989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13</xdr:col>
      <xdr:colOff>419100</xdr:colOff>
      <xdr:row>47</xdr:row>
      <xdr:rowOff>161925</xdr:rowOff>
    </xdr:from>
    <xdr:ext cx="2628900" cy="409575"/>
    <xdr:sp macro="" textlink="">
      <xdr:nvSpPr>
        <xdr:cNvPr id="210" name="Shape 181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4036313" y="3579975"/>
          <a:ext cx="2619375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alim  reharneo Chip F</a:t>
          </a:r>
          <a:endParaRPr sz="9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16</xdr:col>
      <xdr:colOff>695325</xdr:colOff>
      <xdr:row>33</xdr:row>
      <xdr:rowOff>152400</xdr:rowOff>
    </xdr:from>
    <xdr:ext cx="238125" cy="285750"/>
    <xdr:sp macro="" textlink="">
      <xdr:nvSpPr>
        <xdr:cNvPr id="211" name="Shape 182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5231700" y="3641888"/>
          <a:ext cx="228600" cy="27622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1019175</xdr:colOff>
      <xdr:row>12</xdr:row>
      <xdr:rowOff>66675</xdr:rowOff>
    </xdr:from>
    <xdr:ext cx="8229600" cy="4267200"/>
    <xdr:grpSp>
      <xdr:nvGrpSpPr>
        <xdr:cNvPr id="212" name="Shape 2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GrpSpPr/>
      </xdr:nvGrpSpPr>
      <xdr:grpSpPr>
        <a:xfrm>
          <a:off x="6553200" y="2419350"/>
          <a:ext cx="8229600" cy="4267200"/>
          <a:chOff x="-3291858" y="1646400"/>
          <a:chExt cx="17275715" cy="4267200"/>
        </a:xfrm>
      </xdr:grpSpPr>
      <xdr:grpSp>
        <xdr:nvGrpSpPr>
          <xdr:cNvPr id="213" name="Shape 183">
            <a:extLst>
              <a:ext uri="{FF2B5EF4-FFF2-40B4-BE49-F238E27FC236}">
                <a16:creationId xmlns:a16="http://schemas.microsoft.com/office/drawing/2014/main" id="{00000000-0008-0000-0700-0000D5000000}"/>
              </a:ext>
            </a:extLst>
          </xdr:cNvPr>
          <xdr:cNvGrpSpPr/>
        </xdr:nvGrpSpPr>
        <xdr:grpSpPr>
          <a:xfrm>
            <a:off x="-3291858" y="1646400"/>
            <a:ext cx="17275715" cy="4267200"/>
            <a:chOff x="1235963" y="-330038"/>
            <a:chExt cx="8220075" cy="8220075"/>
          </a:xfrm>
        </xdr:grpSpPr>
        <xdr:sp macro="" textlink="">
          <xdr:nvSpPr>
            <xdr:cNvPr id="214" name="Shape 6">
              <a:extLst>
                <a:ext uri="{FF2B5EF4-FFF2-40B4-BE49-F238E27FC236}">
                  <a16:creationId xmlns:a16="http://schemas.microsoft.com/office/drawing/2014/main" id="{00000000-0008-0000-0700-0000D6000000}"/>
                </a:ext>
              </a:extLst>
            </xdr:cNvPr>
            <xdr:cNvSpPr/>
          </xdr:nvSpPr>
          <xdr:spPr>
            <a:xfrm>
              <a:off x="3388110" y="-330038"/>
              <a:ext cx="3915775" cy="8220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15" name="Shape 184">
              <a:extLst>
                <a:ext uri="{FF2B5EF4-FFF2-40B4-BE49-F238E27FC236}">
                  <a16:creationId xmlns:a16="http://schemas.microsoft.com/office/drawing/2014/main" id="{00000000-0008-0000-0700-0000D7000000}"/>
                </a:ext>
              </a:extLst>
            </xdr:cNvPr>
            <xdr:cNvCxnSpPr/>
          </xdr:nvCxnSpPr>
          <xdr:spPr>
            <a:xfrm rot="5400000" flipH="1">
              <a:off x="3388110" y="-330038"/>
              <a:ext cx="3915782" cy="8220075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19050</xdr:colOff>
      <xdr:row>47</xdr:row>
      <xdr:rowOff>38100</xdr:rowOff>
    </xdr:from>
    <xdr:ext cx="742950" cy="790575"/>
    <xdr:pic>
      <xdr:nvPicPr>
        <xdr:cNvPr id="216" name="image2.png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workbookViewId="0"/>
  </sheetViews>
  <sheetFormatPr baseColWidth="10" defaultColWidth="14.42578125" defaultRowHeight="15" customHeight="1" outlineLevelRow="1" x14ac:dyDescent="0.25"/>
  <cols>
    <col min="1" max="1" width="10.7109375" customWidth="1"/>
    <col min="2" max="2" width="29.140625" customWidth="1"/>
    <col min="3" max="3" width="25.42578125" customWidth="1"/>
    <col min="4" max="4" width="15.42578125" customWidth="1"/>
    <col min="5" max="26" width="10.7109375" customWidth="1"/>
  </cols>
  <sheetData>
    <row r="1" spans="2:9" x14ac:dyDescent="0.25">
      <c r="C1" s="1"/>
    </row>
    <row r="2" spans="2:9" x14ac:dyDescent="0.25">
      <c r="C2" s="1"/>
    </row>
    <row r="3" spans="2:9" x14ac:dyDescent="0.25">
      <c r="C3" s="1"/>
    </row>
    <row r="4" spans="2:9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2:9" hidden="1" outlineLevel="1" x14ac:dyDescent="0.25">
      <c r="B5" s="2" t="s">
        <v>4</v>
      </c>
      <c r="C5" s="2"/>
      <c r="D5" s="3" t="e">
        <f t="shared" ref="D5:D6" si="0">+#REF!</f>
        <v>#REF!</v>
      </c>
      <c r="E5" s="4" t="e">
        <f t="shared" ref="E5:E22" si="1">+ABS(D5)</f>
        <v>#REF!</v>
      </c>
      <c r="F5" s="5" t="e">
        <f t="shared" ref="F5:F6" si="2">+#REF!</f>
        <v>#REF!</v>
      </c>
      <c r="G5" s="6" t="e">
        <f t="shared" ref="G5:G22" si="3">+IF(D5=0,0,IF(D5&lt;0,1,-1))</f>
        <v>#REF!</v>
      </c>
      <c r="H5" s="2"/>
      <c r="I5" s="1"/>
    </row>
    <row r="6" spans="2:9" hidden="1" outlineLevel="1" x14ac:dyDescent="0.25">
      <c r="B6" s="2" t="s">
        <v>5</v>
      </c>
      <c r="C6" s="2"/>
      <c r="D6" s="3" t="e">
        <f t="shared" si="0"/>
        <v>#REF!</v>
      </c>
      <c r="E6" s="4" t="e">
        <f t="shared" si="1"/>
        <v>#REF!</v>
      </c>
      <c r="F6" s="5" t="e">
        <f t="shared" si="2"/>
        <v>#REF!</v>
      </c>
      <c r="G6" s="6" t="e">
        <f t="shared" si="3"/>
        <v>#REF!</v>
      </c>
      <c r="H6" s="2"/>
      <c r="I6" s="1"/>
    </row>
    <row r="7" spans="2:9" hidden="1" outlineLevel="1" x14ac:dyDescent="0.25">
      <c r="B7" s="2" t="s">
        <v>6</v>
      </c>
      <c r="C7" s="2"/>
      <c r="D7" s="7" t="e">
        <f>+'Bal Los Colorados'!D56</f>
        <v>#REF!</v>
      </c>
      <c r="E7" s="4" t="e">
        <f t="shared" si="1"/>
        <v>#REF!</v>
      </c>
      <c r="F7" s="5" t="e">
        <f>+'Bal Los Colorados'!F56</f>
        <v>#REF!</v>
      </c>
      <c r="G7" s="6" t="e">
        <f t="shared" si="3"/>
        <v>#REF!</v>
      </c>
      <c r="H7" s="2"/>
      <c r="I7" s="1"/>
    </row>
    <row r="8" spans="2:9" hidden="1" outlineLevel="1" x14ac:dyDescent="0.25">
      <c r="B8" s="8" t="s">
        <v>7</v>
      </c>
      <c r="C8" s="8"/>
      <c r="D8" s="7" t="e">
        <f t="shared" ref="D8:D9" si="4">+#REF!</f>
        <v>#REF!</v>
      </c>
      <c r="E8" s="4" t="e">
        <f t="shared" si="1"/>
        <v>#REF!</v>
      </c>
      <c r="F8" s="5" t="e">
        <f t="shared" ref="F8:F16" si="5">+#REF!</f>
        <v>#REF!</v>
      </c>
      <c r="G8" s="6" t="e">
        <f t="shared" si="3"/>
        <v>#REF!</v>
      </c>
      <c r="H8" s="2"/>
      <c r="I8" s="1"/>
    </row>
    <row r="9" spans="2:9" hidden="1" outlineLevel="1" x14ac:dyDescent="0.25">
      <c r="B9" s="2" t="s">
        <v>8</v>
      </c>
      <c r="C9" s="2"/>
      <c r="D9" s="3" t="e">
        <f t="shared" si="4"/>
        <v>#REF!</v>
      </c>
      <c r="E9" s="4" t="e">
        <f t="shared" si="1"/>
        <v>#REF!</v>
      </c>
      <c r="F9" s="5" t="e">
        <f t="shared" si="5"/>
        <v>#REF!</v>
      </c>
      <c r="G9" s="6" t="e">
        <f t="shared" si="3"/>
        <v>#REF!</v>
      </c>
      <c r="H9" s="9"/>
      <c r="I9" s="1"/>
    </row>
    <row r="10" spans="2:9" collapsed="1" x14ac:dyDescent="0.25">
      <c r="B10" s="10" t="s">
        <v>9</v>
      </c>
      <c r="C10" s="11" t="e">
        <f t="shared" ref="C10:D10" si="6">+#REF!</f>
        <v>#REF!</v>
      </c>
      <c r="D10" s="12" t="e">
        <f t="shared" si="6"/>
        <v>#REF!</v>
      </c>
      <c r="E10" s="13" t="e">
        <f t="shared" si="1"/>
        <v>#REF!</v>
      </c>
      <c r="F10" s="14" t="e">
        <f t="shared" si="5"/>
        <v>#REF!</v>
      </c>
      <c r="G10" s="15" t="e">
        <f t="shared" si="3"/>
        <v>#REF!</v>
      </c>
      <c r="H10" s="16"/>
      <c r="I10" s="1"/>
    </row>
    <row r="11" spans="2:9" x14ac:dyDescent="0.25">
      <c r="B11" s="10" t="s">
        <v>10</v>
      </c>
      <c r="C11" s="11" t="e">
        <f t="shared" ref="C11:D11" si="7">+#REF!</f>
        <v>#REF!</v>
      </c>
      <c r="D11" s="12" t="e">
        <f t="shared" si="7"/>
        <v>#REF!</v>
      </c>
      <c r="E11" s="13" t="e">
        <f t="shared" si="1"/>
        <v>#REF!</v>
      </c>
      <c r="F11" s="14" t="e">
        <f t="shared" si="5"/>
        <v>#REF!</v>
      </c>
      <c r="G11" s="15" t="e">
        <f t="shared" si="3"/>
        <v>#REF!</v>
      </c>
      <c r="H11" s="16"/>
      <c r="I11" s="1"/>
    </row>
    <row r="12" spans="2:9" x14ac:dyDescent="0.25">
      <c r="B12" s="10" t="s">
        <v>11</v>
      </c>
      <c r="C12" s="11" t="e">
        <f t="shared" ref="C12:D12" si="8">+#REF!</f>
        <v>#REF!</v>
      </c>
      <c r="D12" s="12" t="e">
        <f t="shared" si="8"/>
        <v>#REF!</v>
      </c>
      <c r="E12" s="13" t="e">
        <f t="shared" si="1"/>
        <v>#REF!</v>
      </c>
      <c r="F12" s="14" t="e">
        <f t="shared" si="5"/>
        <v>#REF!</v>
      </c>
      <c r="G12" s="15" t="e">
        <f t="shared" si="3"/>
        <v>#REF!</v>
      </c>
      <c r="H12" s="16"/>
      <c r="I12" s="1"/>
    </row>
    <row r="13" spans="2:9" x14ac:dyDescent="0.25">
      <c r="B13" s="10" t="s">
        <v>12</v>
      </c>
      <c r="C13" s="11" t="e">
        <f t="shared" ref="C13:D13" si="9">+#REF!</f>
        <v>#REF!</v>
      </c>
      <c r="D13" s="12" t="e">
        <f t="shared" si="9"/>
        <v>#REF!</v>
      </c>
      <c r="E13" s="13" t="e">
        <f t="shared" si="1"/>
        <v>#REF!</v>
      </c>
      <c r="F13" s="14" t="e">
        <f t="shared" si="5"/>
        <v>#REF!</v>
      </c>
      <c r="G13" s="15" t="e">
        <f t="shared" si="3"/>
        <v>#REF!</v>
      </c>
      <c r="H13" s="16"/>
      <c r="I13" s="1"/>
    </row>
    <row r="14" spans="2:9" x14ac:dyDescent="0.25">
      <c r="B14" s="10" t="s">
        <v>13</v>
      </c>
      <c r="C14" s="11" t="e">
        <f t="shared" ref="C14:D14" si="10">+#REF!</f>
        <v>#REF!</v>
      </c>
      <c r="D14" s="12" t="e">
        <f t="shared" si="10"/>
        <v>#REF!</v>
      </c>
      <c r="E14" s="13" t="e">
        <f t="shared" si="1"/>
        <v>#REF!</v>
      </c>
      <c r="F14" s="14" t="e">
        <f t="shared" si="5"/>
        <v>#REF!</v>
      </c>
      <c r="G14" s="15" t="e">
        <f t="shared" si="3"/>
        <v>#REF!</v>
      </c>
      <c r="H14" s="16"/>
      <c r="I14" s="1"/>
    </row>
    <row r="15" spans="2:9" x14ac:dyDescent="0.25">
      <c r="B15" s="10" t="s">
        <v>14</v>
      </c>
      <c r="C15" s="11"/>
      <c r="D15" s="17">
        <f>+Utilidad!D95</f>
        <v>0</v>
      </c>
      <c r="E15" s="13">
        <f t="shared" si="1"/>
        <v>0</v>
      </c>
      <c r="F15" s="14" t="e">
        <f t="shared" si="5"/>
        <v>#REF!</v>
      </c>
      <c r="G15" s="15">
        <f t="shared" si="3"/>
        <v>0</v>
      </c>
      <c r="H15" s="16"/>
      <c r="I15" s="1"/>
    </row>
    <row r="16" spans="2:9" x14ac:dyDescent="0.25">
      <c r="B16" s="10" t="s">
        <v>15</v>
      </c>
      <c r="C16" s="11"/>
      <c r="D16" s="17">
        <f>+Utilidad!D93</f>
        <v>0</v>
      </c>
      <c r="E16" s="13">
        <f t="shared" si="1"/>
        <v>0</v>
      </c>
      <c r="F16" s="14" t="e">
        <f t="shared" si="5"/>
        <v>#REF!</v>
      </c>
      <c r="G16" s="15">
        <f t="shared" si="3"/>
        <v>0</v>
      </c>
      <c r="H16" s="16"/>
      <c r="I16" s="1"/>
    </row>
    <row r="17" spans="2:9" x14ac:dyDescent="0.25">
      <c r="B17" s="10" t="s">
        <v>16</v>
      </c>
      <c r="C17" s="11" t="e">
        <f t="shared" ref="C17:C22" si="11">+#REF!</f>
        <v>#REF!</v>
      </c>
      <c r="D17" s="17">
        <f>+Utilidad!D100</f>
        <v>0</v>
      </c>
      <c r="E17" s="13">
        <f t="shared" si="1"/>
        <v>0</v>
      </c>
      <c r="F17" s="18">
        <f>+Utilidad!F100</f>
        <v>0</v>
      </c>
      <c r="G17" s="15">
        <f t="shared" si="3"/>
        <v>0</v>
      </c>
      <c r="H17" s="16"/>
      <c r="I17" s="1"/>
    </row>
    <row r="18" spans="2:9" x14ac:dyDescent="0.25">
      <c r="B18" s="10" t="s">
        <v>17</v>
      </c>
      <c r="C18" s="11" t="e">
        <f t="shared" si="11"/>
        <v>#REF!</v>
      </c>
      <c r="D18" s="17">
        <f>+Utilidad!D102</f>
        <v>0</v>
      </c>
      <c r="E18" s="13">
        <f t="shared" si="1"/>
        <v>0</v>
      </c>
      <c r="F18" s="14" t="e">
        <f t="shared" ref="F18:F19" si="12">+#REF!</f>
        <v>#REF!</v>
      </c>
      <c r="G18" s="15">
        <f t="shared" si="3"/>
        <v>0</v>
      </c>
      <c r="H18" s="16"/>
      <c r="I18" s="1"/>
    </row>
    <row r="19" spans="2:9" x14ac:dyDescent="0.25">
      <c r="B19" s="10" t="s">
        <v>18</v>
      </c>
      <c r="C19" s="11" t="e">
        <f t="shared" si="11"/>
        <v>#REF!</v>
      </c>
      <c r="D19" s="17">
        <f>+Utilidad!D104</f>
        <v>0</v>
      </c>
      <c r="E19" s="13">
        <f t="shared" si="1"/>
        <v>0</v>
      </c>
      <c r="F19" s="14" t="e">
        <f t="shared" si="12"/>
        <v>#REF!</v>
      </c>
      <c r="G19" s="15">
        <f t="shared" si="3"/>
        <v>0</v>
      </c>
      <c r="H19" s="16"/>
      <c r="I19" s="1"/>
    </row>
    <row r="20" spans="2:9" x14ac:dyDescent="0.25">
      <c r="B20" s="10" t="s">
        <v>19</v>
      </c>
      <c r="C20" s="11" t="e">
        <f t="shared" si="11"/>
        <v>#REF!</v>
      </c>
      <c r="D20" s="17">
        <f>+Utilidad!D121</f>
        <v>0</v>
      </c>
      <c r="E20" s="13">
        <f t="shared" si="1"/>
        <v>0</v>
      </c>
      <c r="F20" s="18">
        <f>+Utilidad!F121</f>
        <v>0</v>
      </c>
      <c r="G20" s="15">
        <f t="shared" si="3"/>
        <v>0</v>
      </c>
      <c r="H20" s="16"/>
      <c r="I20" s="1"/>
    </row>
    <row r="21" spans="2:9" ht="15.75" customHeight="1" x14ac:dyDescent="0.25">
      <c r="B21" s="10" t="s">
        <v>20</v>
      </c>
      <c r="C21" s="11" t="e">
        <f t="shared" si="11"/>
        <v>#REF!</v>
      </c>
      <c r="D21" s="17">
        <f>+Utilidad!D123</f>
        <v>0</v>
      </c>
      <c r="E21" s="13">
        <f t="shared" si="1"/>
        <v>0</v>
      </c>
      <c r="F21" s="14" t="e">
        <f>+#REF!</f>
        <v>#REF!</v>
      </c>
      <c r="G21" s="15">
        <f t="shared" si="3"/>
        <v>0</v>
      </c>
      <c r="H21" s="16"/>
      <c r="I21" s="1"/>
    </row>
    <row r="22" spans="2:9" ht="15.75" customHeight="1" x14ac:dyDescent="0.25">
      <c r="B22" s="10" t="s">
        <v>21</v>
      </c>
      <c r="C22" s="11" t="e">
        <f t="shared" si="11"/>
        <v>#REF!</v>
      </c>
      <c r="D22" s="17">
        <f>+Utilidad!D125</f>
        <v>0</v>
      </c>
      <c r="E22" s="13">
        <f t="shared" si="1"/>
        <v>0</v>
      </c>
      <c r="F22" s="18">
        <f>+Utilidad!F125</f>
        <v>0</v>
      </c>
      <c r="G22" s="15">
        <f t="shared" si="3"/>
        <v>0</v>
      </c>
      <c r="H22" s="16"/>
      <c r="I22" s="1"/>
    </row>
    <row r="23" spans="2:9" ht="15.75" customHeight="1" x14ac:dyDescent="0.25">
      <c r="C23" s="1"/>
    </row>
    <row r="24" spans="2:9" ht="15.75" customHeight="1" x14ac:dyDescent="0.25">
      <c r="C24" s="1"/>
    </row>
    <row r="25" spans="2:9" ht="15.75" customHeight="1" x14ac:dyDescent="0.25">
      <c r="C25" s="1"/>
    </row>
    <row r="26" spans="2:9" ht="15.75" customHeight="1" x14ac:dyDescent="0.25">
      <c r="C26" s="1"/>
      <c r="D26" s="19"/>
    </row>
    <row r="27" spans="2:9" ht="15.75" customHeight="1" x14ac:dyDescent="0.25">
      <c r="C27" s="1"/>
    </row>
    <row r="28" spans="2:9" ht="15.75" customHeight="1" x14ac:dyDescent="0.25">
      <c r="C28" s="1"/>
    </row>
    <row r="29" spans="2:9" ht="15.75" customHeight="1" x14ac:dyDescent="0.25">
      <c r="C29" s="1"/>
    </row>
    <row r="30" spans="2:9" ht="15.75" customHeight="1" x14ac:dyDescent="0.25">
      <c r="C30" s="1"/>
    </row>
    <row r="31" spans="2:9" ht="15.75" customHeight="1" x14ac:dyDescent="0.25">
      <c r="C31" s="1"/>
    </row>
    <row r="32" spans="2:9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>
      <c r="C301" s="1"/>
    </row>
    <row r="302" spans="3:3" ht="15.75" customHeight="1" x14ac:dyDescent="0.25">
      <c r="C302" s="1"/>
    </row>
    <row r="303" spans="3:3" ht="15.75" customHeight="1" x14ac:dyDescent="0.25">
      <c r="C303" s="1"/>
    </row>
    <row r="304" spans="3:3" ht="15.75" customHeight="1" x14ac:dyDescent="0.25">
      <c r="C304" s="1"/>
    </row>
    <row r="305" spans="3:3" ht="15.75" customHeight="1" x14ac:dyDescent="0.25">
      <c r="C305" s="1"/>
    </row>
    <row r="306" spans="3:3" ht="15.75" customHeight="1" x14ac:dyDescent="0.25">
      <c r="C306" s="1"/>
    </row>
    <row r="307" spans="3:3" ht="15.75" customHeight="1" x14ac:dyDescent="0.25">
      <c r="C307" s="1"/>
    </row>
    <row r="308" spans="3:3" ht="15.75" customHeight="1" x14ac:dyDescent="0.25">
      <c r="C308" s="1"/>
    </row>
    <row r="309" spans="3:3" ht="15.75" customHeight="1" x14ac:dyDescent="0.25">
      <c r="C309" s="1"/>
    </row>
    <row r="310" spans="3:3" ht="15.75" customHeight="1" x14ac:dyDescent="0.25">
      <c r="C310" s="1"/>
    </row>
    <row r="311" spans="3:3" ht="15.75" customHeight="1" x14ac:dyDescent="0.25">
      <c r="C311" s="1"/>
    </row>
    <row r="312" spans="3:3" ht="15.75" customHeight="1" x14ac:dyDescent="0.25">
      <c r="C312" s="1"/>
    </row>
    <row r="313" spans="3:3" ht="15.75" customHeight="1" x14ac:dyDescent="0.25">
      <c r="C313" s="1"/>
    </row>
    <row r="314" spans="3:3" ht="15.75" customHeight="1" x14ac:dyDescent="0.25">
      <c r="C314" s="1"/>
    </row>
    <row r="315" spans="3:3" ht="15.75" customHeight="1" x14ac:dyDescent="0.25">
      <c r="C315" s="1"/>
    </row>
    <row r="316" spans="3:3" ht="15.75" customHeight="1" x14ac:dyDescent="0.25">
      <c r="C316" s="1"/>
    </row>
    <row r="317" spans="3:3" ht="15.75" customHeight="1" x14ac:dyDescent="0.25">
      <c r="C317" s="1"/>
    </row>
    <row r="318" spans="3:3" ht="15.75" customHeight="1" x14ac:dyDescent="0.25">
      <c r="C318" s="1"/>
    </row>
    <row r="319" spans="3:3" ht="15.75" customHeight="1" x14ac:dyDescent="0.25">
      <c r="C319" s="1"/>
    </row>
    <row r="320" spans="3:3" ht="15.75" customHeight="1" x14ac:dyDescent="0.25">
      <c r="C320" s="1"/>
    </row>
    <row r="321" spans="3:3" ht="15.75" customHeight="1" x14ac:dyDescent="0.25">
      <c r="C321" s="1"/>
    </row>
    <row r="322" spans="3:3" ht="15.75" customHeight="1" x14ac:dyDescent="0.25">
      <c r="C322" s="1"/>
    </row>
    <row r="323" spans="3:3" ht="15.75" customHeight="1" x14ac:dyDescent="0.25">
      <c r="C323" s="1"/>
    </row>
    <row r="324" spans="3:3" ht="15.75" customHeight="1" x14ac:dyDescent="0.25">
      <c r="C324" s="1"/>
    </row>
    <row r="325" spans="3:3" ht="15.75" customHeight="1" x14ac:dyDescent="0.25">
      <c r="C325" s="1"/>
    </row>
    <row r="326" spans="3:3" ht="15.75" customHeight="1" x14ac:dyDescent="0.25">
      <c r="C326" s="1"/>
    </row>
    <row r="327" spans="3:3" ht="15.75" customHeight="1" x14ac:dyDescent="0.25">
      <c r="C327" s="1"/>
    </row>
    <row r="328" spans="3:3" ht="15.75" customHeight="1" x14ac:dyDescent="0.25">
      <c r="C328" s="1"/>
    </row>
    <row r="329" spans="3:3" ht="15.75" customHeight="1" x14ac:dyDescent="0.25">
      <c r="C329" s="1"/>
    </row>
    <row r="330" spans="3:3" ht="15.75" customHeight="1" x14ac:dyDescent="0.25">
      <c r="C330" s="1"/>
    </row>
    <row r="331" spans="3:3" ht="15.75" customHeight="1" x14ac:dyDescent="0.25">
      <c r="C331" s="1"/>
    </row>
    <row r="332" spans="3:3" ht="15.75" customHeight="1" x14ac:dyDescent="0.25">
      <c r="C332" s="1"/>
    </row>
    <row r="333" spans="3:3" ht="15.75" customHeight="1" x14ac:dyDescent="0.25">
      <c r="C333" s="1"/>
    </row>
    <row r="334" spans="3:3" ht="15.75" customHeight="1" x14ac:dyDescent="0.25">
      <c r="C334" s="1"/>
    </row>
    <row r="335" spans="3:3" ht="15.75" customHeight="1" x14ac:dyDescent="0.25">
      <c r="C335" s="1"/>
    </row>
    <row r="336" spans="3:3" ht="15.75" customHeight="1" x14ac:dyDescent="0.25">
      <c r="C336" s="1"/>
    </row>
    <row r="337" spans="3:3" ht="15.75" customHeight="1" x14ac:dyDescent="0.25">
      <c r="C337" s="1"/>
    </row>
    <row r="338" spans="3:3" ht="15.75" customHeight="1" x14ac:dyDescent="0.25">
      <c r="C338" s="1"/>
    </row>
    <row r="339" spans="3:3" ht="15.75" customHeight="1" x14ac:dyDescent="0.25">
      <c r="C339" s="1"/>
    </row>
    <row r="340" spans="3:3" ht="15.75" customHeight="1" x14ac:dyDescent="0.25">
      <c r="C340" s="1"/>
    </row>
    <row r="341" spans="3:3" ht="15.75" customHeight="1" x14ac:dyDescent="0.25">
      <c r="C341" s="1"/>
    </row>
    <row r="342" spans="3:3" ht="15.75" customHeight="1" x14ac:dyDescent="0.25">
      <c r="C342" s="1"/>
    </row>
    <row r="343" spans="3:3" ht="15.75" customHeight="1" x14ac:dyDescent="0.25">
      <c r="C343" s="1"/>
    </row>
    <row r="344" spans="3:3" ht="15.75" customHeight="1" x14ac:dyDescent="0.25">
      <c r="C344" s="1"/>
    </row>
    <row r="345" spans="3:3" ht="15.75" customHeight="1" x14ac:dyDescent="0.25">
      <c r="C345" s="1"/>
    </row>
    <row r="346" spans="3:3" ht="15.75" customHeight="1" x14ac:dyDescent="0.25">
      <c r="C346" s="1"/>
    </row>
    <row r="347" spans="3:3" ht="15.75" customHeight="1" x14ac:dyDescent="0.25">
      <c r="C347" s="1"/>
    </row>
    <row r="348" spans="3:3" ht="15.75" customHeight="1" x14ac:dyDescent="0.25">
      <c r="C348" s="1"/>
    </row>
    <row r="349" spans="3:3" ht="15.75" customHeight="1" x14ac:dyDescent="0.25">
      <c r="C349" s="1"/>
    </row>
    <row r="350" spans="3:3" ht="15.75" customHeight="1" x14ac:dyDescent="0.25">
      <c r="C350" s="1"/>
    </row>
    <row r="351" spans="3:3" ht="15.75" customHeight="1" x14ac:dyDescent="0.25">
      <c r="C351" s="1"/>
    </row>
    <row r="352" spans="3:3" ht="15.75" customHeight="1" x14ac:dyDescent="0.25">
      <c r="C352" s="1"/>
    </row>
    <row r="353" spans="3:3" ht="15.75" customHeight="1" x14ac:dyDescent="0.25">
      <c r="C353" s="1"/>
    </row>
    <row r="354" spans="3:3" ht="15.75" customHeight="1" x14ac:dyDescent="0.25">
      <c r="C354" s="1"/>
    </row>
    <row r="355" spans="3:3" ht="15.75" customHeight="1" x14ac:dyDescent="0.25">
      <c r="C355" s="1"/>
    </row>
    <row r="356" spans="3:3" ht="15.75" customHeight="1" x14ac:dyDescent="0.25">
      <c r="C356" s="1"/>
    </row>
    <row r="357" spans="3:3" ht="15.75" customHeight="1" x14ac:dyDescent="0.25">
      <c r="C357" s="1"/>
    </row>
    <row r="358" spans="3:3" ht="15.75" customHeight="1" x14ac:dyDescent="0.25">
      <c r="C358" s="1"/>
    </row>
    <row r="359" spans="3:3" ht="15.75" customHeight="1" x14ac:dyDescent="0.25">
      <c r="C359" s="1"/>
    </row>
    <row r="360" spans="3:3" ht="15.75" customHeight="1" x14ac:dyDescent="0.25">
      <c r="C360" s="1"/>
    </row>
    <row r="361" spans="3:3" ht="15.75" customHeight="1" x14ac:dyDescent="0.25">
      <c r="C361" s="1"/>
    </row>
    <row r="362" spans="3:3" ht="15.75" customHeight="1" x14ac:dyDescent="0.25">
      <c r="C362" s="1"/>
    </row>
    <row r="363" spans="3:3" ht="15.75" customHeight="1" x14ac:dyDescent="0.25">
      <c r="C363" s="1"/>
    </row>
    <row r="364" spans="3:3" ht="15.75" customHeight="1" x14ac:dyDescent="0.25">
      <c r="C364" s="1"/>
    </row>
    <row r="365" spans="3:3" ht="15.75" customHeight="1" x14ac:dyDescent="0.25">
      <c r="C365" s="1"/>
    </row>
    <row r="366" spans="3:3" ht="15.75" customHeight="1" x14ac:dyDescent="0.25">
      <c r="C366" s="1"/>
    </row>
    <row r="367" spans="3:3" ht="15.75" customHeight="1" x14ac:dyDescent="0.25">
      <c r="C367" s="1"/>
    </row>
    <row r="368" spans="3:3" ht="15.75" customHeight="1" x14ac:dyDescent="0.25">
      <c r="C368" s="1"/>
    </row>
    <row r="369" spans="3:3" ht="15.75" customHeight="1" x14ac:dyDescent="0.25">
      <c r="C369" s="1"/>
    </row>
    <row r="370" spans="3:3" ht="15.75" customHeight="1" x14ac:dyDescent="0.25">
      <c r="C370" s="1"/>
    </row>
    <row r="371" spans="3:3" ht="15.75" customHeight="1" x14ac:dyDescent="0.25">
      <c r="C371" s="1"/>
    </row>
    <row r="372" spans="3:3" ht="15.75" customHeight="1" x14ac:dyDescent="0.25">
      <c r="C372" s="1"/>
    </row>
    <row r="373" spans="3:3" ht="15.75" customHeight="1" x14ac:dyDescent="0.25">
      <c r="C373" s="1"/>
    </row>
    <row r="374" spans="3:3" ht="15.75" customHeight="1" x14ac:dyDescent="0.25">
      <c r="C374" s="1"/>
    </row>
    <row r="375" spans="3:3" ht="15.75" customHeight="1" x14ac:dyDescent="0.25">
      <c r="C375" s="1"/>
    </row>
    <row r="376" spans="3:3" ht="15.75" customHeight="1" x14ac:dyDescent="0.25">
      <c r="C376" s="1"/>
    </row>
    <row r="377" spans="3:3" ht="15.75" customHeight="1" x14ac:dyDescent="0.25">
      <c r="C377" s="1"/>
    </row>
    <row r="378" spans="3:3" ht="15.75" customHeight="1" x14ac:dyDescent="0.25">
      <c r="C378" s="1"/>
    </row>
    <row r="379" spans="3:3" ht="15.75" customHeight="1" x14ac:dyDescent="0.25">
      <c r="C379" s="1"/>
    </row>
    <row r="380" spans="3:3" ht="15.75" customHeight="1" x14ac:dyDescent="0.25">
      <c r="C380" s="1"/>
    </row>
    <row r="381" spans="3:3" ht="15.75" customHeight="1" x14ac:dyDescent="0.25">
      <c r="C381" s="1"/>
    </row>
    <row r="382" spans="3:3" ht="15.75" customHeight="1" x14ac:dyDescent="0.25">
      <c r="C382" s="1"/>
    </row>
    <row r="383" spans="3:3" ht="15.75" customHeight="1" x14ac:dyDescent="0.25">
      <c r="C383" s="1"/>
    </row>
    <row r="384" spans="3:3" ht="15.75" customHeight="1" x14ac:dyDescent="0.25">
      <c r="C384" s="1"/>
    </row>
    <row r="385" spans="3:3" ht="15.75" customHeight="1" x14ac:dyDescent="0.25">
      <c r="C385" s="1"/>
    </row>
    <row r="386" spans="3:3" ht="15.75" customHeight="1" x14ac:dyDescent="0.25">
      <c r="C386" s="1"/>
    </row>
    <row r="387" spans="3:3" ht="15.75" customHeight="1" x14ac:dyDescent="0.25">
      <c r="C387" s="1"/>
    </row>
    <row r="388" spans="3:3" ht="15.75" customHeight="1" x14ac:dyDescent="0.25">
      <c r="C388" s="1"/>
    </row>
    <row r="389" spans="3:3" ht="15.75" customHeight="1" x14ac:dyDescent="0.25">
      <c r="C389" s="1"/>
    </row>
    <row r="390" spans="3:3" ht="15.75" customHeight="1" x14ac:dyDescent="0.25">
      <c r="C390" s="1"/>
    </row>
    <row r="391" spans="3:3" ht="15.75" customHeight="1" x14ac:dyDescent="0.25">
      <c r="C391" s="1"/>
    </row>
    <row r="392" spans="3:3" ht="15.75" customHeight="1" x14ac:dyDescent="0.25">
      <c r="C392" s="1"/>
    </row>
    <row r="393" spans="3:3" ht="15.75" customHeight="1" x14ac:dyDescent="0.25">
      <c r="C393" s="1"/>
    </row>
    <row r="394" spans="3:3" ht="15.75" customHeight="1" x14ac:dyDescent="0.25">
      <c r="C394" s="1"/>
    </row>
    <row r="395" spans="3:3" ht="15.75" customHeight="1" x14ac:dyDescent="0.25">
      <c r="C395" s="1"/>
    </row>
    <row r="396" spans="3:3" ht="15.75" customHeight="1" x14ac:dyDescent="0.25">
      <c r="C396" s="1"/>
    </row>
    <row r="397" spans="3:3" ht="15.75" customHeight="1" x14ac:dyDescent="0.25">
      <c r="C397" s="1"/>
    </row>
    <row r="398" spans="3:3" ht="15.75" customHeight="1" x14ac:dyDescent="0.25">
      <c r="C398" s="1"/>
    </row>
    <row r="399" spans="3:3" ht="15.75" customHeight="1" x14ac:dyDescent="0.25">
      <c r="C399" s="1"/>
    </row>
    <row r="400" spans="3:3" ht="15.75" customHeight="1" x14ac:dyDescent="0.25">
      <c r="C400" s="1"/>
    </row>
    <row r="401" spans="3:3" ht="15.75" customHeight="1" x14ac:dyDescent="0.25">
      <c r="C401" s="1"/>
    </row>
    <row r="402" spans="3:3" ht="15.75" customHeight="1" x14ac:dyDescent="0.25">
      <c r="C402" s="1"/>
    </row>
    <row r="403" spans="3:3" ht="15.75" customHeight="1" x14ac:dyDescent="0.25">
      <c r="C403" s="1"/>
    </row>
    <row r="404" spans="3:3" ht="15.75" customHeight="1" x14ac:dyDescent="0.25">
      <c r="C404" s="1"/>
    </row>
    <row r="405" spans="3:3" ht="15.75" customHeight="1" x14ac:dyDescent="0.25">
      <c r="C405" s="1"/>
    </row>
    <row r="406" spans="3:3" ht="15.75" customHeight="1" x14ac:dyDescent="0.25">
      <c r="C406" s="1"/>
    </row>
    <row r="407" spans="3:3" ht="15.75" customHeight="1" x14ac:dyDescent="0.25">
      <c r="C407" s="1"/>
    </row>
    <row r="408" spans="3:3" ht="15.75" customHeight="1" x14ac:dyDescent="0.25">
      <c r="C408" s="1"/>
    </row>
    <row r="409" spans="3:3" ht="15.75" customHeight="1" x14ac:dyDescent="0.25">
      <c r="C409" s="1"/>
    </row>
    <row r="410" spans="3:3" ht="15.75" customHeight="1" x14ac:dyDescent="0.25">
      <c r="C410" s="1"/>
    </row>
    <row r="411" spans="3:3" ht="15.75" customHeight="1" x14ac:dyDescent="0.25">
      <c r="C411" s="1"/>
    </row>
    <row r="412" spans="3:3" ht="15.75" customHeight="1" x14ac:dyDescent="0.25">
      <c r="C412" s="1"/>
    </row>
    <row r="413" spans="3:3" ht="15.75" customHeight="1" x14ac:dyDescent="0.25">
      <c r="C413" s="1"/>
    </row>
    <row r="414" spans="3:3" ht="15.75" customHeight="1" x14ac:dyDescent="0.25">
      <c r="C414" s="1"/>
    </row>
    <row r="415" spans="3:3" ht="15.75" customHeight="1" x14ac:dyDescent="0.25">
      <c r="C415" s="1"/>
    </row>
    <row r="416" spans="3:3" ht="15.75" customHeight="1" x14ac:dyDescent="0.25">
      <c r="C416" s="1"/>
    </row>
    <row r="417" spans="3:3" ht="15.75" customHeight="1" x14ac:dyDescent="0.25">
      <c r="C417" s="1"/>
    </row>
    <row r="418" spans="3:3" ht="15.75" customHeight="1" x14ac:dyDescent="0.25">
      <c r="C418" s="1"/>
    </row>
    <row r="419" spans="3:3" ht="15.75" customHeight="1" x14ac:dyDescent="0.25">
      <c r="C419" s="1"/>
    </row>
    <row r="420" spans="3:3" ht="15.75" customHeight="1" x14ac:dyDescent="0.25">
      <c r="C420" s="1"/>
    </row>
    <row r="421" spans="3:3" ht="15.75" customHeight="1" x14ac:dyDescent="0.25">
      <c r="C421" s="1"/>
    </row>
    <row r="422" spans="3:3" ht="15.75" customHeight="1" x14ac:dyDescent="0.25">
      <c r="C422" s="1"/>
    </row>
    <row r="423" spans="3:3" ht="15.75" customHeight="1" x14ac:dyDescent="0.25">
      <c r="C423" s="1"/>
    </row>
    <row r="424" spans="3:3" ht="15.75" customHeight="1" x14ac:dyDescent="0.25">
      <c r="C424" s="1"/>
    </row>
    <row r="425" spans="3:3" ht="15.75" customHeight="1" x14ac:dyDescent="0.25">
      <c r="C425" s="1"/>
    </row>
    <row r="426" spans="3:3" ht="15.75" customHeight="1" x14ac:dyDescent="0.25">
      <c r="C426" s="1"/>
    </row>
    <row r="427" spans="3:3" ht="15.75" customHeight="1" x14ac:dyDescent="0.25">
      <c r="C427" s="1"/>
    </row>
    <row r="428" spans="3:3" ht="15.75" customHeight="1" x14ac:dyDescent="0.25">
      <c r="C428" s="1"/>
    </row>
    <row r="429" spans="3:3" ht="15.75" customHeight="1" x14ac:dyDescent="0.25">
      <c r="C429" s="1"/>
    </row>
    <row r="430" spans="3:3" ht="15.75" customHeight="1" x14ac:dyDescent="0.25">
      <c r="C430" s="1"/>
    </row>
    <row r="431" spans="3:3" ht="15.75" customHeight="1" x14ac:dyDescent="0.25">
      <c r="C431" s="1"/>
    </row>
    <row r="432" spans="3:3" ht="15.75" customHeight="1" x14ac:dyDescent="0.25">
      <c r="C432" s="1"/>
    </row>
    <row r="433" spans="3:3" ht="15.75" customHeight="1" x14ac:dyDescent="0.25">
      <c r="C433" s="1"/>
    </row>
    <row r="434" spans="3:3" ht="15.75" customHeight="1" x14ac:dyDescent="0.25">
      <c r="C434" s="1"/>
    </row>
    <row r="435" spans="3:3" ht="15.75" customHeight="1" x14ac:dyDescent="0.25">
      <c r="C435" s="1"/>
    </row>
    <row r="436" spans="3:3" ht="15.75" customHeight="1" x14ac:dyDescent="0.25">
      <c r="C436" s="1"/>
    </row>
    <row r="437" spans="3:3" ht="15.75" customHeight="1" x14ac:dyDescent="0.25">
      <c r="C437" s="1"/>
    </row>
    <row r="438" spans="3:3" ht="15.75" customHeight="1" x14ac:dyDescent="0.25">
      <c r="C438" s="1"/>
    </row>
    <row r="439" spans="3:3" ht="15.75" customHeight="1" x14ac:dyDescent="0.25">
      <c r="C439" s="1"/>
    </row>
    <row r="440" spans="3:3" ht="15.75" customHeight="1" x14ac:dyDescent="0.25">
      <c r="C440" s="1"/>
    </row>
    <row r="441" spans="3:3" ht="15.75" customHeight="1" x14ac:dyDescent="0.25">
      <c r="C441" s="1"/>
    </row>
    <row r="442" spans="3:3" ht="15.75" customHeight="1" x14ac:dyDescent="0.25">
      <c r="C442" s="1"/>
    </row>
    <row r="443" spans="3:3" ht="15.75" customHeight="1" x14ac:dyDescent="0.25">
      <c r="C443" s="1"/>
    </row>
    <row r="444" spans="3:3" ht="15.75" customHeight="1" x14ac:dyDescent="0.25">
      <c r="C444" s="1"/>
    </row>
    <row r="445" spans="3:3" ht="15.75" customHeight="1" x14ac:dyDescent="0.25">
      <c r="C445" s="1"/>
    </row>
    <row r="446" spans="3:3" ht="15.75" customHeight="1" x14ac:dyDescent="0.25">
      <c r="C446" s="1"/>
    </row>
    <row r="447" spans="3:3" ht="15.75" customHeight="1" x14ac:dyDescent="0.25">
      <c r="C447" s="1"/>
    </row>
    <row r="448" spans="3:3" ht="15.75" customHeight="1" x14ac:dyDescent="0.25">
      <c r="C448" s="1"/>
    </row>
    <row r="449" spans="3:3" ht="15.75" customHeight="1" x14ac:dyDescent="0.25">
      <c r="C449" s="1"/>
    </row>
    <row r="450" spans="3:3" ht="15.75" customHeight="1" x14ac:dyDescent="0.25">
      <c r="C450" s="1"/>
    </row>
    <row r="451" spans="3:3" ht="15.75" customHeight="1" x14ac:dyDescent="0.25">
      <c r="C451" s="1"/>
    </row>
    <row r="452" spans="3:3" ht="15.75" customHeight="1" x14ac:dyDescent="0.25">
      <c r="C452" s="1"/>
    </row>
    <row r="453" spans="3:3" ht="15.75" customHeight="1" x14ac:dyDescent="0.25">
      <c r="C453" s="1"/>
    </row>
    <row r="454" spans="3:3" ht="15.75" customHeight="1" x14ac:dyDescent="0.25">
      <c r="C454" s="1"/>
    </row>
    <row r="455" spans="3:3" ht="15.75" customHeight="1" x14ac:dyDescent="0.25">
      <c r="C455" s="1"/>
    </row>
    <row r="456" spans="3:3" ht="15.75" customHeight="1" x14ac:dyDescent="0.25">
      <c r="C456" s="1"/>
    </row>
    <row r="457" spans="3:3" ht="15.75" customHeight="1" x14ac:dyDescent="0.25">
      <c r="C457" s="1"/>
    </row>
    <row r="458" spans="3:3" ht="15.75" customHeight="1" x14ac:dyDescent="0.25">
      <c r="C458" s="1"/>
    </row>
    <row r="459" spans="3:3" ht="15.75" customHeight="1" x14ac:dyDescent="0.25">
      <c r="C459" s="1"/>
    </row>
    <row r="460" spans="3:3" ht="15.75" customHeight="1" x14ac:dyDescent="0.25">
      <c r="C460" s="1"/>
    </row>
    <row r="461" spans="3:3" ht="15.75" customHeight="1" x14ac:dyDescent="0.25">
      <c r="C461" s="1"/>
    </row>
    <row r="462" spans="3:3" ht="15.75" customHeight="1" x14ac:dyDescent="0.25">
      <c r="C462" s="1"/>
    </row>
    <row r="463" spans="3:3" ht="15.75" customHeight="1" x14ac:dyDescent="0.25">
      <c r="C463" s="1"/>
    </row>
    <row r="464" spans="3:3" ht="15.75" customHeight="1" x14ac:dyDescent="0.25">
      <c r="C464" s="1"/>
    </row>
    <row r="465" spans="3:3" ht="15.75" customHeight="1" x14ac:dyDescent="0.25">
      <c r="C465" s="1"/>
    </row>
    <row r="466" spans="3:3" ht="15.75" customHeight="1" x14ac:dyDescent="0.25">
      <c r="C466" s="1"/>
    </row>
    <row r="467" spans="3:3" ht="15.75" customHeight="1" x14ac:dyDescent="0.25">
      <c r="C467" s="1"/>
    </row>
    <row r="468" spans="3:3" ht="15.75" customHeight="1" x14ac:dyDescent="0.25">
      <c r="C468" s="1"/>
    </row>
    <row r="469" spans="3:3" ht="15.75" customHeight="1" x14ac:dyDescent="0.25">
      <c r="C469" s="1"/>
    </row>
    <row r="470" spans="3:3" ht="15.75" customHeight="1" x14ac:dyDescent="0.25">
      <c r="C470" s="1"/>
    </row>
    <row r="471" spans="3:3" ht="15.75" customHeight="1" x14ac:dyDescent="0.25">
      <c r="C471" s="1"/>
    </row>
    <row r="472" spans="3:3" ht="15.75" customHeight="1" x14ac:dyDescent="0.25">
      <c r="C472" s="1"/>
    </row>
    <row r="473" spans="3:3" ht="15.75" customHeight="1" x14ac:dyDescent="0.25">
      <c r="C473" s="1"/>
    </row>
    <row r="474" spans="3:3" ht="15.75" customHeight="1" x14ac:dyDescent="0.25">
      <c r="C474" s="1"/>
    </row>
    <row r="475" spans="3:3" ht="15.75" customHeight="1" x14ac:dyDescent="0.25">
      <c r="C475" s="1"/>
    </row>
    <row r="476" spans="3:3" ht="15.75" customHeight="1" x14ac:dyDescent="0.25">
      <c r="C476" s="1"/>
    </row>
    <row r="477" spans="3:3" ht="15.75" customHeight="1" x14ac:dyDescent="0.25">
      <c r="C477" s="1"/>
    </row>
    <row r="478" spans="3:3" ht="15.75" customHeight="1" x14ac:dyDescent="0.25">
      <c r="C478" s="1"/>
    </row>
    <row r="479" spans="3:3" ht="15.75" customHeight="1" x14ac:dyDescent="0.25">
      <c r="C479" s="1"/>
    </row>
    <row r="480" spans="3:3" ht="15.75" customHeight="1" x14ac:dyDescent="0.25">
      <c r="C480" s="1"/>
    </row>
    <row r="481" spans="3:3" ht="15.75" customHeight="1" x14ac:dyDescent="0.25">
      <c r="C481" s="1"/>
    </row>
    <row r="482" spans="3:3" ht="15.75" customHeight="1" x14ac:dyDescent="0.25">
      <c r="C482" s="1"/>
    </row>
    <row r="483" spans="3:3" ht="15.75" customHeight="1" x14ac:dyDescent="0.25">
      <c r="C483" s="1"/>
    </row>
    <row r="484" spans="3:3" ht="15.75" customHeight="1" x14ac:dyDescent="0.25">
      <c r="C484" s="1"/>
    </row>
    <row r="485" spans="3:3" ht="15.75" customHeight="1" x14ac:dyDescent="0.25">
      <c r="C485" s="1"/>
    </row>
    <row r="486" spans="3:3" ht="15.75" customHeight="1" x14ac:dyDescent="0.25">
      <c r="C486" s="1"/>
    </row>
    <row r="487" spans="3:3" ht="15.75" customHeight="1" x14ac:dyDescent="0.25">
      <c r="C487" s="1"/>
    </row>
    <row r="488" spans="3:3" ht="15.75" customHeight="1" x14ac:dyDescent="0.25">
      <c r="C488" s="1"/>
    </row>
    <row r="489" spans="3:3" ht="15.75" customHeight="1" x14ac:dyDescent="0.25">
      <c r="C489" s="1"/>
    </row>
    <row r="490" spans="3:3" ht="15.75" customHeight="1" x14ac:dyDescent="0.25">
      <c r="C490" s="1"/>
    </row>
    <row r="491" spans="3:3" ht="15.75" customHeight="1" x14ac:dyDescent="0.25">
      <c r="C491" s="1"/>
    </row>
    <row r="492" spans="3:3" ht="15.75" customHeight="1" x14ac:dyDescent="0.25">
      <c r="C492" s="1"/>
    </row>
    <row r="493" spans="3:3" ht="15.75" customHeight="1" x14ac:dyDescent="0.25">
      <c r="C493" s="1"/>
    </row>
    <row r="494" spans="3:3" ht="15.75" customHeight="1" x14ac:dyDescent="0.25">
      <c r="C494" s="1"/>
    </row>
    <row r="495" spans="3:3" ht="15.75" customHeight="1" x14ac:dyDescent="0.25">
      <c r="C495" s="1"/>
    </row>
    <row r="496" spans="3:3" ht="15.75" customHeight="1" x14ac:dyDescent="0.25">
      <c r="C496" s="1"/>
    </row>
    <row r="497" spans="3:3" ht="15.75" customHeight="1" x14ac:dyDescent="0.25">
      <c r="C497" s="1"/>
    </row>
    <row r="498" spans="3:3" ht="15.75" customHeight="1" x14ac:dyDescent="0.25">
      <c r="C498" s="1"/>
    </row>
    <row r="499" spans="3:3" ht="15.75" customHeight="1" x14ac:dyDescent="0.25">
      <c r="C499" s="1"/>
    </row>
    <row r="500" spans="3:3" ht="15.75" customHeight="1" x14ac:dyDescent="0.25">
      <c r="C500" s="1"/>
    </row>
    <row r="501" spans="3:3" ht="15.75" customHeight="1" x14ac:dyDescent="0.25">
      <c r="C501" s="1"/>
    </row>
    <row r="502" spans="3:3" ht="15.75" customHeight="1" x14ac:dyDescent="0.25">
      <c r="C502" s="1"/>
    </row>
    <row r="503" spans="3:3" ht="15.75" customHeight="1" x14ac:dyDescent="0.25">
      <c r="C503" s="1"/>
    </row>
    <row r="504" spans="3:3" ht="15.75" customHeight="1" x14ac:dyDescent="0.25">
      <c r="C504" s="1"/>
    </row>
    <row r="505" spans="3:3" ht="15.75" customHeight="1" x14ac:dyDescent="0.25">
      <c r="C505" s="1"/>
    </row>
    <row r="506" spans="3:3" ht="15.75" customHeight="1" x14ac:dyDescent="0.25">
      <c r="C506" s="1"/>
    </row>
    <row r="507" spans="3:3" ht="15.75" customHeight="1" x14ac:dyDescent="0.25">
      <c r="C507" s="1"/>
    </row>
    <row r="508" spans="3:3" ht="15.75" customHeight="1" x14ac:dyDescent="0.25">
      <c r="C508" s="1"/>
    </row>
    <row r="509" spans="3:3" ht="15.75" customHeight="1" x14ac:dyDescent="0.25">
      <c r="C509" s="1"/>
    </row>
    <row r="510" spans="3:3" ht="15.75" customHeight="1" x14ac:dyDescent="0.25">
      <c r="C510" s="1"/>
    </row>
    <row r="511" spans="3:3" ht="15.75" customHeight="1" x14ac:dyDescent="0.25">
      <c r="C511" s="1"/>
    </row>
    <row r="512" spans="3:3" ht="15.75" customHeight="1" x14ac:dyDescent="0.25">
      <c r="C512" s="1"/>
    </row>
    <row r="513" spans="3:3" ht="15.75" customHeight="1" x14ac:dyDescent="0.25">
      <c r="C513" s="1"/>
    </row>
    <row r="514" spans="3:3" ht="15.75" customHeight="1" x14ac:dyDescent="0.25">
      <c r="C514" s="1"/>
    </row>
    <row r="515" spans="3:3" ht="15.75" customHeight="1" x14ac:dyDescent="0.25">
      <c r="C515" s="1"/>
    </row>
    <row r="516" spans="3:3" ht="15.75" customHeight="1" x14ac:dyDescent="0.25">
      <c r="C516" s="1"/>
    </row>
    <row r="517" spans="3:3" ht="15.75" customHeight="1" x14ac:dyDescent="0.25">
      <c r="C517" s="1"/>
    </row>
    <row r="518" spans="3:3" ht="15.75" customHeight="1" x14ac:dyDescent="0.25">
      <c r="C518" s="1"/>
    </row>
    <row r="519" spans="3:3" ht="15.75" customHeight="1" x14ac:dyDescent="0.25">
      <c r="C519" s="1"/>
    </row>
    <row r="520" spans="3:3" ht="15.75" customHeight="1" x14ac:dyDescent="0.25">
      <c r="C520" s="1"/>
    </row>
    <row r="521" spans="3:3" ht="15.75" customHeight="1" x14ac:dyDescent="0.25">
      <c r="C521" s="1"/>
    </row>
    <row r="522" spans="3:3" ht="15.75" customHeight="1" x14ac:dyDescent="0.25">
      <c r="C522" s="1"/>
    </row>
    <row r="523" spans="3:3" ht="15.75" customHeight="1" x14ac:dyDescent="0.25">
      <c r="C523" s="1"/>
    </row>
    <row r="524" spans="3:3" ht="15.75" customHeight="1" x14ac:dyDescent="0.25">
      <c r="C524" s="1"/>
    </row>
    <row r="525" spans="3:3" ht="15.75" customHeight="1" x14ac:dyDescent="0.25">
      <c r="C525" s="1"/>
    </row>
    <row r="526" spans="3:3" ht="15.75" customHeight="1" x14ac:dyDescent="0.25">
      <c r="C526" s="1"/>
    </row>
    <row r="527" spans="3:3" ht="15.75" customHeight="1" x14ac:dyDescent="0.25">
      <c r="C527" s="1"/>
    </row>
    <row r="528" spans="3:3" ht="15.75" customHeight="1" x14ac:dyDescent="0.25">
      <c r="C528" s="1"/>
    </row>
    <row r="529" spans="3:3" ht="15.75" customHeight="1" x14ac:dyDescent="0.25">
      <c r="C529" s="1"/>
    </row>
    <row r="530" spans="3:3" ht="15.75" customHeight="1" x14ac:dyDescent="0.25">
      <c r="C530" s="1"/>
    </row>
    <row r="531" spans="3:3" ht="15.75" customHeight="1" x14ac:dyDescent="0.25">
      <c r="C531" s="1"/>
    </row>
    <row r="532" spans="3:3" ht="15.75" customHeight="1" x14ac:dyDescent="0.25">
      <c r="C532" s="1"/>
    </row>
    <row r="533" spans="3:3" ht="15.75" customHeight="1" x14ac:dyDescent="0.25">
      <c r="C533" s="1"/>
    </row>
    <row r="534" spans="3:3" ht="15.75" customHeight="1" x14ac:dyDescent="0.25">
      <c r="C534" s="1"/>
    </row>
    <row r="535" spans="3:3" ht="15.75" customHeight="1" x14ac:dyDescent="0.25">
      <c r="C535" s="1"/>
    </row>
    <row r="536" spans="3:3" ht="15.75" customHeight="1" x14ac:dyDescent="0.25">
      <c r="C536" s="1"/>
    </row>
    <row r="537" spans="3:3" ht="15.75" customHeight="1" x14ac:dyDescent="0.25">
      <c r="C537" s="1"/>
    </row>
    <row r="538" spans="3:3" ht="15.75" customHeight="1" x14ac:dyDescent="0.25">
      <c r="C538" s="1"/>
    </row>
    <row r="539" spans="3:3" ht="15.75" customHeight="1" x14ac:dyDescent="0.25">
      <c r="C539" s="1"/>
    </row>
    <row r="540" spans="3:3" ht="15.75" customHeight="1" x14ac:dyDescent="0.25">
      <c r="C540" s="1"/>
    </row>
    <row r="541" spans="3:3" ht="15.75" customHeight="1" x14ac:dyDescent="0.25">
      <c r="C541" s="1"/>
    </row>
    <row r="542" spans="3:3" ht="15.75" customHeight="1" x14ac:dyDescent="0.25">
      <c r="C542" s="1"/>
    </row>
    <row r="543" spans="3:3" ht="15.75" customHeight="1" x14ac:dyDescent="0.25">
      <c r="C543" s="1"/>
    </row>
    <row r="544" spans="3:3" ht="15.75" customHeight="1" x14ac:dyDescent="0.25">
      <c r="C544" s="1"/>
    </row>
    <row r="545" spans="3:3" ht="15.75" customHeight="1" x14ac:dyDescent="0.25">
      <c r="C545" s="1"/>
    </row>
    <row r="546" spans="3:3" ht="15.75" customHeight="1" x14ac:dyDescent="0.25">
      <c r="C546" s="1"/>
    </row>
    <row r="547" spans="3:3" ht="15.75" customHeight="1" x14ac:dyDescent="0.25">
      <c r="C547" s="1"/>
    </row>
    <row r="548" spans="3:3" ht="15.75" customHeight="1" x14ac:dyDescent="0.25">
      <c r="C548" s="1"/>
    </row>
    <row r="549" spans="3:3" ht="15.75" customHeight="1" x14ac:dyDescent="0.25">
      <c r="C549" s="1"/>
    </row>
    <row r="550" spans="3:3" ht="15.75" customHeight="1" x14ac:dyDescent="0.25">
      <c r="C550" s="1"/>
    </row>
    <row r="551" spans="3:3" ht="15.75" customHeight="1" x14ac:dyDescent="0.25">
      <c r="C551" s="1"/>
    </row>
    <row r="552" spans="3:3" ht="15.75" customHeight="1" x14ac:dyDescent="0.25">
      <c r="C552" s="1"/>
    </row>
    <row r="553" spans="3:3" ht="15.75" customHeight="1" x14ac:dyDescent="0.25">
      <c r="C553" s="1"/>
    </row>
    <row r="554" spans="3:3" ht="15.75" customHeight="1" x14ac:dyDescent="0.25">
      <c r="C554" s="1"/>
    </row>
    <row r="555" spans="3:3" ht="15.75" customHeight="1" x14ac:dyDescent="0.25">
      <c r="C555" s="1"/>
    </row>
    <row r="556" spans="3:3" ht="15.75" customHeight="1" x14ac:dyDescent="0.25">
      <c r="C556" s="1"/>
    </row>
    <row r="557" spans="3:3" ht="15.75" customHeight="1" x14ac:dyDescent="0.25">
      <c r="C557" s="1"/>
    </row>
    <row r="558" spans="3:3" ht="15.75" customHeight="1" x14ac:dyDescent="0.25">
      <c r="C558" s="1"/>
    </row>
    <row r="559" spans="3:3" ht="15.75" customHeight="1" x14ac:dyDescent="0.25">
      <c r="C559" s="1"/>
    </row>
    <row r="560" spans="3:3" ht="15.75" customHeight="1" x14ac:dyDescent="0.25">
      <c r="C560" s="1"/>
    </row>
    <row r="561" spans="3:3" ht="15.75" customHeight="1" x14ac:dyDescent="0.25">
      <c r="C561" s="1"/>
    </row>
    <row r="562" spans="3:3" ht="15.75" customHeight="1" x14ac:dyDescent="0.25">
      <c r="C562" s="1"/>
    </row>
    <row r="563" spans="3:3" ht="15.75" customHeight="1" x14ac:dyDescent="0.25">
      <c r="C563" s="1"/>
    </row>
    <row r="564" spans="3:3" ht="15.75" customHeight="1" x14ac:dyDescent="0.25">
      <c r="C564" s="1"/>
    </row>
    <row r="565" spans="3:3" ht="15.75" customHeight="1" x14ac:dyDescent="0.25">
      <c r="C565" s="1"/>
    </row>
    <row r="566" spans="3:3" ht="15.75" customHeight="1" x14ac:dyDescent="0.25">
      <c r="C566" s="1"/>
    </row>
    <row r="567" spans="3:3" ht="15.75" customHeight="1" x14ac:dyDescent="0.25">
      <c r="C567" s="1"/>
    </row>
    <row r="568" spans="3:3" ht="15.75" customHeight="1" x14ac:dyDescent="0.25">
      <c r="C568" s="1"/>
    </row>
    <row r="569" spans="3:3" ht="15.75" customHeight="1" x14ac:dyDescent="0.25">
      <c r="C569" s="1"/>
    </row>
    <row r="570" spans="3:3" ht="15.75" customHeight="1" x14ac:dyDescent="0.25">
      <c r="C570" s="1"/>
    </row>
    <row r="571" spans="3:3" ht="15.75" customHeight="1" x14ac:dyDescent="0.25">
      <c r="C571" s="1"/>
    </row>
    <row r="572" spans="3:3" ht="15.75" customHeight="1" x14ac:dyDescent="0.25">
      <c r="C572" s="1"/>
    </row>
    <row r="573" spans="3:3" ht="15.75" customHeight="1" x14ac:dyDescent="0.25">
      <c r="C573" s="1"/>
    </row>
    <row r="574" spans="3:3" ht="15.75" customHeight="1" x14ac:dyDescent="0.25">
      <c r="C574" s="1"/>
    </row>
    <row r="575" spans="3:3" ht="15.75" customHeight="1" x14ac:dyDescent="0.25">
      <c r="C575" s="1"/>
    </row>
    <row r="576" spans="3:3" ht="15.75" customHeight="1" x14ac:dyDescent="0.25">
      <c r="C576" s="1"/>
    </row>
    <row r="577" spans="3:3" ht="15.75" customHeight="1" x14ac:dyDescent="0.25">
      <c r="C577" s="1"/>
    </row>
    <row r="578" spans="3:3" ht="15.75" customHeight="1" x14ac:dyDescent="0.25">
      <c r="C578" s="1"/>
    </row>
    <row r="579" spans="3:3" ht="15.75" customHeight="1" x14ac:dyDescent="0.25">
      <c r="C579" s="1"/>
    </row>
    <row r="580" spans="3:3" ht="15.75" customHeight="1" x14ac:dyDescent="0.25">
      <c r="C580" s="1"/>
    </row>
    <row r="581" spans="3:3" ht="15.75" customHeight="1" x14ac:dyDescent="0.25">
      <c r="C581" s="1"/>
    </row>
    <row r="582" spans="3:3" ht="15.75" customHeight="1" x14ac:dyDescent="0.25">
      <c r="C582" s="1"/>
    </row>
    <row r="583" spans="3:3" ht="15.75" customHeight="1" x14ac:dyDescent="0.25">
      <c r="C583" s="1"/>
    </row>
    <row r="584" spans="3:3" ht="15.75" customHeight="1" x14ac:dyDescent="0.25">
      <c r="C584" s="1"/>
    </row>
    <row r="585" spans="3:3" ht="15.75" customHeight="1" x14ac:dyDescent="0.25">
      <c r="C585" s="1"/>
    </row>
    <row r="586" spans="3:3" ht="15.75" customHeight="1" x14ac:dyDescent="0.25">
      <c r="C586" s="1"/>
    </row>
    <row r="587" spans="3:3" ht="15.75" customHeight="1" x14ac:dyDescent="0.25">
      <c r="C587" s="1"/>
    </row>
    <row r="588" spans="3:3" ht="15.75" customHeight="1" x14ac:dyDescent="0.25">
      <c r="C588" s="1"/>
    </row>
    <row r="589" spans="3:3" ht="15.75" customHeight="1" x14ac:dyDescent="0.25">
      <c r="C589" s="1"/>
    </row>
    <row r="590" spans="3:3" ht="15.75" customHeight="1" x14ac:dyDescent="0.25">
      <c r="C590" s="1"/>
    </row>
    <row r="591" spans="3:3" ht="15.75" customHeight="1" x14ac:dyDescent="0.25">
      <c r="C591" s="1"/>
    </row>
    <row r="592" spans="3:3" ht="15.75" customHeight="1" x14ac:dyDescent="0.25">
      <c r="C592" s="1"/>
    </row>
    <row r="593" spans="3:3" ht="15.75" customHeight="1" x14ac:dyDescent="0.25">
      <c r="C593" s="1"/>
    </row>
    <row r="594" spans="3:3" ht="15.75" customHeight="1" x14ac:dyDescent="0.25">
      <c r="C594" s="1"/>
    </row>
    <row r="595" spans="3:3" ht="15.75" customHeight="1" x14ac:dyDescent="0.25">
      <c r="C595" s="1"/>
    </row>
    <row r="596" spans="3:3" ht="15.75" customHeight="1" x14ac:dyDescent="0.25">
      <c r="C596" s="1"/>
    </row>
    <row r="597" spans="3:3" ht="15.75" customHeight="1" x14ac:dyDescent="0.25">
      <c r="C597" s="1"/>
    </row>
    <row r="598" spans="3:3" ht="15.75" customHeight="1" x14ac:dyDescent="0.25">
      <c r="C598" s="1"/>
    </row>
    <row r="599" spans="3:3" ht="15.75" customHeight="1" x14ac:dyDescent="0.25">
      <c r="C599" s="1"/>
    </row>
    <row r="600" spans="3:3" ht="15.75" customHeight="1" x14ac:dyDescent="0.25">
      <c r="C600" s="1"/>
    </row>
    <row r="601" spans="3:3" ht="15.75" customHeight="1" x14ac:dyDescent="0.25">
      <c r="C601" s="1"/>
    </row>
    <row r="602" spans="3:3" ht="15.75" customHeight="1" x14ac:dyDescent="0.25">
      <c r="C602" s="1"/>
    </row>
    <row r="603" spans="3:3" ht="15.75" customHeight="1" x14ac:dyDescent="0.25">
      <c r="C603" s="1"/>
    </row>
    <row r="604" spans="3:3" ht="15.75" customHeight="1" x14ac:dyDescent="0.25">
      <c r="C604" s="1"/>
    </row>
    <row r="605" spans="3:3" ht="15.75" customHeight="1" x14ac:dyDescent="0.25">
      <c r="C605" s="1"/>
    </row>
    <row r="606" spans="3:3" ht="15.75" customHeight="1" x14ac:dyDescent="0.25">
      <c r="C606" s="1"/>
    </row>
    <row r="607" spans="3:3" ht="15.75" customHeight="1" x14ac:dyDescent="0.25">
      <c r="C607" s="1"/>
    </row>
    <row r="608" spans="3:3" ht="15.75" customHeight="1" x14ac:dyDescent="0.25">
      <c r="C608" s="1"/>
    </row>
    <row r="609" spans="3:3" ht="15.75" customHeight="1" x14ac:dyDescent="0.25">
      <c r="C609" s="1"/>
    </row>
    <row r="610" spans="3:3" ht="15.75" customHeight="1" x14ac:dyDescent="0.25">
      <c r="C610" s="1"/>
    </row>
    <row r="611" spans="3:3" ht="15.75" customHeight="1" x14ac:dyDescent="0.25">
      <c r="C611" s="1"/>
    </row>
    <row r="612" spans="3:3" ht="15.75" customHeight="1" x14ac:dyDescent="0.25">
      <c r="C612" s="1"/>
    </row>
    <row r="613" spans="3:3" ht="15.75" customHeight="1" x14ac:dyDescent="0.25">
      <c r="C613" s="1"/>
    </row>
    <row r="614" spans="3:3" ht="15.75" customHeight="1" x14ac:dyDescent="0.25">
      <c r="C614" s="1"/>
    </row>
    <row r="615" spans="3:3" ht="15.75" customHeight="1" x14ac:dyDescent="0.25">
      <c r="C615" s="1"/>
    </row>
    <row r="616" spans="3:3" ht="15.75" customHeight="1" x14ac:dyDescent="0.25">
      <c r="C616" s="1"/>
    </row>
    <row r="617" spans="3:3" ht="15.75" customHeight="1" x14ac:dyDescent="0.25">
      <c r="C617" s="1"/>
    </row>
    <row r="618" spans="3:3" ht="15.75" customHeight="1" x14ac:dyDescent="0.25">
      <c r="C618" s="1"/>
    </row>
    <row r="619" spans="3:3" ht="15.75" customHeight="1" x14ac:dyDescent="0.25">
      <c r="C619" s="1"/>
    </row>
    <row r="620" spans="3:3" ht="15.75" customHeight="1" x14ac:dyDescent="0.25">
      <c r="C620" s="1"/>
    </row>
    <row r="621" spans="3:3" ht="15.75" customHeight="1" x14ac:dyDescent="0.25">
      <c r="C621" s="1"/>
    </row>
    <row r="622" spans="3:3" ht="15.75" customHeight="1" x14ac:dyDescent="0.25">
      <c r="C622" s="1"/>
    </row>
    <row r="623" spans="3:3" ht="15.75" customHeight="1" x14ac:dyDescent="0.25">
      <c r="C623" s="1"/>
    </row>
    <row r="624" spans="3:3" ht="15.75" customHeight="1" x14ac:dyDescent="0.25">
      <c r="C624" s="1"/>
    </row>
    <row r="625" spans="3:3" ht="15.75" customHeight="1" x14ac:dyDescent="0.25">
      <c r="C625" s="1"/>
    </row>
    <row r="626" spans="3:3" ht="15.75" customHeight="1" x14ac:dyDescent="0.25">
      <c r="C626" s="1"/>
    </row>
    <row r="627" spans="3:3" ht="15.75" customHeight="1" x14ac:dyDescent="0.25">
      <c r="C627" s="1"/>
    </row>
    <row r="628" spans="3:3" ht="15.75" customHeight="1" x14ac:dyDescent="0.25">
      <c r="C628" s="1"/>
    </row>
    <row r="629" spans="3:3" ht="15.75" customHeight="1" x14ac:dyDescent="0.25">
      <c r="C629" s="1"/>
    </row>
    <row r="630" spans="3:3" ht="15.75" customHeight="1" x14ac:dyDescent="0.25">
      <c r="C630" s="1"/>
    </row>
    <row r="631" spans="3:3" ht="15.75" customHeight="1" x14ac:dyDescent="0.25">
      <c r="C631" s="1"/>
    </row>
    <row r="632" spans="3:3" ht="15.75" customHeight="1" x14ac:dyDescent="0.25">
      <c r="C632" s="1"/>
    </row>
    <row r="633" spans="3:3" ht="15.75" customHeight="1" x14ac:dyDescent="0.25">
      <c r="C633" s="1"/>
    </row>
    <row r="634" spans="3:3" ht="15.75" customHeight="1" x14ac:dyDescent="0.25">
      <c r="C634" s="1"/>
    </row>
    <row r="635" spans="3:3" ht="15.75" customHeight="1" x14ac:dyDescent="0.25">
      <c r="C635" s="1"/>
    </row>
    <row r="636" spans="3:3" ht="15.75" customHeight="1" x14ac:dyDescent="0.25">
      <c r="C636" s="1"/>
    </row>
    <row r="637" spans="3:3" ht="15.75" customHeight="1" x14ac:dyDescent="0.25">
      <c r="C637" s="1"/>
    </row>
    <row r="638" spans="3:3" ht="15.75" customHeight="1" x14ac:dyDescent="0.25">
      <c r="C638" s="1"/>
    </row>
    <row r="639" spans="3:3" ht="15.75" customHeight="1" x14ac:dyDescent="0.25">
      <c r="C639" s="1"/>
    </row>
    <row r="640" spans="3:3" ht="15.75" customHeight="1" x14ac:dyDescent="0.25">
      <c r="C640" s="1"/>
    </row>
    <row r="641" spans="3:3" ht="15.75" customHeight="1" x14ac:dyDescent="0.25">
      <c r="C641" s="1"/>
    </row>
    <row r="642" spans="3:3" ht="15.75" customHeight="1" x14ac:dyDescent="0.25">
      <c r="C642" s="1"/>
    </row>
    <row r="643" spans="3:3" ht="15.75" customHeight="1" x14ac:dyDescent="0.25">
      <c r="C643" s="1"/>
    </row>
    <row r="644" spans="3:3" ht="15.75" customHeight="1" x14ac:dyDescent="0.25">
      <c r="C644" s="1"/>
    </row>
    <row r="645" spans="3:3" ht="15.75" customHeight="1" x14ac:dyDescent="0.25">
      <c r="C645" s="1"/>
    </row>
    <row r="646" spans="3:3" ht="15.75" customHeight="1" x14ac:dyDescent="0.25">
      <c r="C646" s="1"/>
    </row>
    <row r="647" spans="3:3" ht="15.75" customHeight="1" x14ac:dyDescent="0.25">
      <c r="C647" s="1"/>
    </row>
    <row r="648" spans="3:3" ht="15.75" customHeight="1" x14ac:dyDescent="0.25">
      <c r="C648" s="1"/>
    </row>
    <row r="649" spans="3:3" ht="15.75" customHeight="1" x14ac:dyDescent="0.25">
      <c r="C649" s="1"/>
    </row>
    <row r="650" spans="3:3" ht="15.75" customHeight="1" x14ac:dyDescent="0.25">
      <c r="C650" s="1"/>
    </row>
    <row r="651" spans="3:3" ht="15.75" customHeight="1" x14ac:dyDescent="0.25">
      <c r="C651" s="1"/>
    </row>
    <row r="652" spans="3:3" ht="15.75" customHeight="1" x14ac:dyDescent="0.25">
      <c r="C652" s="1"/>
    </row>
    <row r="653" spans="3:3" ht="15.75" customHeight="1" x14ac:dyDescent="0.25">
      <c r="C653" s="1"/>
    </row>
    <row r="654" spans="3:3" ht="15.75" customHeight="1" x14ac:dyDescent="0.25">
      <c r="C654" s="1"/>
    </row>
    <row r="655" spans="3:3" ht="15.75" customHeight="1" x14ac:dyDescent="0.25">
      <c r="C655" s="1"/>
    </row>
    <row r="656" spans="3:3" ht="15.75" customHeight="1" x14ac:dyDescent="0.25">
      <c r="C656" s="1"/>
    </row>
    <row r="657" spans="3:3" ht="15.75" customHeight="1" x14ac:dyDescent="0.25">
      <c r="C657" s="1"/>
    </row>
    <row r="658" spans="3:3" ht="15.75" customHeight="1" x14ac:dyDescent="0.25">
      <c r="C658" s="1"/>
    </row>
    <row r="659" spans="3:3" ht="15.75" customHeight="1" x14ac:dyDescent="0.25">
      <c r="C659" s="1"/>
    </row>
    <row r="660" spans="3:3" ht="15.75" customHeight="1" x14ac:dyDescent="0.25">
      <c r="C660" s="1"/>
    </row>
    <row r="661" spans="3:3" ht="15.75" customHeight="1" x14ac:dyDescent="0.25">
      <c r="C661" s="1"/>
    </row>
    <row r="662" spans="3:3" ht="15.75" customHeight="1" x14ac:dyDescent="0.25">
      <c r="C662" s="1"/>
    </row>
    <row r="663" spans="3:3" ht="15.75" customHeight="1" x14ac:dyDescent="0.25">
      <c r="C663" s="1"/>
    </row>
    <row r="664" spans="3:3" ht="15.75" customHeight="1" x14ac:dyDescent="0.25">
      <c r="C664" s="1"/>
    </row>
    <row r="665" spans="3:3" ht="15.75" customHeight="1" x14ac:dyDescent="0.25">
      <c r="C665" s="1"/>
    </row>
    <row r="666" spans="3:3" ht="15.75" customHeight="1" x14ac:dyDescent="0.25">
      <c r="C666" s="1"/>
    </row>
    <row r="667" spans="3:3" ht="15.75" customHeight="1" x14ac:dyDescent="0.25">
      <c r="C667" s="1"/>
    </row>
    <row r="668" spans="3:3" ht="15.75" customHeight="1" x14ac:dyDescent="0.25">
      <c r="C668" s="1"/>
    </row>
    <row r="669" spans="3:3" ht="15.75" customHeight="1" x14ac:dyDescent="0.25">
      <c r="C669" s="1"/>
    </row>
    <row r="670" spans="3:3" ht="15.75" customHeight="1" x14ac:dyDescent="0.25">
      <c r="C670" s="1"/>
    </row>
    <row r="671" spans="3:3" ht="15.75" customHeight="1" x14ac:dyDescent="0.25">
      <c r="C671" s="1"/>
    </row>
    <row r="672" spans="3:3" ht="15.75" customHeight="1" x14ac:dyDescent="0.25">
      <c r="C672" s="1"/>
    </row>
    <row r="673" spans="3:3" ht="15.75" customHeight="1" x14ac:dyDescent="0.25">
      <c r="C673" s="1"/>
    </row>
    <row r="674" spans="3:3" ht="15.75" customHeight="1" x14ac:dyDescent="0.25">
      <c r="C674" s="1"/>
    </row>
    <row r="675" spans="3:3" ht="15.75" customHeight="1" x14ac:dyDescent="0.25">
      <c r="C675" s="1"/>
    </row>
    <row r="676" spans="3:3" ht="15.75" customHeight="1" x14ac:dyDescent="0.25">
      <c r="C676" s="1"/>
    </row>
    <row r="677" spans="3:3" ht="15.75" customHeight="1" x14ac:dyDescent="0.25">
      <c r="C677" s="1"/>
    </row>
    <row r="678" spans="3:3" ht="15.75" customHeight="1" x14ac:dyDescent="0.25">
      <c r="C678" s="1"/>
    </row>
    <row r="679" spans="3:3" ht="15.75" customHeight="1" x14ac:dyDescent="0.25">
      <c r="C679" s="1"/>
    </row>
    <row r="680" spans="3:3" ht="15.75" customHeight="1" x14ac:dyDescent="0.25">
      <c r="C680" s="1"/>
    </row>
    <row r="681" spans="3:3" ht="15.75" customHeight="1" x14ac:dyDescent="0.25">
      <c r="C681" s="1"/>
    </row>
    <row r="682" spans="3:3" ht="15.75" customHeight="1" x14ac:dyDescent="0.25">
      <c r="C682" s="1"/>
    </row>
    <row r="683" spans="3:3" ht="15.75" customHeight="1" x14ac:dyDescent="0.25">
      <c r="C683" s="1"/>
    </row>
    <row r="684" spans="3:3" ht="15.75" customHeight="1" x14ac:dyDescent="0.25">
      <c r="C684" s="1"/>
    </row>
    <row r="685" spans="3:3" ht="15.75" customHeight="1" x14ac:dyDescent="0.25">
      <c r="C685" s="1"/>
    </row>
    <row r="686" spans="3:3" ht="15.75" customHeight="1" x14ac:dyDescent="0.25">
      <c r="C686" s="1"/>
    </row>
    <row r="687" spans="3:3" ht="15.75" customHeight="1" x14ac:dyDescent="0.25">
      <c r="C687" s="1"/>
    </row>
    <row r="688" spans="3:3" ht="15.75" customHeight="1" x14ac:dyDescent="0.25">
      <c r="C688" s="1"/>
    </row>
    <row r="689" spans="3:3" ht="15.75" customHeight="1" x14ac:dyDescent="0.25">
      <c r="C689" s="1"/>
    </row>
    <row r="690" spans="3:3" ht="15.75" customHeight="1" x14ac:dyDescent="0.25">
      <c r="C690" s="1"/>
    </row>
    <row r="691" spans="3:3" ht="15.75" customHeight="1" x14ac:dyDescent="0.25">
      <c r="C691" s="1"/>
    </row>
    <row r="692" spans="3:3" ht="15.75" customHeight="1" x14ac:dyDescent="0.25">
      <c r="C692" s="1"/>
    </row>
    <row r="693" spans="3:3" ht="15.75" customHeight="1" x14ac:dyDescent="0.25">
      <c r="C693" s="1"/>
    </row>
    <row r="694" spans="3:3" ht="15.75" customHeight="1" x14ac:dyDescent="0.25">
      <c r="C694" s="1"/>
    </row>
    <row r="695" spans="3:3" ht="15.75" customHeight="1" x14ac:dyDescent="0.25">
      <c r="C695" s="1"/>
    </row>
    <row r="696" spans="3:3" ht="15.75" customHeight="1" x14ac:dyDescent="0.25">
      <c r="C696" s="1"/>
    </row>
    <row r="697" spans="3:3" ht="15.75" customHeight="1" x14ac:dyDescent="0.25">
      <c r="C697" s="1"/>
    </row>
    <row r="698" spans="3:3" ht="15.75" customHeight="1" x14ac:dyDescent="0.25">
      <c r="C698" s="1"/>
    </row>
    <row r="699" spans="3:3" ht="15.75" customHeight="1" x14ac:dyDescent="0.25">
      <c r="C699" s="1"/>
    </row>
    <row r="700" spans="3:3" ht="15.75" customHeight="1" x14ac:dyDescent="0.25">
      <c r="C700" s="1"/>
    </row>
    <row r="701" spans="3:3" ht="15.75" customHeight="1" x14ac:dyDescent="0.25">
      <c r="C701" s="1"/>
    </row>
    <row r="702" spans="3:3" ht="15.75" customHeight="1" x14ac:dyDescent="0.25">
      <c r="C702" s="1"/>
    </row>
    <row r="703" spans="3:3" ht="15.75" customHeight="1" x14ac:dyDescent="0.25">
      <c r="C703" s="1"/>
    </row>
    <row r="704" spans="3:3" ht="15.75" customHeight="1" x14ac:dyDescent="0.25">
      <c r="C704" s="1"/>
    </row>
    <row r="705" spans="3:3" ht="15.75" customHeight="1" x14ac:dyDescent="0.25">
      <c r="C705" s="1"/>
    </row>
    <row r="706" spans="3:3" ht="15.75" customHeight="1" x14ac:dyDescent="0.25">
      <c r="C706" s="1"/>
    </row>
    <row r="707" spans="3:3" ht="15.75" customHeight="1" x14ac:dyDescent="0.25">
      <c r="C707" s="1"/>
    </row>
    <row r="708" spans="3:3" ht="15.75" customHeight="1" x14ac:dyDescent="0.25">
      <c r="C708" s="1"/>
    </row>
    <row r="709" spans="3:3" ht="15.75" customHeight="1" x14ac:dyDescent="0.25">
      <c r="C709" s="1"/>
    </row>
    <row r="710" spans="3:3" ht="15.75" customHeight="1" x14ac:dyDescent="0.25">
      <c r="C710" s="1"/>
    </row>
    <row r="711" spans="3:3" ht="15.75" customHeight="1" x14ac:dyDescent="0.25">
      <c r="C711" s="1"/>
    </row>
    <row r="712" spans="3:3" ht="15.75" customHeight="1" x14ac:dyDescent="0.25">
      <c r="C712" s="1"/>
    </row>
    <row r="713" spans="3:3" ht="15.75" customHeight="1" x14ac:dyDescent="0.25">
      <c r="C713" s="1"/>
    </row>
    <row r="714" spans="3:3" ht="15.75" customHeight="1" x14ac:dyDescent="0.25">
      <c r="C714" s="1"/>
    </row>
    <row r="715" spans="3:3" ht="15.75" customHeight="1" x14ac:dyDescent="0.25">
      <c r="C715" s="1"/>
    </row>
    <row r="716" spans="3:3" ht="15.75" customHeight="1" x14ac:dyDescent="0.25">
      <c r="C716" s="1"/>
    </row>
    <row r="717" spans="3:3" ht="15.75" customHeight="1" x14ac:dyDescent="0.25">
      <c r="C717" s="1"/>
    </row>
    <row r="718" spans="3:3" ht="15.75" customHeight="1" x14ac:dyDescent="0.25">
      <c r="C718" s="1"/>
    </row>
    <row r="719" spans="3:3" ht="15.75" customHeight="1" x14ac:dyDescent="0.25">
      <c r="C719" s="1"/>
    </row>
    <row r="720" spans="3:3" ht="15.75" customHeight="1" x14ac:dyDescent="0.25">
      <c r="C720" s="1"/>
    </row>
    <row r="721" spans="3:3" ht="15.75" customHeight="1" x14ac:dyDescent="0.25">
      <c r="C721" s="1"/>
    </row>
    <row r="722" spans="3:3" ht="15.75" customHeight="1" x14ac:dyDescent="0.25">
      <c r="C722" s="1"/>
    </row>
    <row r="723" spans="3:3" ht="15.75" customHeight="1" x14ac:dyDescent="0.25">
      <c r="C723" s="1"/>
    </row>
    <row r="724" spans="3:3" ht="15.75" customHeight="1" x14ac:dyDescent="0.25">
      <c r="C724" s="1"/>
    </row>
    <row r="725" spans="3:3" ht="15.75" customHeight="1" x14ac:dyDescent="0.25">
      <c r="C725" s="1"/>
    </row>
    <row r="726" spans="3:3" ht="15.75" customHeight="1" x14ac:dyDescent="0.25">
      <c r="C726" s="1"/>
    </row>
    <row r="727" spans="3:3" ht="15.75" customHeight="1" x14ac:dyDescent="0.25">
      <c r="C727" s="1"/>
    </row>
    <row r="728" spans="3:3" ht="15.75" customHeight="1" x14ac:dyDescent="0.25">
      <c r="C728" s="1"/>
    </row>
    <row r="729" spans="3:3" ht="15.75" customHeight="1" x14ac:dyDescent="0.25">
      <c r="C729" s="1"/>
    </row>
    <row r="730" spans="3:3" ht="15.75" customHeight="1" x14ac:dyDescent="0.25">
      <c r="C730" s="1"/>
    </row>
    <row r="731" spans="3:3" ht="15.75" customHeight="1" x14ac:dyDescent="0.25">
      <c r="C731" s="1"/>
    </row>
    <row r="732" spans="3:3" ht="15.75" customHeight="1" x14ac:dyDescent="0.25">
      <c r="C732" s="1"/>
    </row>
    <row r="733" spans="3:3" ht="15.75" customHeight="1" x14ac:dyDescent="0.25">
      <c r="C733" s="1"/>
    </row>
    <row r="734" spans="3:3" ht="15.75" customHeight="1" x14ac:dyDescent="0.25">
      <c r="C734" s="1"/>
    </row>
    <row r="735" spans="3:3" ht="15.75" customHeight="1" x14ac:dyDescent="0.25">
      <c r="C735" s="1"/>
    </row>
    <row r="736" spans="3:3" ht="15.75" customHeight="1" x14ac:dyDescent="0.25">
      <c r="C736" s="1"/>
    </row>
    <row r="737" spans="3:3" ht="15.75" customHeight="1" x14ac:dyDescent="0.25">
      <c r="C737" s="1"/>
    </row>
    <row r="738" spans="3:3" ht="15.75" customHeight="1" x14ac:dyDescent="0.25">
      <c r="C738" s="1"/>
    </row>
    <row r="739" spans="3:3" ht="15.75" customHeight="1" x14ac:dyDescent="0.25">
      <c r="C739" s="1"/>
    </row>
    <row r="740" spans="3:3" ht="15.75" customHeight="1" x14ac:dyDescent="0.25">
      <c r="C740" s="1"/>
    </row>
    <row r="741" spans="3:3" ht="15.75" customHeight="1" x14ac:dyDescent="0.25">
      <c r="C741" s="1"/>
    </row>
    <row r="742" spans="3:3" ht="15.75" customHeight="1" x14ac:dyDescent="0.25">
      <c r="C742" s="1"/>
    </row>
    <row r="743" spans="3:3" ht="15.75" customHeight="1" x14ac:dyDescent="0.25">
      <c r="C743" s="1"/>
    </row>
    <row r="744" spans="3:3" ht="15.75" customHeight="1" x14ac:dyDescent="0.25">
      <c r="C744" s="1"/>
    </row>
    <row r="745" spans="3:3" ht="15.75" customHeight="1" x14ac:dyDescent="0.25">
      <c r="C745" s="1"/>
    </row>
    <row r="746" spans="3:3" ht="15.75" customHeight="1" x14ac:dyDescent="0.25">
      <c r="C746" s="1"/>
    </row>
    <row r="747" spans="3:3" ht="15.75" customHeight="1" x14ac:dyDescent="0.25">
      <c r="C747" s="1"/>
    </row>
    <row r="748" spans="3:3" ht="15.75" customHeight="1" x14ac:dyDescent="0.25">
      <c r="C748" s="1"/>
    </row>
    <row r="749" spans="3:3" ht="15.75" customHeight="1" x14ac:dyDescent="0.25">
      <c r="C749" s="1"/>
    </row>
    <row r="750" spans="3:3" ht="15.75" customHeight="1" x14ac:dyDescent="0.25">
      <c r="C750" s="1"/>
    </row>
    <row r="751" spans="3:3" ht="15.75" customHeight="1" x14ac:dyDescent="0.25">
      <c r="C751" s="1"/>
    </row>
    <row r="752" spans="3:3" ht="15.75" customHeight="1" x14ac:dyDescent="0.25">
      <c r="C752" s="1"/>
    </row>
    <row r="753" spans="3:3" ht="15.75" customHeight="1" x14ac:dyDescent="0.25">
      <c r="C753" s="1"/>
    </row>
    <row r="754" spans="3:3" ht="15.75" customHeight="1" x14ac:dyDescent="0.25">
      <c r="C754" s="1"/>
    </row>
    <row r="755" spans="3:3" ht="15.75" customHeight="1" x14ac:dyDescent="0.25">
      <c r="C755" s="1"/>
    </row>
    <row r="756" spans="3:3" ht="15.75" customHeight="1" x14ac:dyDescent="0.25">
      <c r="C756" s="1"/>
    </row>
    <row r="757" spans="3:3" ht="15.75" customHeight="1" x14ac:dyDescent="0.25">
      <c r="C757" s="1"/>
    </row>
    <row r="758" spans="3:3" ht="15.75" customHeight="1" x14ac:dyDescent="0.25">
      <c r="C758" s="1"/>
    </row>
    <row r="759" spans="3:3" ht="15.75" customHeight="1" x14ac:dyDescent="0.25">
      <c r="C759" s="1"/>
    </row>
    <row r="760" spans="3:3" ht="15.75" customHeight="1" x14ac:dyDescent="0.25">
      <c r="C760" s="1"/>
    </row>
    <row r="761" spans="3:3" ht="15.75" customHeight="1" x14ac:dyDescent="0.25">
      <c r="C761" s="1"/>
    </row>
    <row r="762" spans="3:3" ht="15.75" customHeight="1" x14ac:dyDescent="0.25">
      <c r="C762" s="1"/>
    </row>
    <row r="763" spans="3:3" ht="15.75" customHeight="1" x14ac:dyDescent="0.25">
      <c r="C763" s="1"/>
    </row>
    <row r="764" spans="3:3" ht="15.75" customHeight="1" x14ac:dyDescent="0.25">
      <c r="C764" s="1"/>
    </row>
    <row r="765" spans="3:3" ht="15.75" customHeight="1" x14ac:dyDescent="0.25">
      <c r="C765" s="1"/>
    </row>
    <row r="766" spans="3:3" ht="15.75" customHeight="1" x14ac:dyDescent="0.25">
      <c r="C766" s="1"/>
    </row>
    <row r="767" spans="3:3" ht="15.75" customHeight="1" x14ac:dyDescent="0.25">
      <c r="C767" s="1"/>
    </row>
    <row r="768" spans="3:3" ht="15.75" customHeight="1" x14ac:dyDescent="0.25">
      <c r="C768" s="1"/>
    </row>
    <row r="769" spans="3:3" ht="15.75" customHeight="1" x14ac:dyDescent="0.25">
      <c r="C769" s="1"/>
    </row>
    <row r="770" spans="3:3" ht="15.75" customHeight="1" x14ac:dyDescent="0.25">
      <c r="C770" s="1"/>
    </row>
    <row r="771" spans="3:3" ht="15.75" customHeight="1" x14ac:dyDescent="0.25">
      <c r="C771" s="1"/>
    </row>
    <row r="772" spans="3:3" ht="15.75" customHeight="1" x14ac:dyDescent="0.25">
      <c r="C772" s="1"/>
    </row>
    <row r="773" spans="3:3" ht="15.75" customHeight="1" x14ac:dyDescent="0.25">
      <c r="C773" s="1"/>
    </row>
    <row r="774" spans="3:3" ht="15.75" customHeight="1" x14ac:dyDescent="0.25">
      <c r="C774" s="1"/>
    </row>
    <row r="775" spans="3:3" ht="15.75" customHeight="1" x14ac:dyDescent="0.25">
      <c r="C775" s="1"/>
    </row>
    <row r="776" spans="3:3" ht="15.75" customHeight="1" x14ac:dyDescent="0.25">
      <c r="C776" s="1"/>
    </row>
    <row r="777" spans="3:3" ht="15.75" customHeight="1" x14ac:dyDescent="0.25">
      <c r="C777" s="1"/>
    </row>
    <row r="778" spans="3:3" ht="15.75" customHeight="1" x14ac:dyDescent="0.25">
      <c r="C778" s="1"/>
    </row>
    <row r="779" spans="3:3" ht="15.75" customHeight="1" x14ac:dyDescent="0.25">
      <c r="C779" s="1"/>
    </row>
    <row r="780" spans="3:3" ht="15.75" customHeight="1" x14ac:dyDescent="0.25">
      <c r="C780" s="1"/>
    </row>
    <row r="781" spans="3:3" ht="15.75" customHeight="1" x14ac:dyDescent="0.25">
      <c r="C781" s="1"/>
    </row>
    <row r="782" spans="3:3" ht="15.75" customHeight="1" x14ac:dyDescent="0.25">
      <c r="C782" s="1"/>
    </row>
    <row r="783" spans="3:3" ht="15.75" customHeight="1" x14ac:dyDescent="0.25">
      <c r="C783" s="1"/>
    </row>
    <row r="784" spans="3:3" ht="15.75" customHeight="1" x14ac:dyDescent="0.25">
      <c r="C784" s="1"/>
    </row>
    <row r="785" spans="3:3" ht="15.75" customHeight="1" x14ac:dyDescent="0.25">
      <c r="C785" s="1"/>
    </row>
    <row r="786" spans="3:3" ht="15.75" customHeight="1" x14ac:dyDescent="0.25">
      <c r="C786" s="1"/>
    </row>
    <row r="787" spans="3:3" ht="15.75" customHeight="1" x14ac:dyDescent="0.25">
      <c r="C787" s="1"/>
    </row>
    <row r="788" spans="3:3" ht="15.75" customHeight="1" x14ac:dyDescent="0.25">
      <c r="C788" s="1"/>
    </row>
    <row r="789" spans="3:3" ht="15.75" customHeight="1" x14ac:dyDescent="0.25">
      <c r="C789" s="1"/>
    </row>
    <row r="790" spans="3:3" ht="15.75" customHeight="1" x14ac:dyDescent="0.25">
      <c r="C790" s="1"/>
    </row>
    <row r="791" spans="3:3" ht="15.75" customHeight="1" x14ac:dyDescent="0.25">
      <c r="C791" s="1"/>
    </row>
    <row r="792" spans="3:3" ht="15.75" customHeight="1" x14ac:dyDescent="0.25">
      <c r="C792" s="1"/>
    </row>
    <row r="793" spans="3:3" ht="15.75" customHeight="1" x14ac:dyDescent="0.25">
      <c r="C793" s="1"/>
    </row>
    <row r="794" spans="3:3" ht="15.75" customHeight="1" x14ac:dyDescent="0.25">
      <c r="C794" s="1"/>
    </row>
    <row r="795" spans="3:3" ht="15.75" customHeight="1" x14ac:dyDescent="0.25">
      <c r="C795" s="1"/>
    </row>
    <row r="796" spans="3:3" ht="15.75" customHeight="1" x14ac:dyDescent="0.25">
      <c r="C796" s="1"/>
    </row>
    <row r="797" spans="3:3" ht="15.75" customHeight="1" x14ac:dyDescent="0.25">
      <c r="C797" s="1"/>
    </row>
    <row r="798" spans="3:3" ht="15.75" customHeight="1" x14ac:dyDescent="0.25">
      <c r="C798" s="1"/>
    </row>
    <row r="799" spans="3:3" ht="15.75" customHeight="1" x14ac:dyDescent="0.25">
      <c r="C799" s="1"/>
    </row>
    <row r="800" spans="3:3" ht="15.75" customHeight="1" x14ac:dyDescent="0.25">
      <c r="C800" s="1"/>
    </row>
    <row r="801" spans="3:3" ht="15.75" customHeight="1" x14ac:dyDescent="0.25">
      <c r="C801" s="1"/>
    </row>
    <row r="802" spans="3:3" ht="15.75" customHeight="1" x14ac:dyDescent="0.25">
      <c r="C802" s="1"/>
    </row>
    <row r="803" spans="3:3" ht="15.75" customHeight="1" x14ac:dyDescent="0.25">
      <c r="C803" s="1"/>
    </row>
    <row r="804" spans="3:3" ht="15.75" customHeight="1" x14ac:dyDescent="0.25">
      <c r="C804" s="1"/>
    </row>
    <row r="805" spans="3:3" ht="15.75" customHeight="1" x14ac:dyDescent="0.25">
      <c r="C805" s="1"/>
    </row>
    <row r="806" spans="3:3" ht="15.75" customHeight="1" x14ac:dyDescent="0.25">
      <c r="C806" s="1"/>
    </row>
    <row r="807" spans="3:3" ht="15.75" customHeight="1" x14ac:dyDescent="0.25">
      <c r="C807" s="1"/>
    </row>
    <row r="808" spans="3:3" ht="15.75" customHeight="1" x14ac:dyDescent="0.25">
      <c r="C808" s="1"/>
    </row>
    <row r="809" spans="3:3" ht="15.75" customHeight="1" x14ac:dyDescent="0.25">
      <c r="C809" s="1"/>
    </row>
    <row r="810" spans="3:3" ht="15.75" customHeight="1" x14ac:dyDescent="0.25">
      <c r="C810" s="1"/>
    </row>
    <row r="811" spans="3:3" ht="15.75" customHeight="1" x14ac:dyDescent="0.25">
      <c r="C811" s="1"/>
    </row>
    <row r="812" spans="3:3" ht="15.75" customHeight="1" x14ac:dyDescent="0.25">
      <c r="C812" s="1"/>
    </row>
    <row r="813" spans="3:3" ht="15.75" customHeight="1" x14ac:dyDescent="0.25">
      <c r="C813" s="1"/>
    </row>
    <row r="814" spans="3:3" ht="15.75" customHeight="1" x14ac:dyDescent="0.25">
      <c r="C814" s="1"/>
    </row>
    <row r="815" spans="3:3" ht="15.75" customHeight="1" x14ac:dyDescent="0.25">
      <c r="C815" s="1"/>
    </row>
    <row r="816" spans="3:3" ht="15.75" customHeight="1" x14ac:dyDescent="0.25">
      <c r="C816" s="1"/>
    </row>
    <row r="817" spans="3:3" ht="15.75" customHeight="1" x14ac:dyDescent="0.25">
      <c r="C817" s="1"/>
    </row>
    <row r="818" spans="3:3" ht="15.75" customHeight="1" x14ac:dyDescent="0.25">
      <c r="C818" s="1"/>
    </row>
    <row r="819" spans="3:3" ht="15.75" customHeight="1" x14ac:dyDescent="0.25">
      <c r="C819" s="1"/>
    </row>
    <row r="820" spans="3:3" ht="15.75" customHeight="1" x14ac:dyDescent="0.25">
      <c r="C820" s="1"/>
    </row>
    <row r="821" spans="3:3" ht="15.75" customHeight="1" x14ac:dyDescent="0.25">
      <c r="C821" s="1"/>
    </row>
    <row r="822" spans="3:3" ht="15.75" customHeight="1" x14ac:dyDescent="0.25">
      <c r="C822" s="1"/>
    </row>
    <row r="823" spans="3:3" ht="15.75" customHeight="1" x14ac:dyDescent="0.25">
      <c r="C823" s="1"/>
    </row>
    <row r="824" spans="3:3" ht="15.75" customHeight="1" x14ac:dyDescent="0.25">
      <c r="C824" s="1"/>
    </row>
    <row r="825" spans="3:3" ht="15.75" customHeight="1" x14ac:dyDescent="0.25">
      <c r="C825" s="1"/>
    </row>
    <row r="826" spans="3:3" ht="15.75" customHeight="1" x14ac:dyDescent="0.25">
      <c r="C826" s="1"/>
    </row>
    <row r="827" spans="3:3" ht="15.75" customHeight="1" x14ac:dyDescent="0.25">
      <c r="C827" s="1"/>
    </row>
    <row r="828" spans="3:3" ht="15.75" customHeight="1" x14ac:dyDescent="0.25">
      <c r="C828" s="1"/>
    </row>
    <row r="829" spans="3:3" ht="15.75" customHeight="1" x14ac:dyDescent="0.25">
      <c r="C829" s="1"/>
    </row>
    <row r="830" spans="3:3" ht="15.75" customHeight="1" x14ac:dyDescent="0.25">
      <c r="C830" s="1"/>
    </row>
    <row r="831" spans="3:3" ht="15.75" customHeight="1" x14ac:dyDescent="0.25">
      <c r="C831" s="1"/>
    </row>
    <row r="832" spans="3:3" ht="15.75" customHeight="1" x14ac:dyDescent="0.25">
      <c r="C832" s="1"/>
    </row>
    <row r="833" spans="3:3" ht="15.75" customHeight="1" x14ac:dyDescent="0.25">
      <c r="C833" s="1"/>
    </row>
    <row r="834" spans="3:3" ht="15.75" customHeight="1" x14ac:dyDescent="0.25">
      <c r="C834" s="1"/>
    </row>
    <row r="835" spans="3:3" ht="15.75" customHeight="1" x14ac:dyDescent="0.25">
      <c r="C835" s="1"/>
    </row>
    <row r="836" spans="3:3" ht="15.75" customHeight="1" x14ac:dyDescent="0.25">
      <c r="C836" s="1"/>
    </row>
    <row r="837" spans="3:3" ht="15.75" customHeight="1" x14ac:dyDescent="0.25">
      <c r="C837" s="1"/>
    </row>
    <row r="838" spans="3:3" ht="15.75" customHeight="1" x14ac:dyDescent="0.25">
      <c r="C838" s="1"/>
    </row>
    <row r="839" spans="3:3" ht="15.75" customHeight="1" x14ac:dyDescent="0.25">
      <c r="C839" s="1"/>
    </row>
    <row r="840" spans="3:3" ht="15.75" customHeight="1" x14ac:dyDescent="0.25">
      <c r="C840" s="1"/>
    </row>
    <row r="841" spans="3:3" ht="15.75" customHeight="1" x14ac:dyDescent="0.25">
      <c r="C841" s="1"/>
    </row>
    <row r="842" spans="3:3" ht="15.75" customHeight="1" x14ac:dyDescent="0.25">
      <c r="C842" s="1"/>
    </row>
    <row r="843" spans="3:3" ht="15.75" customHeight="1" x14ac:dyDescent="0.25">
      <c r="C843" s="1"/>
    </row>
    <row r="844" spans="3:3" ht="15.75" customHeight="1" x14ac:dyDescent="0.25">
      <c r="C844" s="1"/>
    </row>
    <row r="845" spans="3:3" ht="15.75" customHeight="1" x14ac:dyDescent="0.25">
      <c r="C845" s="1"/>
    </row>
    <row r="846" spans="3:3" ht="15.75" customHeight="1" x14ac:dyDescent="0.25">
      <c r="C846" s="1"/>
    </row>
    <row r="847" spans="3:3" ht="15.75" customHeight="1" x14ac:dyDescent="0.25">
      <c r="C847" s="1"/>
    </row>
    <row r="848" spans="3:3" ht="15.75" customHeight="1" x14ac:dyDescent="0.25">
      <c r="C848" s="1"/>
    </row>
    <row r="849" spans="3:3" ht="15.75" customHeight="1" x14ac:dyDescent="0.25">
      <c r="C849" s="1"/>
    </row>
    <row r="850" spans="3:3" ht="15.75" customHeight="1" x14ac:dyDescent="0.25">
      <c r="C850" s="1"/>
    </row>
    <row r="851" spans="3:3" ht="15.75" customHeight="1" x14ac:dyDescent="0.25">
      <c r="C851" s="1"/>
    </row>
    <row r="852" spans="3:3" ht="15.75" customHeight="1" x14ac:dyDescent="0.25">
      <c r="C852" s="1"/>
    </row>
    <row r="853" spans="3:3" ht="15.75" customHeight="1" x14ac:dyDescent="0.25">
      <c r="C853" s="1"/>
    </row>
    <row r="854" spans="3:3" ht="15.75" customHeight="1" x14ac:dyDescent="0.25">
      <c r="C854" s="1"/>
    </row>
    <row r="855" spans="3:3" ht="15.75" customHeight="1" x14ac:dyDescent="0.25">
      <c r="C855" s="1"/>
    </row>
    <row r="856" spans="3:3" ht="15.75" customHeight="1" x14ac:dyDescent="0.25">
      <c r="C856" s="1"/>
    </row>
    <row r="857" spans="3:3" ht="15.75" customHeight="1" x14ac:dyDescent="0.25">
      <c r="C857" s="1"/>
    </row>
    <row r="858" spans="3:3" ht="15.75" customHeight="1" x14ac:dyDescent="0.25">
      <c r="C858" s="1"/>
    </row>
    <row r="859" spans="3:3" ht="15.75" customHeight="1" x14ac:dyDescent="0.25">
      <c r="C859" s="1"/>
    </row>
    <row r="860" spans="3:3" ht="15.75" customHeight="1" x14ac:dyDescent="0.25">
      <c r="C860" s="1"/>
    </row>
    <row r="861" spans="3:3" ht="15.75" customHeight="1" x14ac:dyDescent="0.25">
      <c r="C861" s="1"/>
    </row>
    <row r="862" spans="3:3" ht="15.75" customHeight="1" x14ac:dyDescent="0.25">
      <c r="C862" s="1"/>
    </row>
    <row r="863" spans="3:3" ht="15.75" customHeight="1" x14ac:dyDescent="0.25">
      <c r="C863" s="1"/>
    </row>
    <row r="864" spans="3:3" ht="15.75" customHeight="1" x14ac:dyDescent="0.25">
      <c r="C864" s="1"/>
    </row>
    <row r="865" spans="3:3" ht="15.75" customHeight="1" x14ac:dyDescent="0.25">
      <c r="C865" s="1"/>
    </row>
    <row r="866" spans="3:3" ht="15.75" customHeight="1" x14ac:dyDescent="0.25">
      <c r="C866" s="1"/>
    </row>
    <row r="867" spans="3:3" ht="15.75" customHeight="1" x14ac:dyDescent="0.25">
      <c r="C867" s="1"/>
    </row>
    <row r="868" spans="3:3" ht="15.75" customHeight="1" x14ac:dyDescent="0.25">
      <c r="C868" s="1"/>
    </row>
    <row r="869" spans="3:3" ht="15.75" customHeight="1" x14ac:dyDescent="0.25">
      <c r="C869" s="1"/>
    </row>
    <row r="870" spans="3:3" ht="15.75" customHeight="1" x14ac:dyDescent="0.25">
      <c r="C870" s="1"/>
    </row>
    <row r="871" spans="3:3" ht="15.75" customHeight="1" x14ac:dyDescent="0.25">
      <c r="C871" s="1"/>
    </row>
    <row r="872" spans="3:3" ht="15.75" customHeight="1" x14ac:dyDescent="0.25">
      <c r="C872" s="1"/>
    </row>
    <row r="873" spans="3:3" ht="15.75" customHeight="1" x14ac:dyDescent="0.25">
      <c r="C873" s="1"/>
    </row>
    <row r="874" spans="3:3" ht="15.75" customHeight="1" x14ac:dyDescent="0.25">
      <c r="C874" s="1"/>
    </row>
    <row r="875" spans="3:3" ht="15.75" customHeight="1" x14ac:dyDescent="0.25">
      <c r="C875" s="1"/>
    </row>
    <row r="876" spans="3:3" ht="15.75" customHeight="1" x14ac:dyDescent="0.25">
      <c r="C876" s="1"/>
    </row>
    <row r="877" spans="3:3" ht="15.75" customHeight="1" x14ac:dyDescent="0.25">
      <c r="C877" s="1"/>
    </row>
    <row r="878" spans="3:3" ht="15.75" customHeight="1" x14ac:dyDescent="0.25">
      <c r="C878" s="1"/>
    </row>
    <row r="879" spans="3:3" ht="15.75" customHeight="1" x14ac:dyDescent="0.25">
      <c r="C879" s="1"/>
    </row>
    <row r="880" spans="3:3" ht="15.75" customHeight="1" x14ac:dyDescent="0.25">
      <c r="C880" s="1"/>
    </row>
    <row r="881" spans="3:3" ht="15.75" customHeight="1" x14ac:dyDescent="0.25">
      <c r="C881" s="1"/>
    </row>
    <row r="882" spans="3:3" ht="15.75" customHeight="1" x14ac:dyDescent="0.25">
      <c r="C882" s="1"/>
    </row>
    <row r="883" spans="3:3" ht="15.75" customHeight="1" x14ac:dyDescent="0.25">
      <c r="C883" s="1"/>
    </row>
    <row r="884" spans="3:3" ht="15.75" customHeight="1" x14ac:dyDescent="0.25">
      <c r="C884" s="1"/>
    </row>
    <row r="885" spans="3:3" ht="15.75" customHeight="1" x14ac:dyDescent="0.25">
      <c r="C885" s="1"/>
    </row>
    <row r="886" spans="3:3" ht="15.75" customHeight="1" x14ac:dyDescent="0.25">
      <c r="C886" s="1"/>
    </row>
    <row r="887" spans="3:3" ht="15.75" customHeight="1" x14ac:dyDescent="0.25">
      <c r="C887" s="1"/>
    </row>
    <row r="888" spans="3:3" ht="15.75" customHeight="1" x14ac:dyDescent="0.25">
      <c r="C888" s="1"/>
    </row>
    <row r="889" spans="3:3" ht="15.75" customHeight="1" x14ac:dyDescent="0.25">
      <c r="C889" s="1"/>
    </row>
    <row r="890" spans="3:3" ht="15.75" customHeight="1" x14ac:dyDescent="0.25">
      <c r="C890" s="1"/>
    </row>
    <row r="891" spans="3:3" ht="15.75" customHeight="1" x14ac:dyDescent="0.25">
      <c r="C891" s="1"/>
    </row>
    <row r="892" spans="3:3" ht="15.75" customHeight="1" x14ac:dyDescent="0.25">
      <c r="C892" s="1"/>
    </row>
    <row r="893" spans="3:3" ht="15.75" customHeight="1" x14ac:dyDescent="0.25">
      <c r="C893" s="1"/>
    </row>
    <row r="894" spans="3:3" ht="15.75" customHeight="1" x14ac:dyDescent="0.25">
      <c r="C894" s="1"/>
    </row>
    <row r="895" spans="3:3" ht="15.75" customHeight="1" x14ac:dyDescent="0.25">
      <c r="C895" s="1"/>
    </row>
    <row r="896" spans="3:3" ht="15.75" customHeight="1" x14ac:dyDescent="0.25">
      <c r="C896" s="1"/>
    </row>
    <row r="897" spans="3:3" ht="15.75" customHeight="1" x14ac:dyDescent="0.25">
      <c r="C897" s="1"/>
    </row>
    <row r="898" spans="3:3" ht="15.75" customHeight="1" x14ac:dyDescent="0.25">
      <c r="C898" s="1"/>
    </row>
    <row r="899" spans="3:3" ht="15.75" customHeight="1" x14ac:dyDescent="0.25">
      <c r="C899" s="1"/>
    </row>
    <row r="900" spans="3:3" ht="15.75" customHeight="1" x14ac:dyDescent="0.25">
      <c r="C900" s="1"/>
    </row>
    <row r="901" spans="3:3" ht="15.75" customHeight="1" x14ac:dyDescent="0.25">
      <c r="C901" s="1"/>
    </row>
    <row r="902" spans="3:3" ht="15.75" customHeight="1" x14ac:dyDescent="0.25">
      <c r="C902" s="1"/>
    </row>
    <row r="903" spans="3:3" ht="15.75" customHeight="1" x14ac:dyDescent="0.25">
      <c r="C903" s="1"/>
    </row>
    <row r="904" spans="3:3" ht="15.75" customHeight="1" x14ac:dyDescent="0.25">
      <c r="C904" s="1"/>
    </row>
    <row r="905" spans="3:3" ht="15.75" customHeight="1" x14ac:dyDescent="0.25">
      <c r="C905" s="1"/>
    </row>
    <row r="906" spans="3:3" ht="15.75" customHeight="1" x14ac:dyDescent="0.25">
      <c r="C906" s="1"/>
    </row>
    <row r="907" spans="3:3" ht="15.75" customHeight="1" x14ac:dyDescent="0.25">
      <c r="C907" s="1"/>
    </row>
    <row r="908" spans="3:3" ht="15.75" customHeight="1" x14ac:dyDescent="0.25">
      <c r="C908" s="1"/>
    </row>
    <row r="909" spans="3:3" ht="15.75" customHeight="1" x14ac:dyDescent="0.25">
      <c r="C909" s="1"/>
    </row>
    <row r="910" spans="3:3" ht="15.75" customHeight="1" x14ac:dyDescent="0.25">
      <c r="C910" s="1"/>
    </row>
    <row r="911" spans="3:3" ht="15.75" customHeight="1" x14ac:dyDescent="0.25">
      <c r="C911" s="1"/>
    </row>
    <row r="912" spans="3:3" ht="15.75" customHeight="1" x14ac:dyDescent="0.25">
      <c r="C912" s="1"/>
    </row>
    <row r="913" spans="3:3" ht="15.75" customHeight="1" x14ac:dyDescent="0.25">
      <c r="C913" s="1"/>
    </row>
    <row r="914" spans="3:3" ht="15.75" customHeight="1" x14ac:dyDescent="0.25">
      <c r="C914" s="1"/>
    </row>
    <row r="915" spans="3:3" ht="15.75" customHeight="1" x14ac:dyDescent="0.25">
      <c r="C915" s="1"/>
    </row>
    <row r="916" spans="3:3" ht="15.75" customHeight="1" x14ac:dyDescent="0.25">
      <c r="C916" s="1"/>
    </row>
    <row r="917" spans="3:3" ht="15.75" customHeight="1" x14ac:dyDescent="0.25">
      <c r="C917" s="1"/>
    </row>
    <row r="918" spans="3:3" ht="15.75" customHeight="1" x14ac:dyDescent="0.25">
      <c r="C918" s="1"/>
    </row>
    <row r="919" spans="3:3" ht="15.75" customHeight="1" x14ac:dyDescent="0.25">
      <c r="C919" s="1"/>
    </row>
    <row r="920" spans="3:3" ht="15.75" customHeight="1" x14ac:dyDescent="0.25">
      <c r="C920" s="1"/>
    </row>
    <row r="921" spans="3:3" ht="15.75" customHeight="1" x14ac:dyDescent="0.25">
      <c r="C921" s="1"/>
    </row>
    <row r="922" spans="3:3" ht="15.75" customHeight="1" x14ac:dyDescent="0.25">
      <c r="C922" s="1"/>
    </row>
    <row r="923" spans="3:3" ht="15.75" customHeight="1" x14ac:dyDescent="0.25">
      <c r="C923" s="1"/>
    </row>
    <row r="924" spans="3:3" ht="15.75" customHeight="1" x14ac:dyDescent="0.25">
      <c r="C924" s="1"/>
    </row>
    <row r="925" spans="3:3" ht="15.75" customHeight="1" x14ac:dyDescent="0.25">
      <c r="C925" s="1"/>
    </row>
    <row r="926" spans="3:3" ht="15.75" customHeight="1" x14ac:dyDescent="0.25">
      <c r="C926" s="1"/>
    </row>
    <row r="927" spans="3:3" ht="15.75" customHeight="1" x14ac:dyDescent="0.25">
      <c r="C927" s="1"/>
    </row>
    <row r="928" spans="3:3" ht="15.75" customHeight="1" x14ac:dyDescent="0.25">
      <c r="C928" s="1"/>
    </row>
    <row r="929" spans="3:3" ht="15.75" customHeight="1" x14ac:dyDescent="0.25">
      <c r="C929" s="1"/>
    </row>
    <row r="930" spans="3:3" ht="15.75" customHeight="1" x14ac:dyDescent="0.25">
      <c r="C930" s="1"/>
    </row>
    <row r="931" spans="3:3" ht="15.75" customHeight="1" x14ac:dyDescent="0.25">
      <c r="C931" s="1"/>
    </row>
    <row r="932" spans="3:3" ht="15.75" customHeight="1" x14ac:dyDescent="0.25">
      <c r="C932" s="1"/>
    </row>
    <row r="933" spans="3:3" ht="15.75" customHeight="1" x14ac:dyDescent="0.25">
      <c r="C933" s="1"/>
    </row>
    <row r="934" spans="3:3" ht="15.75" customHeight="1" x14ac:dyDescent="0.25">
      <c r="C934" s="1"/>
    </row>
    <row r="935" spans="3:3" ht="15.75" customHeight="1" x14ac:dyDescent="0.25">
      <c r="C935" s="1"/>
    </row>
    <row r="936" spans="3:3" ht="15.75" customHeight="1" x14ac:dyDescent="0.25">
      <c r="C936" s="1"/>
    </row>
    <row r="937" spans="3:3" ht="15.75" customHeight="1" x14ac:dyDescent="0.25">
      <c r="C937" s="1"/>
    </row>
    <row r="938" spans="3:3" ht="15.75" customHeight="1" x14ac:dyDescent="0.25">
      <c r="C938" s="1"/>
    </row>
    <row r="939" spans="3:3" ht="15.75" customHeight="1" x14ac:dyDescent="0.25">
      <c r="C939" s="1"/>
    </row>
    <row r="940" spans="3:3" ht="15.75" customHeight="1" x14ac:dyDescent="0.25">
      <c r="C940" s="1"/>
    </row>
    <row r="941" spans="3:3" ht="15.75" customHeight="1" x14ac:dyDescent="0.25">
      <c r="C941" s="1"/>
    </row>
    <row r="942" spans="3:3" ht="15.75" customHeight="1" x14ac:dyDescent="0.25">
      <c r="C942" s="1"/>
    </row>
    <row r="943" spans="3:3" ht="15.75" customHeight="1" x14ac:dyDescent="0.25">
      <c r="C943" s="1"/>
    </row>
    <row r="944" spans="3:3" ht="15.75" customHeight="1" x14ac:dyDescent="0.25">
      <c r="C944" s="1"/>
    </row>
    <row r="945" spans="3:3" ht="15.75" customHeight="1" x14ac:dyDescent="0.25">
      <c r="C945" s="1"/>
    </row>
    <row r="946" spans="3:3" ht="15.75" customHeight="1" x14ac:dyDescent="0.25">
      <c r="C946" s="1"/>
    </row>
    <row r="947" spans="3:3" ht="15.75" customHeight="1" x14ac:dyDescent="0.25">
      <c r="C947" s="1"/>
    </row>
    <row r="948" spans="3:3" ht="15.75" customHeight="1" x14ac:dyDescent="0.25">
      <c r="C948" s="1"/>
    </row>
    <row r="949" spans="3:3" ht="15.75" customHeight="1" x14ac:dyDescent="0.25">
      <c r="C949" s="1"/>
    </row>
    <row r="950" spans="3:3" ht="15.75" customHeight="1" x14ac:dyDescent="0.25">
      <c r="C950" s="1"/>
    </row>
    <row r="951" spans="3:3" ht="15.75" customHeight="1" x14ac:dyDescent="0.25">
      <c r="C951" s="1"/>
    </row>
    <row r="952" spans="3:3" ht="15.75" customHeight="1" x14ac:dyDescent="0.25">
      <c r="C952" s="1"/>
    </row>
    <row r="953" spans="3:3" ht="15.75" customHeight="1" x14ac:dyDescent="0.25">
      <c r="C953" s="1"/>
    </row>
    <row r="954" spans="3:3" ht="15.75" customHeight="1" x14ac:dyDescent="0.25">
      <c r="C954" s="1"/>
    </row>
    <row r="955" spans="3:3" ht="15.75" customHeight="1" x14ac:dyDescent="0.25">
      <c r="C955" s="1"/>
    </row>
    <row r="956" spans="3:3" ht="15.75" customHeight="1" x14ac:dyDescent="0.25">
      <c r="C956" s="1"/>
    </row>
    <row r="957" spans="3:3" ht="15.75" customHeight="1" x14ac:dyDescent="0.25">
      <c r="C957" s="1"/>
    </row>
    <row r="958" spans="3:3" ht="15.75" customHeight="1" x14ac:dyDescent="0.25">
      <c r="C958" s="1"/>
    </row>
    <row r="959" spans="3:3" ht="15.75" customHeight="1" x14ac:dyDescent="0.25">
      <c r="C959" s="1"/>
    </row>
    <row r="960" spans="3:3" ht="15.75" customHeight="1" x14ac:dyDescent="0.25">
      <c r="C960" s="1"/>
    </row>
    <row r="961" spans="3:3" ht="15.75" customHeight="1" x14ac:dyDescent="0.25">
      <c r="C961" s="1"/>
    </row>
    <row r="962" spans="3:3" ht="15.75" customHeight="1" x14ac:dyDescent="0.25">
      <c r="C962" s="1"/>
    </row>
    <row r="963" spans="3:3" ht="15.75" customHeight="1" x14ac:dyDescent="0.25">
      <c r="C963" s="1"/>
    </row>
    <row r="964" spans="3:3" ht="15.75" customHeight="1" x14ac:dyDescent="0.25">
      <c r="C964" s="1"/>
    </row>
    <row r="965" spans="3:3" ht="15.75" customHeight="1" x14ac:dyDescent="0.25">
      <c r="C965" s="1"/>
    </row>
    <row r="966" spans="3:3" ht="15.75" customHeight="1" x14ac:dyDescent="0.25">
      <c r="C966" s="1"/>
    </row>
    <row r="967" spans="3:3" ht="15.75" customHeight="1" x14ac:dyDescent="0.25">
      <c r="C967" s="1"/>
    </row>
    <row r="968" spans="3:3" ht="15.75" customHeight="1" x14ac:dyDescent="0.25">
      <c r="C968" s="1"/>
    </row>
    <row r="969" spans="3:3" ht="15.75" customHeight="1" x14ac:dyDescent="0.25">
      <c r="C969" s="1"/>
    </row>
    <row r="970" spans="3:3" ht="15.75" customHeight="1" x14ac:dyDescent="0.25">
      <c r="C970" s="1"/>
    </row>
    <row r="971" spans="3:3" ht="15.75" customHeight="1" x14ac:dyDescent="0.25">
      <c r="C971" s="1"/>
    </row>
    <row r="972" spans="3:3" ht="15.75" customHeight="1" x14ac:dyDescent="0.25">
      <c r="C972" s="1"/>
    </row>
    <row r="973" spans="3:3" ht="15.75" customHeight="1" x14ac:dyDescent="0.25">
      <c r="C973" s="1"/>
    </row>
    <row r="974" spans="3:3" ht="15.75" customHeight="1" x14ac:dyDescent="0.25">
      <c r="C974" s="1"/>
    </row>
    <row r="975" spans="3:3" ht="15.75" customHeight="1" x14ac:dyDescent="0.25">
      <c r="C975" s="1"/>
    </row>
    <row r="976" spans="3:3" ht="15.75" customHeight="1" x14ac:dyDescent="0.25">
      <c r="C976" s="1"/>
    </row>
    <row r="977" spans="3:3" ht="15.75" customHeight="1" x14ac:dyDescent="0.25">
      <c r="C977" s="1"/>
    </row>
    <row r="978" spans="3:3" ht="15.75" customHeight="1" x14ac:dyDescent="0.25">
      <c r="C978" s="1"/>
    </row>
    <row r="979" spans="3:3" ht="15.75" customHeight="1" x14ac:dyDescent="0.25">
      <c r="C979" s="1"/>
    </row>
    <row r="980" spans="3:3" ht="15.75" customHeight="1" x14ac:dyDescent="0.25">
      <c r="C980" s="1"/>
    </row>
    <row r="981" spans="3:3" ht="15.75" customHeight="1" x14ac:dyDescent="0.25">
      <c r="C981" s="1"/>
    </row>
    <row r="982" spans="3:3" ht="15.75" customHeight="1" x14ac:dyDescent="0.25">
      <c r="C982" s="1"/>
    </row>
    <row r="983" spans="3:3" ht="15.75" customHeight="1" x14ac:dyDescent="0.25">
      <c r="C983" s="1"/>
    </row>
    <row r="984" spans="3:3" ht="15.75" customHeight="1" x14ac:dyDescent="0.25">
      <c r="C984" s="1"/>
    </row>
    <row r="985" spans="3:3" ht="15.75" customHeight="1" x14ac:dyDescent="0.25">
      <c r="C985" s="1"/>
    </row>
    <row r="986" spans="3:3" ht="15.75" customHeight="1" x14ac:dyDescent="0.25">
      <c r="C986" s="1"/>
    </row>
    <row r="987" spans="3:3" ht="15.75" customHeight="1" x14ac:dyDescent="0.25">
      <c r="C987" s="1"/>
    </row>
    <row r="988" spans="3:3" ht="15.75" customHeight="1" x14ac:dyDescent="0.25">
      <c r="C988" s="1"/>
    </row>
    <row r="989" spans="3:3" ht="15.75" customHeight="1" x14ac:dyDescent="0.25">
      <c r="C989" s="1"/>
    </row>
    <row r="990" spans="3:3" ht="15.75" customHeight="1" x14ac:dyDescent="0.25">
      <c r="C990" s="1"/>
    </row>
    <row r="991" spans="3:3" ht="15.75" customHeight="1" x14ac:dyDescent="0.25">
      <c r="C991" s="1"/>
    </row>
    <row r="992" spans="3:3" ht="15.75" customHeight="1" x14ac:dyDescent="0.25">
      <c r="C992" s="1"/>
    </row>
    <row r="993" spans="3:3" ht="15.75" customHeight="1" x14ac:dyDescent="0.25">
      <c r="C993" s="1"/>
    </row>
    <row r="994" spans="3:3" ht="15.75" customHeight="1" x14ac:dyDescent="0.25">
      <c r="C994" s="1"/>
    </row>
    <row r="995" spans="3:3" ht="15.75" customHeight="1" x14ac:dyDescent="0.25">
      <c r="C995" s="1"/>
    </row>
    <row r="996" spans="3:3" ht="15.75" customHeight="1" x14ac:dyDescent="0.25">
      <c r="C996" s="1"/>
    </row>
    <row r="997" spans="3:3" ht="15.75" customHeight="1" x14ac:dyDescent="0.25">
      <c r="C997" s="1"/>
    </row>
    <row r="998" spans="3:3" ht="15.75" customHeight="1" x14ac:dyDescent="0.25">
      <c r="C998" s="1"/>
    </row>
    <row r="999" spans="3:3" ht="15.75" customHeight="1" x14ac:dyDescent="0.25">
      <c r="C999" s="1"/>
    </row>
    <row r="1000" spans="3:3" ht="15.75" customHeight="1" x14ac:dyDescent="0.25">
      <c r="C1000" s="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42578125" defaultRowHeight="15" customHeight="1" outlineLevelRow="1" outlineLevelCol="1" x14ac:dyDescent="0.25"/>
  <cols>
    <col min="1" max="3" width="10.85546875" hidden="1" customWidth="1" outlineLevel="1"/>
    <col min="4" max="4" width="15.42578125" hidden="1" customWidth="1" outlineLevel="1"/>
    <col min="5" max="6" width="10.85546875" hidden="1" customWidth="1" outlineLevel="1"/>
    <col min="7" max="7" width="5.42578125" customWidth="1" collapsed="1"/>
    <col min="8" max="8" width="4" customWidth="1"/>
    <col min="9" max="9" width="44.42578125" customWidth="1"/>
    <col min="10" max="14" width="10.85546875" customWidth="1"/>
    <col min="15" max="15" width="10.42578125" customWidth="1"/>
    <col min="16" max="19" width="10.85546875" customWidth="1"/>
    <col min="20" max="20" width="10.7109375" customWidth="1"/>
    <col min="22" max="22" width="10.7109375" customWidth="1"/>
    <col min="23" max="24" width="12.42578125" customWidth="1"/>
    <col min="25" max="25" width="10.7109375" customWidth="1"/>
    <col min="26" max="26" width="10.42578125" customWidth="1"/>
    <col min="27" max="27" width="20.85546875" customWidth="1"/>
    <col min="28" max="47" width="10.7109375" customWidth="1"/>
  </cols>
  <sheetData>
    <row r="1" spans="1:47" outlineLevel="1" x14ac:dyDescent="0.25"/>
    <row r="2" spans="1:47" outlineLevel="1" x14ac:dyDescent="0.25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5">
      <c r="A3" s="20"/>
      <c r="B3" s="20"/>
      <c r="C3" s="20"/>
      <c r="D3" s="20"/>
      <c r="E3" s="20"/>
      <c r="F3" s="20"/>
      <c r="G3" s="20"/>
      <c r="H3" s="20"/>
      <c r="I3" s="20"/>
      <c r="J3" s="21" t="s">
        <v>22</v>
      </c>
      <c r="K3" s="22" t="s">
        <v>23</v>
      </c>
      <c r="L3" s="22" t="s">
        <v>24</v>
      </c>
      <c r="M3" s="21" t="s">
        <v>25</v>
      </c>
      <c r="N3" s="21" t="s">
        <v>26</v>
      </c>
      <c r="O3" s="22" t="s">
        <v>27</v>
      </c>
      <c r="P3" s="22" t="s">
        <v>28</v>
      </c>
      <c r="Q3" s="21" t="s">
        <v>29</v>
      </c>
      <c r="R3" s="22" t="s">
        <v>30</v>
      </c>
      <c r="S3" s="22" t="s">
        <v>31</v>
      </c>
      <c r="T3" s="21" t="s">
        <v>32</v>
      </c>
      <c r="U3" s="23"/>
      <c r="V3" s="23"/>
      <c r="W3" s="23">
        <f t="array" ref="W3:AU14">+TRANSPOSE(I3:T27)</f>
        <v>0</v>
      </c>
      <c r="X3" s="23" t="str">
        <v>Alimentación Mina</v>
      </c>
      <c r="Y3" s="23" t="str">
        <v>Alim a Planta desde Acopio Mina</v>
      </c>
      <c r="Z3" s="23" t="str">
        <v>Acopio Mina a Terceros</v>
      </c>
      <c r="AA3" s="23" t="str">
        <v>Delta S Acopio Mina</v>
      </c>
      <c r="AB3" s="23" t="str">
        <v>Alim a Chancado</v>
      </c>
      <c r="AC3" s="23" t="str">
        <v>Chanc a Stock Prec Los Col.</v>
      </c>
      <c r="AD3" s="23" t="str">
        <v>Chanc a Stock Grueso</v>
      </c>
      <c r="AE3" s="23" t="str">
        <v>Delta Stock de Grueso</v>
      </c>
      <c r="AF3" s="23" t="str">
        <v>De Stock Grueso a conc magn (alim A52 y A82)</v>
      </c>
      <c r="AG3" s="23" t="str">
        <v>Stock Prec a (o desde) Acopio Mina</v>
      </c>
      <c r="AH3" s="23" t="str">
        <v>Delta Stock Prec</v>
      </c>
      <c r="AI3" s="23" t="str">
        <v>de Stock Prec a Terceros (a otras faenas)</v>
      </c>
      <c r="AJ3" s="23" t="str">
        <v>de Conc Magnética a Stock Prec (Prod A52 y A 82)</v>
      </c>
      <c r="AK3" s="23" t="str">
        <v>total de rechazo</v>
      </c>
      <c r="AL3" s="23" t="str">
        <v>Rechazo  a Stock de Rechazo</v>
      </c>
      <c r="AM3" s="23" t="str">
        <v>alim fresca a Planta Rechazo</v>
      </c>
      <c r="AN3" s="23" t="str">
        <v>Delta Stock de Rechazo</v>
      </c>
      <c r="AO3" s="23" t="str">
        <v>Stock Rechazo a Planta Rechazo</v>
      </c>
      <c r="AP3" s="23" t="str">
        <v>Alimentación Planta Rechazo</v>
      </c>
      <c r="AQ3" s="23" t="str">
        <v>Rechazo Final Los Colorados</v>
      </c>
      <c r="AR3" s="23" t="str">
        <v>Producción Planta Rechazo a Stock P40</v>
      </c>
      <c r="AS3" s="23" t="str">
        <v>Delta Stock P40</v>
      </c>
      <c r="AT3" s="23" t="str">
        <v>Venta desde P40</v>
      </c>
      <c r="AU3" s="23" t="str">
        <v>de Stoc Prec a Nodo Alim Planta de Pellet</v>
      </c>
    </row>
    <row r="4" spans="1:47" outlineLevel="1" x14ac:dyDescent="0.25">
      <c r="G4" s="24" t="s">
        <v>50</v>
      </c>
      <c r="H4" s="1">
        <v>1</v>
      </c>
      <c r="I4" s="25" t="s">
        <v>33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5">
      <c r="G5" s="24" t="s">
        <v>50</v>
      </c>
      <c r="H5" s="1">
        <v>2</v>
      </c>
      <c r="I5" s="25" t="s">
        <v>34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5">
      <c r="G6" s="24" t="s">
        <v>50</v>
      </c>
      <c r="H6" s="1">
        <v>3</v>
      </c>
      <c r="I6" s="25" t="s">
        <v>35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5">
      <c r="G7" s="24" t="s">
        <v>50</v>
      </c>
      <c r="H7" s="1">
        <v>4</v>
      </c>
      <c r="I7" s="25" t="s">
        <v>4</v>
      </c>
      <c r="J7" s="26" t="e">
        <f>+'Nodos Variac Inventarios'!G5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5">
      <c r="G8" s="24" t="s">
        <v>50</v>
      </c>
      <c r="H8" s="1">
        <v>5</v>
      </c>
      <c r="I8" s="25" t="s">
        <v>36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5">
      <c r="G9" s="24" t="s">
        <v>50</v>
      </c>
      <c r="H9" s="1">
        <v>6</v>
      </c>
      <c r="I9" s="25" t="s">
        <v>37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5">
      <c r="G10" s="24" t="s">
        <v>50</v>
      </c>
      <c r="H10" s="1">
        <v>7</v>
      </c>
      <c r="I10" s="25" t="s">
        <v>38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5">
      <c r="G11" s="24" t="s">
        <v>50</v>
      </c>
      <c r="H11" s="1">
        <v>8</v>
      </c>
      <c r="I11" s="25" t="s">
        <v>5</v>
      </c>
      <c r="J11" s="1">
        <v>0</v>
      </c>
      <c r="K11" s="1">
        <v>0</v>
      </c>
      <c r="L11" s="1">
        <v>0</v>
      </c>
      <c r="M11" s="1">
        <v>0</v>
      </c>
      <c r="N11" s="26" t="e">
        <f>+'Nodos Variac Inventarios'!G6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5">
      <c r="G12" s="24" t="s">
        <v>50</v>
      </c>
      <c r="H12" s="1">
        <v>9</v>
      </c>
      <c r="I12" s="25" t="s">
        <v>39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5">
      <c r="G13" s="24" t="s">
        <v>50</v>
      </c>
      <c r="H13" s="1">
        <v>10</v>
      </c>
      <c r="I13" s="25" t="s">
        <v>40</v>
      </c>
      <c r="J13" s="27">
        <v>1</v>
      </c>
      <c r="K13" s="1">
        <v>0</v>
      </c>
      <c r="L13" s="1">
        <v>0</v>
      </c>
      <c r="M13" s="27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5">
      <c r="G14" s="24" t="s">
        <v>50</v>
      </c>
      <c r="H14" s="1">
        <v>11</v>
      </c>
      <c r="I14" s="25" t="s">
        <v>6</v>
      </c>
      <c r="J14" s="1">
        <v>0</v>
      </c>
      <c r="K14" s="1">
        <v>0</v>
      </c>
      <c r="L14" s="1">
        <v>0</v>
      </c>
      <c r="M14" s="26" t="e">
        <f>+'Nodos Variac Inventarios'!G7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5">
      <c r="G15" s="24" t="s">
        <v>50</v>
      </c>
      <c r="H15" s="1">
        <v>12</v>
      </c>
      <c r="I15" s="25" t="s">
        <v>41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5">
      <c r="G16" s="24" t="s">
        <v>50</v>
      </c>
      <c r="H16" s="1">
        <v>13</v>
      </c>
      <c r="I16" s="25" t="s">
        <v>42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5">
      <c r="G17" s="24" t="s">
        <v>50</v>
      </c>
      <c r="H17" s="1">
        <v>14</v>
      </c>
      <c r="I17" s="25" t="s">
        <v>43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5">
      <c r="G18" s="24" t="s">
        <v>50</v>
      </c>
      <c r="H18" s="1">
        <v>15</v>
      </c>
      <c r="I18" s="25" t="s">
        <v>44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51</v>
      </c>
      <c r="AH18" s="1" t="s">
        <v>52</v>
      </c>
    </row>
    <row r="19" spans="7:36" outlineLevel="1" x14ac:dyDescent="0.25">
      <c r="G19" s="24" t="s">
        <v>50</v>
      </c>
      <c r="H19" s="1">
        <v>16</v>
      </c>
      <c r="I19" s="25" t="s">
        <v>53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28">
        <v>1</v>
      </c>
      <c r="AG19" s="29">
        <f t="shared" ref="AG19:AG42" si="0">+M46</f>
        <v>502781.82030850503</v>
      </c>
      <c r="AH19" s="29">
        <f t="shared" ref="AH19:AH42" si="1">+O46</f>
        <v>231983.78607040126</v>
      </c>
    </row>
    <row r="20" spans="7:36" outlineLevel="1" x14ac:dyDescent="0.25">
      <c r="G20" s="24" t="s">
        <v>50</v>
      </c>
      <c r="H20" s="1">
        <v>17</v>
      </c>
      <c r="I20" s="25" t="s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6" t="e">
        <f>+'Nodos Variac Inventarios'!G8</f>
        <v>#REF!</v>
      </c>
      <c r="R20" s="1">
        <v>0</v>
      </c>
      <c r="S20" s="1">
        <v>0</v>
      </c>
      <c r="T20" s="1">
        <v>0</v>
      </c>
      <c r="AF20" s="28">
        <v>2</v>
      </c>
      <c r="AG20" s="29">
        <f t="shared" si="0"/>
        <v>0</v>
      </c>
      <c r="AH20" s="29">
        <f t="shared" si="1"/>
        <v>0</v>
      </c>
    </row>
    <row r="21" spans="7:36" ht="15.75" customHeight="1" outlineLevel="1" x14ac:dyDescent="0.25">
      <c r="G21" s="24" t="s">
        <v>50</v>
      </c>
      <c r="H21" s="1">
        <v>18</v>
      </c>
      <c r="I21" s="25" t="s">
        <v>54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28">
        <v>3</v>
      </c>
      <c r="AG21" s="29">
        <f t="shared" si="0"/>
        <v>12961.629000000001</v>
      </c>
      <c r="AH21" s="29">
        <f t="shared" si="1"/>
        <v>7704.8210577451482</v>
      </c>
    </row>
    <row r="22" spans="7:36" ht="15.75" customHeight="1" outlineLevel="1" x14ac:dyDescent="0.25">
      <c r="G22" s="24" t="s">
        <v>50</v>
      </c>
      <c r="H22" s="1">
        <v>19</v>
      </c>
      <c r="I22" s="25" t="s">
        <v>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28">
        <v>4</v>
      </c>
      <c r="AG22" s="29">
        <f t="shared" si="0"/>
        <v>1770.5761999999995</v>
      </c>
      <c r="AH22" s="29">
        <f t="shared" si="1"/>
        <v>1150.0815539081302</v>
      </c>
    </row>
    <row r="23" spans="7:36" ht="15.75" customHeight="1" outlineLevel="1" x14ac:dyDescent="0.25">
      <c r="G23" s="24" t="s">
        <v>50</v>
      </c>
      <c r="H23" s="1">
        <v>20</v>
      </c>
      <c r="I23" s="25" t="s">
        <v>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28">
        <v>5</v>
      </c>
      <c r="AG23" s="29">
        <f t="shared" si="0"/>
        <v>502781.82030850503</v>
      </c>
      <c r="AH23" s="29">
        <f t="shared" si="1"/>
        <v>231983.78607040123</v>
      </c>
    </row>
    <row r="24" spans="7:36" ht="15.75" customHeight="1" outlineLevel="1" x14ac:dyDescent="0.25">
      <c r="G24" s="24" t="s">
        <v>50</v>
      </c>
      <c r="H24" s="1">
        <v>21</v>
      </c>
      <c r="I24" s="25" t="s">
        <v>47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28">
        <v>6</v>
      </c>
      <c r="AG24" s="29">
        <f t="shared" si="0"/>
        <v>0</v>
      </c>
      <c r="AH24" s="29">
        <f t="shared" si="1"/>
        <v>0</v>
      </c>
    </row>
    <row r="25" spans="7:36" ht="15.75" customHeight="1" outlineLevel="1" x14ac:dyDescent="0.25">
      <c r="G25" s="24" t="s">
        <v>50</v>
      </c>
      <c r="H25" s="1">
        <v>22</v>
      </c>
      <c r="I25" s="25" t="s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6" t="e">
        <f>+'Nodos Variac Inventarios'!G9</f>
        <v>#REF!</v>
      </c>
      <c r="AF25" s="28">
        <v>7</v>
      </c>
      <c r="AG25" s="29">
        <f t="shared" si="0"/>
        <v>502781.82030850503</v>
      </c>
      <c r="AH25" s="29">
        <f t="shared" si="1"/>
        <v>231983.78607040123</v>
      </c>
    </row>
    <row r="26" spans="7:36" ht="15.75" customHeight="1" outlineLevel="1" x14ac:dyDescent="0.25">
      <c r="G26" s="24" t="s">
        <v>50</v>
      </c>
      <c r="H26" s="1">
        <v>23</v>
      </c>
      <c r="I26" s="25" t="s">
        <v>48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28">
        <v>8</v>
      </c>
      <c r="AG26" s="29">
        <f t="shared" si="0"/>
        <v>44584.890479999987</v>
      </c>
      <c r="AH26" s="29">
        <f t="shared" si="1"/>
        <v>15862.288869787022</v>
      </c>
    </row>
    <row r="27" spans="7:36" ht="15.75" customHeight="1" outlineLevel="1" x14ac:dyDescent="0.25">
      <c r="G27" s="24" t="s">
        <v>50</v>
      </c>
      <c r="H27" s="1">
        <v>24</v>
      </c>
      <c r="I27" s="30" t="s">
        <v>49</v>
      </c>
      <c r="J27" s="31">
        <v>0</v>
      </c>
      <c r="K27" s="31">
        <v>0</v>
      </c>
      <c r="L27" s="31">
        <v>0</v>
      </c>
      <c r="M27" s="31">
        <v>-1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AF27" s="28">
        <v>9</v>
      </c>
      <c r="AG27" s="29">
        <f t="shared" si="0"/>
        <v>458196.92982851854</v>
      </c>
      <c r="AH27" s="29">
        <f t="shared" si="1"/>
        <v>216121.49720061384</v>
      </c>
    </row>
    <row r="28" spans="7:36" ht="15.75" customHeight="1" outlineLevel="1" x14ac:dyDescent="0.25">
      <c r="G28" s="24"/>
      <c r="AF28" s="28">
        <v>10</v>
      </c>
      <c r="AG28" s="29">
        <f t="shared" si="0"/>
        <v>14732.2052</v>
      </c>
      <c r="AH28" s="29">
        <f t="shared" si="1"/>
        <v>8854.9026116532787</v>
      </c>
      <c r="AI28" s="29"/>
      <c r="AJ28" s="29"/>
    </row>
    <row r="29" spans="7:36" ht="15.75" customHeight="1" outlineLevel="1" x14ac:dyDescent="0.25">
      <c r="G29" s="24"/>
      <c r="AF29" s="28">
        <v>11</v>
      </c>
      <c r="AG29" s="29">
        <f t="shared" si="0"/>
        <v>30901.954517017632</v>
      </c>
      <c r="AH29" s="29">
        <f t="shared" si="1"/>
        <v>28476.531242053443</v>
      </c>
      <c r="AI29" s="29"/>
      <c r="AJ29" s="29"/>
    </row>
    <row r="30" spans="7:36" ht="15.75" customHeight="1" outlineLevel="1" x14ac:dyDescent="0.25">
      <c r="G30" s="24"/>
      <c r="AF30" s="28">
        <v>12</v>
      </c>
      <c r="AG30" s="29">
        <f t="shared" si="0"/>
        <v>16162.331</v>
      </c>
      <c r="AH30" s="29">
        <f t="shared" si="1"/>
        <v>9675.4587302503223</v>
      </c>
      <c r="AI30" s="29"/>
      <c r="AJ30" s="29"/>
    </row>
    <row r="31" spans="7:36" ht="15.75" customHeight="1" outlineLevel="1" x14ac:dyDescent="0.25">
      <c r="G31" s="24"/>
      <c r="AF31" s="28">
        <v>13</v>
      </c>
      <c r="AG31" s="29">
        <f t="shared" si="0"/>
        <v>345267.33650650288</v>
      </c>
      <c r="AH31" s="29">
        <f t="shared" si="1"/>
        <v>198183.7605973435</v>
      </c>
      <c r="AI31" s="29"/>
      <c r="AJ31" s="29"/>
    </row>
    <row r="32" spans="7:36" ht="15.75" customHeight="1" outlineLevel="1" x14ac:dyDescent="0.25">
      <c r="G32" s="24"/>
      <c r="AF32" s="28">
        <v>14</v>
      </c>
      <c r="AG32" s="29">
        <f t="shared" si="0"/>
        <v>112929.59332199999</v>
      </c>
      <c r="AH32" s="29">
        <f t="shared" si="1"/>
        <v>17937.73660326648</v>
      </c>
      <c r="AI32" s="29"/>
      <c r="AJ32" s="29"/>
    </row>
    <row r="33" spans="4:36" ht="15.75" customHeight="1" outlineLevel="1" x14ac:dyDescent="0.25">
      <c r="G33" s="24"/>
      <c r="AF33" s="28">
        <v>15</v>
      </c>
      <c r="AG33" s="29">
        <f t="shared" si="0"/>
        <v>30174.414309067877</v>
      </c>
      <c r="AH33" s="29">
        <f t="shared" si="1"/>
        <v>5989.7466433757972</v>
      </c>
      <c r="AI33" s="29"/>
      <c r="AJ33" s="29"/>
    </row>
    <row r="34" spans="4:36" ht="15.75" customHeight="1" outlineLevel="1" x14ac:dyDescent="0.25">
      <c r="G34" s="24"/>
      <c r="AF34" s="28">
        <v>16</v>
      </c>
      <c r="AG34" s="29">
        <f t="shared" si="0"/>
        <v>82755.179012932131</v>
      </c>
      <c r="AH34" s="29">
        <f t="shared" si="1"/>
        <v>11947.989959159877</v>
      </c>
      <c r="AI34" s="29"/>
      <c r="AJ34" s="29"/>
    </row>
    <row r="35" spans="4:36" ht="15.75" customHeight="1" outlineLevel="1" x14ac:dyDescent="0.25">
      <c r="G35" s="24"/>
      <c r="AF35" s="28">
        <v>17</v>
      </c>
      <c r="AG35" s="29">
        <f t="shared" si="0"/>
        <v>14174.322317347074</v>
      </c>
      <c r="AH35" s="29">
        <f t="shared" si="1"/>
        <v>3614.2837117004206</v>
      </c>
      <c r="AI35" s="29"/>
      <c r="AJ35" s="29"/>
    </row>
    <row r="36" spans="4:36" ht="15.75" customHeight="1" outlineLevel="1" x14ac:dyDescent="0.25">
      <c r="G36" s="24"/>
      <c r="AF36" s="28">
        <v>18</v>
      </c>
      <c r="AG36" s="29">
        <f t="shared" si="0"/>
        <v>44348.736626414939</v>
      </c>
      <c r="AH36" s="29">
        <f t="shared" si="1"/>
        <v>9604.0303558096184</v>
      </c>
      <c r="AI36" s="29"/>
      <c r="AJ36" s="29"/>
    </row>
    <row r="37" spans="4:36" ht="15.75" customHeight="1" outlineLevel="1" x14ac:dyDescent="0.25">
      <c r="G37" s="24"/>
      <c r="AF37" s="28">
        <v>19</v>
      </c>
      <c r="AG37" s="29">
        <f t="shared" si="0"/>
        <v>127103.91563934706</v>
      </c>
      <c r="AH37" s="29">
        <f t="shared" si="1"/>
        <v>21552.0203149669</v>
      </c>
      <c r="AI37" s="29"/>
      <c r="AJ37" s="29"/>
    </row>
    <row r="38" spans="4:36" ht="15.75" customHeight="1" outlineLevel="1" x14ac:dyDescent="0.25">
      <c r="G38" s="24"/>
      <c r="AF38" s="28">
        <v>20</v>
      </c>
      <c r="AG38" s="29">
        <f t="shared" si="0"/>
        <v>108284.65870939114</v>
      </c>
      <c r="AH38" s="29">
        <f t="shared" si="1"/>
        <v>14049.347154701374</v>
      </c>
      <c r="AI38" s="29"/>
      <c r="AJ38" s="29"/>
    </row>
    <row r="39" spans="4:36" ht="15.75" customHeight="1" outlineLevel="1" x14ac:dyDescent="0.25">
      <c r="G39" s="24"/>
      <c r="AF39" s="28">
        <v>21</v>
      </c>
      <c r="AG39" s="29">
        <f t="shared" si="0"/>
        <v>18819.256929955947</v>
      </c>
      <c r="AH39" s="29">
        <f t="shared" si="1"/>
        <v>7502.6731602655373</v>
      </c>
      <c r="AI39" s="29"/>
      <c r="AJ39" s="29"/>
    </row>
    <row r="40" spans="4:36" ht="15.75" customHeight="1" outlineLevel="1" x14ac:dyDescent="0.25">
      <c r="G40" s="24"/>
      <c r="AF40" s="28">
        <v>22</v>
      </c>
      <c r="AG40" s="29">
        <f t="shared" si="0"/>
        <v>311.60807004405655</v>
      </c>
      <c r="AH40" s="29">
        <f t="shared" si="1"/>
        <v>117.65024330446384</v>
      </c>
      <c r="AI40" s="29"/>
      <c r="AJ40" s="29"/>
    </row>
    <row r="41" spans="4:36" ht="15.75" customHeight="1" outlineLevel="1" x14ac:dyDescent="0.25">
      <c r="G41" s="24"/>
      <c r="AF41" s="28">
        <v>23</v>
      </c>
      <c r="AG41" s="29">
        <f t="shared" si="0"/>
        <v>19130.865000000002</v>
      </c>
      <c r="AH41" s="29">
        <f t="shared" si="1"/>
        <v>7620.3234035700007</v>
      </c>
      <c r="AI41" s="29"/>
      <c r="AJ41" s="29"/>
    </row>
    <row r="42" spans="4:36" ht="15.75" customHeight="1" outlineLevel="1" x14ac:dyDescent="0.25">
      <c r="G42" s="24"/>
      <c r="AF42" s="28">
        <v>24</v>
      </c>
      <c r="AG42" s="29">
        <f t="shared" si="0"/>
        <v>673884.94200000004</v>
      </c>
      <c r="AH42" s="29">
        <f t="shared" si="1"/>
        <v>410848.95586592209</v>
      </c>
      <c r="AI42" s="29"/>
      <c r="AJ42" s="29"/>
    </row>
    <row r="43" spans="4:36" ht="15.75" customHeight="1" x14ac:dyDescent="0.25">
      <c r="D43" s="19"/>
      <c r="AB43" s="32" t="s">
        <v>55</v>
      </c>
      <c r="AC43" s="32"/>
      <c r="AI43" s="29"/>
      <c r="AJ43" s="29"/>
    </row>
    <row r="44" spans="4:36" ht="32.25" customHeight="1" x14ac:dyDescent="0.3">
      <c r="D44" s="19"/>
      <c r="J44" s="304" t="s">
        <v>56</v>
      </c>
      <c r="K44" s="305"/>
      <c r="M44" s="306" t="s">
        <v>57</v>
      </c>
      <c r="N44" s="307"/>
      <c r="O44" s="308"/>
      <c r="R44" s="309" t="s">
        <v>58</v>
      </c>
      <c r="S44" s="305"/>
      <c r="T44" s="33" t="s">
        <v>59</v>
      </c>
      <c r="V44" s="34" t="s">
        <v>60</v>
      </c>
      <c r="AB44" s="32" t="s">
        <v>51</v>
      </c>
      <c r="AC44" s="32" t="s">
        <v>52</v>
      </c>
      <c r="AE44" s="1" t="e">
        <f>+V45</f>
        <v>#REF!</v>
      </c>
      <c r="AI44" s="29"/>
      <c r="AJ44" s="29"/>
    </row>
    <row r="45" spans="4:36" ht="15.75" customHeight="1" x14ac:dyDescent="0.25">
      <c r="D45" s="19"/>
      <c r="J45" s="35" t="s">
        <v>51</v>
      </c>
      <c r="K45" s="35" t="s">
        <v>3</v>
      </c>
      <c r="M45" s="36" t="s">
        <v>51</v>
      </c>
      <c r="N45" s="37" t="s">
        <v>3</v>
      </c>
      <c r="O45" s="38" t="s">
        <v>61</v>
      </c>
      <c r="R45" s="39" t="s">
        <v>51</v>
      </c>
      <c r="S45" s="39" t="s">
        <v>62</v>
      </c>
      <c r="T45" s="40" t="e">
        <f>+MAX(T46:T69)</f>
        <v>#REF!</v>
      </c>
      <c r="V45" s="40" t="e">
        <f>+MAX(V46:V69)</f>
        <v>#REF!</v>
      </c>
      <c r="AA45" s="1" t="s">
        <v>22</v>
      </c>
      <c r="AB45" s="32" t="e">
        <f t="array" ref="AB45">+MMULT(X4:AU14,AG19:AH42)</f>
        <v>#REF!</v>
      </c>
      <c r="AC45" s="32"/>
      <c r="AI45" s="29"/>
      <c r="AJ45" s="29"/>
    </row>
    <row r="46" spans="4:36" ht="15.75" customHeight="1" x14ac:dyDescent="0.25">
      <c r="G46" s="24"/>
      <c r="H46" s="1">
        <f t="shared" ref="H46:I46" si="2">+H4</f>
        <v>1</v>
      </c>
      <c r="I46" s="2" t="str">
        <f t="shared" si="2"/>
        <v>Alimentación Mina</v>
      </c>
      <c r="J46" s="41" t="e">
        <f t="shared" ref="J46:K46" si="3">+#REF!</f>
        <v>#REF!</v>
      </c>
      <c r="K46" s="42" t="e">
        <f t="shared" si="3"/>
        <v>#REF!</v>
      </c>
      <c r="L46" s="1" t="s">
        <v>63</v>
      </c>
      <c r="M46" s="43">
        <v>502781.82030850503</v>
      </c>
      <c r="N46" s="44">
        <v>0.46140050554742984</v>
      </c>
      <c r="O46" s="43">
        <f t="shared" ref="O46:O69" si="4">+M46*N46</f>
        <v>231983.78607040126</v>
      </c>
      <c r="R46" s="44" t="e">
        <f t="shared" ref="R46:S46" si="5">+IF(J46&lt;&gt;0,(M46-J46)/J46,0)</f>
        <v>#REF!</v>
      </c>
      <c r="S46" s="44" t="e">
        <f t="shared" si="5"/>
        <v>#REF!</v>
      </c>
      <c r="T46" s="45" t="e">
        <f t="shared" ref="T46:T69" si="6">+IF(R46&lt;&gt;"",ABS(R46),0)</f>
        <v>#REF!</v>
      </c>
      <c r="U46" s="46"/>
      <c r="V46" s="45" t="e">
        <f t="shared" ref="V46:V69" si="7">+IF(S46&lt;&gt;"",ABS(S46),0)</f>
        <v>#REF!</v>
      </c>
      <c r="W46" s="46">
        <v>0.02</v>
      </c>
      <c r="AA46" s="1" t="s">
        <v>23</v>
      </c>
      <c r="AB46" s="32"/>
      <c r="AC46" s="32"/>
      <c r="AI46" s="29"/>
      <c r="AJ46" s="29"/>
    </row>
    <row r="47" spans="4:36" ht="15.75" customHeight="1" x14ac:dyDescent="0.25">
      <c r="G47" s="24"/>
      <c r="H47" s="1">
        <f t="shared" ref="H47:I47" si="8">+H5</f>
        <v>2</v>
      </c>
      <c r="I47" s="2" t="str">
        <f t="shared" si="8"/>
        <v>Alim a Planta desde Acopio Mina</v>
      </c>
      <c r="J47" s="41" t="e">
        <f t="shared" ref="J47:K47" si="9">+#REF!</f>
        <v>#REF!</v>
      </c>
      <c r="K47" s="42" t="e">
        <f t="shared" si="9"/>
        <v>#REF!</v>
      </c>
      <c r="L47" s="1"/>
      <c r="M47" s="43">
        <v>0</v>
      </c>
      <c r="N47" s="44">
        <v>0</v>
      </c>
      <c r="O47" s="43">
        <f t="shared" si="4"/>
        <v>0</v>
      </c>
      <c r="R47" s="47" t="e">
        <f t="shared" ref="R47:S47" si="10">+IF(J47&lt;&gt;0,(M47-J47)/J47,0)</f>
        <v>#REF!</v>
      </c>
      <c r="S47" s="47" t="e">
        <f t="shared" si="10"/>
        <v>#REF!</v>
      </c>
      <c r="T47" s="44" t="e">
        <f t="shared" si="6"/>
        <v>#REF!</v>
      </c>
      <c r="U47" s="46"/>
      <c r="V47" s="44" t="e">
        <f t="shared" si="7"/>
        <v>#REF!</v>
      </c>
      <c r="W47" s="46"/>
      <c r="AA47" s="1" t="s">
        <v>24</v>
      </c>
      <c r="AB47" s="32"/>
      <c r="AC47" s="32"/>
      <c r="AI47" s="29"/>
      <c r="AJ47" s="29"/>
    </row>
    <row r="48" spans="4:36" ht="15.75" customHeight="1" x14ac:dyDescent="0.25">
      <c r="D48" s="1" t="s">
        <v>1</v>
      </c>
      <c r="E48" s="1" t="s">
        <v>2</v>
      </c>
      <c r="F48" s="1" t="s">
        <v>3</v>
      </c>
      <c r="G48" s="24"/>
      <c r="H48" s="1">
        <f t="shared" ref="H48:I48" si="11">+H6</f>
        <v>3</v>
      </c>
      <c r="I48" s="48" t="str">
        <f t="shared" si="11"/>
        <v>Acopio Mina a Terceros</v>
      </c>
      <c r="J48" s="41" t="e">
        <f t="shared" ref="J48:K48" si="12">+#REF!</f>
        <v>#REF!</v>
      </c>
      <c r="K48" s="42" t="e">
        <f t="shared" si="12"/>
        <v>#REF!</v>
      </c>
      <c r="L48" s="1"/>
      <c r="M48" s="43">
        <v>12961.629000000001</v>
      </c>
      <c r="N48" s="44">
        <v>0.59443308072967893</v>
      </c>
      <c r="O48" s="43">
        <f t="shared" si="4"/>
        <v>7704.8210577451482</v>
      </c>
      <c r="P48" s="49"/>
      <c r="R48" s="47" t="e">
        <f t="shared" ref="R48:S48" si="13">+IF(J48&lt;&gt;0,(M48-J48)/J48,0)</f>
        <v>#REF!</v>
      </c>
      <c r="S48" s="47" t="e">
        <f t="shared" si="13"/>
        <v>#REF!</v>
      </c>
      <c r="T48" s="44" t="e">
        <f t="shared" si="6"/>
        <v>#REF!</v>
      </c>
      <c r="U48" s="46">
        <v>0</v>
      </c>
      <c r="V48" s="44" t="e">
        <f t="shared" si="7"/>
        <v>#REF!</v>
      </c>
      <c r="W48" s="46"/>
      <c r="AA48" s="1" t="s">
        <v>25</v>
      </c>
      <c r="AB48" s="32"/>
      <c r="AC48" s="32"/>
      <c r="AI48" s="29"/>
      <c r="AJ48" s="29"/>
    </row>
    <row r="49" spans="4:36" ht="15.75" customHeight="1" x14ac:dyDescent="0.25">
      <c r="D49" s="19" t="e">
        <f>+'Nodos Variac Inventarios'!D5</f>
        <v>#REF!</v>
      </c>
      <c r="E49" s="50" t="e">
        <f>+'Nodos Variac Inventarios'!E5</f>
        <v>#REF!</v>
      </c>
      <c r="F49" s="51" t="e">
        <f>+'Nodos Variac Inventarios'!F5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41" t="e">
        <f t="shared" ref="J49:K49" si="15">+E49</f>
        <v>#REF!</v>
      </c>
      <c r="K49" s="42" t="e">
        <f t="shared" si="15"/>
        <v>#REF!</v>
      </c>
      <c r="L49" s="1" t="s">
        <v>64</v>
      </c>
      <c r="M49" s="43">
        <v>1770.5761999999995</v>
      </c>
      <c r="N49" s="44">
        <v>0.64955213670449796</v>
      </c>
      <c r="O49" s="43">
        <f t="shared" si="4"/>
        <v>1150.0815539081302</v>
      </c>
      <c r="P49" s="1">
        <f>+'Nodos Variac Inventarios'!H5</f>
        <v>0</v>
      </c>
      <c r="Q49" s="19" t="e">
        <f>+M49-J49</f>
        <v>#REF!</v>
      </c>
      <c r="R49" s="47" t="e">
        <f t="shared" ref="R49:S49" si="16">+IF(J49&lt;&gt;0,(M49-J49)/J49,0)</f>
        <v>#REF!</v>
      </c>
      <c r="S49" s="47" t="e">
        <f t="shared" si="16"/>
        <v>#REF!</v>
      </c>
      <c r="T49" s="44" t="e">
        <f t="shared" si="6"/>
        <v>#REF!</v>
      </c>
      <c r="U49" s="46"/>
      <c r="V49" s="44" t="e">
        <f t="shared" si="7"/>
        <v>#REF!</v>
      </c>
      <c r="W49" s="46"/>
      <c r="AA49" s="1" t="s">
        <v>26</v>
      </c>
      <c r="AB49" s="32"/>
      <c r="AC49" s="32"/>
      <c r="AI49" s="29"/>
      <c r="AJ49" s="29"/>
    </row>
    <row r="50" spans="4:36" ht="15.75" customHeight="1" x14ac:dyDescent="0.25">
      <c r="G50" s="24"/>
      <c r="H50" s="1">
        <f t="shared" ref="H50:I50" si="17">+H8</f>
        <v>5</v>
      </c>
      <c r="I50" s="2" t="str">
        <f t="shared" si="17"/>
        <v>Alim a Chancado</v>
      </c>
      <c r="J50" s="52" t="e">
        <f>+J46+J47</f>
        <v>#REF!</v>
      </c>
      <c r="K50" s="53" t="e">
        <f>+(J46*K46+J47*K47)/J50</f>
        <v>#REF!</v>
      </c>
      <c r="L50" s="1"/>
      <c r="M50" s="43">
        <v>502781.82030850503</v>
      </c>
      <c r="N50" s="44">
        <v>0.46140050554742978</v>
      </c>
      <c r="O50" s="43">
        <f t="shared" si="4"/>
        <v>231983.78607040123</v>
      </c>
      <c r="R50" s="47" t="e">
        <f t="shared" ref="R50:S50" si="18">+IF(J50&lt;&gt;0,(M50-J50)/J50,0)</f>
        <v>#REF!</v>
      </c>
      <c r="S50" s="47" t="e">
        <f t="shared" si="18"/>
        <v>#REF!</v>
      </c>
      <c r="T50" s="44" t="e">
        <f t="shared" si="6"/>
        <v>#REF!</v>
      </c>
      <c r="U50" s="46"/>
      <c r="V50" s="44" t="e">
        <f t="shared" si="7"/>
        <v>#REF!</v>
      </c>
      <c r="W50" s="46"/>
      <c r="AA50" s="1" t="s">
        <v>27</v>
      </c>
      <c r="AB50" s="32"/>
      <c r="AC50" s="32"/>
      <c r="AI50" s="29"/>
      <c r="AJ50" s="29"/>
    </row>
    <row r="51" spans="4:36" ht="15.75" customHeight="1" x14ac:dyDescent="0.25">
      <c r="G51" s="24"/>
      <c r="H51" s="1">
        <f t="shared" ref="H51:I51" si="19">+H9</f>
        <v>6</v>
      </c>
      <c r="I51" s="2" t="str">
        <f t="shared" si="19"/>
        <v>Chanc a Stock Prec Los Col.</v>
      </c>
      <c r="J51" s="52">
        <v>0</v>
      </c>
      <c r="K51" s="53">
        <f>+IF(J51&lt;&gt;0,(J50*K50-J52*K52)/J51,0)</f>
        <v>0</v>
      </c>
      <c r="L51" s="1"/>
      <c r="M51" s="43">
        <v>0</v>
      </c>
      <c r="N51" s="44">
        <v>0</v>
      </c>
      <c r="O51" s="43">
        <f t="shared" si="4"/>
        <v>0</v>
      </c>
      <c r="R51" s="47">
        <f t="shared" ref="R51:S51" si="20">+IF(J51&lt;&gt;0,(M51-J51)/J51,0)</f>
        <v>0</v>
      </c>
      <c r="S51" s="47">
        <f t="shared" si="20"/>
        <v>0</v>
      </c>
      <c r="T51" s="44">
        <f t="shared" si="6"/>
        <v>0</v>
      </c>
      <c r="U51" s="46"/>
      <c r="V51" s="44">
        <f t="shared" si="7"/>
        <v>0</v>
      </c>
      <c r="W51" s="46"/>
      <c r="AA51" s="1" t="s">
        <v>28</v>
      </c>
      <c r="AB51" s="32"/>
      <c r="AC51" s="32"/>
      <c r="AI51" s="29"/>
      <c r="AJ51" s="29"/>
    </row>
    <row r="52" spans="4:36" ht="15.75" customHeight="1" x14ac:dyDescent="0.25">
      <c r="G52" s="24"/>
      <c r="H52" s="1">
        <f t="shared" ref="H52:I52" si="21">+H10</f>
        <v>7</v>
      </c>
      <c r="I52" s="2" t="str">
        <f t="shared" si="21"/>
        <v>Chanc a Stock Grueso</v>
      </c>
      <c r="J52" s="52" t="e">
        <f t="shared" ref="J52:K52" si="22">+J50</f>
        <v>#REF!</v>
      </c>
      <c r="K52" s="53" t="e">
        <f t="shared" si="22"/>
        <v>#REF!</v>
      </c>
      <c r="L52" s="1"/>
      <c r="M52" s="43">
        <v>502781.82030850503</v>
      </c>
      <c r="N52" s="44">
        <v>0.46140050554742978</v>
      </c>
      <c r="O52" s="43">
        <f t="shared" si="4"/>
        <v>231983.78607040123</v>
      </c>
      <c r="R52" s="47" t="e">
        <f t="shared" ref="R52:S52" si="23">+IF(J52&lt;&gt;0,(M52-J52)/J52,0)</f>
        <v>#REF!</v>
      </c>
      <c r="S52" s="47" t="e">
        <f t="shared" si="23"/>
        <v>#REF!</v>
      </c>
      <c r="T52" s="44" t="e">
        <f t="shared" si="6"/>
        <v>#REF!</v>
      </c>
      <c r="U52" s="46"/>
      <c r="V52" s="44" t="e">
        <f t="shared" si="7"/>
        <v>#REF!</v>
      </c>
      <c r="W52" s="46"/>
      <c r="AA52" s="1" t="s">
        <v>29</v>
      </c>
      <c r="AB52" s="32"/>
      <c r="AC52" s="32"/>
      <c r="AI52" s="29"/>
      <c r="AJ52" s="29"/>
    </row>
    <row r="53" spans="4:36" ht="15.75" customHeight="1" x14ac:dyDescent="0.25">
      <c r="D53" s="19" t="e">
        <f>+'Nodos Variac Inventarios'!D6</f>
        <v>#REF!</v>
      </c>
      <c r="E53" s="50" t="e">
        <f>+'Nodos Variac Inventarios'!E6</f>
        <v>#REF!</v>
      </c>
      <c r="F53" s="51" t="e">
        <f>+'Nodos Variac Inventarios'!F6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41" t="e">
        <f>+E53</f>
        <v>#REF!</v>
      </c>
      <c r="K53" s="42" t="e">
        <f>+IF(J53&lt;&gt;0,F53,0)</f>
        <v>#REF!</v>
      </c>
      <c r="L53" s="1" t="s">
        <v>64</v>
      </c>
      <c r="M53" s="43">
        <v>44584.890479999987</v>
      </c>
      <c r="N53" s="44">
        <v>0.35577723078410545</v>
      </c>
      <c r="O53" s="43">
        <f t="shared" si="4"/>
        <v>15862.288869787022</v>
      </c>
      <c r="P53" s="1">
        <f>+'Nodos Variac Inventarios'!H6</f>
        <v>0</v>
      </c>
      <c r="Q53" s="19" t="e">
        <f>+M53-J53</f>
        <v>#REF!</v>
      </c>
      <c r="R53" s="47" t="e">
        <f t="shared" ref="R53:S53" si="25">+IF(J53&lt;&gt;0,(M53-J53)/J53,0)</f>
        <v>#REF!</v>
      </c>
      <c r="S53" s="47" t="e">
        <f t="shared" si="25"/>
        <v>#REF!</v>
      </c>
      <c r="T53" s="44" t="e">
        <f t="shared" si="6"/>
        <v>#REF!</v>
      </c>
      <c r="U53" s="46">
        <v>0.1</v>
      </c>
      <c r="V53" s="44" t="e">
        <f t="shared" si="7"/>
        <v>#REF!</v>
      </c>
      <c r="W53" s="46"/>
      <c r="AA53" s="1" t="s">
        <v>30</v>
      </c>
      <c r="AB53" s="32"/>
      <c r="AC53" s="32"/>
      <c r="AI53" s="29"/>
      <c r="AJ53" s="29"/>
    </row>
    <row r="54" spans="4:36" ht="15.75" customHeight="1" x14ac:dyDescent="0.25">
      <c r="G54" s="24"/>
      <c r="H54" s="1">
        <f t="shared" ref="H54:I54" si="26">+H12</f>
        <v>9</v>
      </c>
      <c r="I54" s="2" t="str">
        <f t="shared" si="26"/>
        <v>De Stock Grueso a conc magn (alim A52 y A82)</v>
      </c>
      <c r="J54" s="41" t="e">
        <f t="shared" ref="J54:K54" si="27">+#REF!</f>
        <v>#REF!</v>
      </c>
      <c r="K54" s="42" t="e">
        <f t="shared" si="27"/>
        <v>#REF!</v>
      </c>
      <c r="L54" s="1"/>
      <c r="M54" s="43">
        <v>458196.92982851854</v>
      </c>
      <c r="N54" s="44">
        <v>0.47167818710941145</v>
      </c>
      <c r="O54" s="43">
        <f t="shared" si="4"/>
        <v>216121.49720061384</v>
      </c>
      <c r="R54" s="47" t="e">
        <f t="shared" ref="R54:S54" si="28">+IF(J54&lt;&gt;0,(M54-J54)/J54,0)</f>
        <v>#REF!</v>
      </c>
      <c r="S54" s="47" t="e">
        <f t="shared" si="28"/>
        <v>#REF!</v>
      </c>
      <c r="T54" s="44" t="e">
        <f t="shared" si="6"/>
        <v>#REF!</v>
      </c>
      <c r="U54" s="46"/>
      <c r="V54" s="44" t="e">
        <f t="shared" si="7"/>
        <v>#REF!</v>
      </c>
      <c r="W54" s="46"/>
      <c r="AA54" s="1" t="s">
        <v>31</v>
      </c>
      <c r="AB54" s="32"/>
      <c r="AC54" s="32"/>
      <c r="AI54" s="29"/>
      <c r="AJ54" s="29"/>
    </row>
    <row r="55" spans="4:36" ht="15.75" customHeight="1" x14ac:dyDescent="0.25">
      <c r="G55" s="24"/>
      <c r="H55" s="1">
        <f t="shared" ref="H55:I55" si="29">+H13</f>
        <v>10</v>
      </c>
      <c r="I55" s="2" t="str">
        <f t="shared" si="29"/>
        <v>Stock Prec a (o desde) Acopio Mina</v>
      </c>
      <c r="J55" s="41" t="e">
        <f t="shared" ref="J55:K55" si="30">+#REF!</f>
        <v>#REF!</v>
      </c>
      <c r="K55" s="42" t="e">
        <f t="shared" si="30"/>
        <v>#REF!</v>
      </c>
      <c r="L55" s="1"/>
      <c r="M55" s="43">
        <v>14732.2052</v>
      </c>
      <c r="N55" s="44">
        <v>0.60105751253405559</v>
      </c>
      <c r="O55" s="43">
        <f t="shared" si="4"/>
        <v>8854.9026116532787</v>
      </c>
      <c r="R55" s="47" t="e">
        <f t="shared" ref="R55:S55" si="31">+IF(J55&lt;&gt;0,(M55-J55)/J55,0)</f>
        <v>#REF!</v>
      </c>
      <c r="S55" s="47" t="e">
        <f t="shared" si="31"/>
        <v>#REF!</v>
      </c>
      <c r="T55" s="44" t="e">
        <f t="shared" si="6"/>
        <v>#REF!</v>
      </c>
      <c r="U55" s="46">
        <v>0</v>
      </c>
      <c r="V55" s="44" t="e">
        <f t="shared" si="7"/>
        <v>#REF!</v>
      </c>
      <c r="W55" s="46">
        <v>0.05</v>
      </c>
      <c r="AA55" s="1" t="s">
        <v>32</v>
      </c>
      <c r="AB55" s="32"/>
      <c r="AC55" s="32"/>
      <c r="AI55" s="29"/>
      <c r="AJ55" s="29"/>
    </row>
    <row r="56" spans="4:36" ht="15.75" customHeight="1" x14ac:dyDescent="0.25">
      <c r="D56" s="19" t="e">
        <f>+J58+J51-J69-J57-J55</f>
        <v>#REF!</v>
      </c>
      <c r="E56" s="50" t="e">
        <f>+'Nodos Variac Inventarios'!E7</f>
        <v>#REF!</v>
      </c>
      <c r="F56" s="51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41" t="e">
        <f t="shared" ref="J56:K56" si="33">+E56</f>
        <v>#REF!</v>
      </c>
      <c r="K56" s="42" t="e">
        <f t="shared" si="33"/>
        <v>#REF!</v>
      </c>
      <c r="L56" s="1" t="s">
        <v>64</v>
      </c>
      <c r="M56" s="43">
        <v>30901.954517017632</v>
      </c>
      <c r="N56" s="44">
        <v>0.92151230196043055</v>
      </c>
      <c r="O56" s="43">
        <f t="shared" si="4"/>
        <v>28476.531242053443</v>
      </c>
      <c r="P56" s="1">
        <f>+'Nodos Variac Inventarios'!H7</f>
        <v>0</v>
      </c>
      <c r="Q56" s="19" t="e">
        <f>+M56-J56</f>
        <v>#REF!</v>
      </c>
      <c r="R56" s="47" t="e">
        <f t="shared" ref="R56:S56" si="34">+IF(J56&lt;&gt;0,(M56-J56)/J56,0)</f>
        <v>#REF!</v>
      </c>
      <c r="S56" s="47" t="e">
        <f t="shared" si="34"/>
        <v>#REF!</v>
      </c>
      <c r="T56" s="44" t="e">
        <f t="shared" si="6"/>
        <v>#REF!</v>
      </c>
      <c r="U56" s="46"/>
      <c r="V56" s="44" t="e">
        <f t="shared" si="7"/>
        <v>#REF!</v>
      </c>
      <c r="W56" s="46"/>
      <c r="AI56" s="29"/>
      <c r="AJ56" s="29"/>
    </row>
    <row r="57" spans="4:36" ht="15.75" customHeight="1" x14ac:dyDescent="0.25">
      <c r="G57" s="24"/>
      <c r="H57" s="1">
        <f t="shared" ref="H57:I57" si="35">+H15</f>
        <v>12</v>
      </c>
      <c r="I57" s="48" t="str">
        <f t="shared" si="35"/>
        <v>de Stock Prec a Terceros (a otras faenas)</v>
      </c>
      <c r="J57" s="41" t="e">
        <f t="shared" ref="J57:K57" si="36">+#REF!</f>
        <v>#REF!</v>
      </c>
      <c r="K57" s="42" t="e">
        <f t="shared" si="36"/>
        <v>#REF!</v>
      </c>
      <c r="L57" s="1" t="s">
        <v>65</v>
      </c>
      <c r="M57" s="43">
        <v>16162.331</v>
      </c>
      <c r="N57" s="44">
        <v>0.59864253060095862</v>
      </c>
      <c r="O57" s="43">
        <f t="shared" si="4"/>
        <v>9675.4587302503223</v>
      </c>
      <c r="P57" s="49"/>
      <c r="R57" s="47" t="e">
        <f t="shared" ref="R57:S57" si="37">+IF(J57&lt;&gt;0,(M57-J57)/J57,0)</f>
        <v>#REF!</v>
      </c>
      <c r="S57" s="47" t="e">
        <f t="shared" si="37"/>
        <v>#REF!</v>
      </c>
      <c r="T57" s="44" t="e">
        <f t="shared" si="6"/>
        <v>#REF!</v>
      </c>
      <c r="U57" s="46">
        <v>0</v>
      </c>
      <c r="V57" s="44" t="e">
        <f t="shared" si="7"/>
        <v>#REF!</v>
      </c>
      <c r="W57" s="46">
        <v>0.01</v>
      </c>
      <c r="AA57" s="24" t="s">
        <v>66</v>
      </c>
      <c r="AB57" s="1" t="e">
        <f ca="1">+SUM(ANCHORARRAY(AB45))</f>
        <v>#NAME?</v>
      </c>
      <c r="AI57" s="29"/>
      <c r="AJ57" s="29"/>
    </row>
    <row r="58" spans="4:36" ht="15.75" customHeight="1" x14ac:dyDescent="0.25">
      <c r="G58" s="24"/>
      <c r="H58" s="1">
        <f t="shared" ref="H58:I58" si="38">+H16</f>
        <v>13</v>
      </c>
      <c r="I58" s="2" t="str">
        <f t="shared" si="38"/>
        <v>de Conc Magnética a Stock Prec (Prod A52 y A 82)</v>
      </c>
      <c r="J58" s="41" t="e">
        <f t="shared" ref="J58:K58" si="39">+#REF!</f>
        <v>#REF!</v>
      </c>
      <c r="K58" s="42" t="e">
        <f t="shared" si="39"/>
        <v>#REF!</v>
      </c>
      <c r="L58" s="1"/>
      <c r="M58" s="43">
        <v>345267.33650650288</v>
      </c>
      <c r="N58" s="44">
        <v>0.57400089624061745</v>
      </c>
      <c r="O58" s="43">
        <f t="shared" si="4"/>
        <v>198183.7605973435</v>
      </c>
      <c r="R58" s="47" t="e">
        <f t="shared" ref="R58:S58" si="40">+IF(J58&lt;&gt;0,(M58-J58)/J58,0)</f>
        <v>#REF!</v>
      </c>
      <c r="S58" s="47" t="e">
        <f t="shared" si="40"/>
        <v>#REF!</v>
      </c>
      <c r="T58" s="45" t="e">
        <f t="shared" si="6"/>
        <v>#REF!</v>
      </c>
      <c r="U58" s="46">
        <v>0.03</v>
      </c>
      <c r="V58" s="44" t="e">
        <f t="shared" si="7"/>
        <v>#REF!</v>
      </c>
      <c r="W58" s="46"/>
      <c r="AA58" s="24" t="s">
        <v>67</v>
      </c>
      <c r="AB58" s="19" t="e">
        <f>+SUM(J100:K123)</f>
        <v>#REF!</v>
      </c>
      <c r="AI58" s="29"/>
      <c r="AJ58" s="29"/>
    </row>
    <row r="59" spans="4:36" ht="15.75" customHeight="1" x14ac:dyDescent="0.25">
      <c r="G59" s="24"/>
      <c r="H59" s="1">
        <f t="shared" ref="H59:I59" si="41">+H17</f>
        <v>14</v>
      </c>
      <c r="I59" s="2" t="str">
        <f t="shared" si="41"/>
        <v>total de rechazo</v>
      </c>
      <c r="J59" s="52" t="e">
        <f>+J60+J61</f>
        <v>#REF!</v>
      </c>
      <c r="K59" s="53" t="e">
        <f>+K60</f>
        <v>#REF!</v>
      </c>
      <c r="L59" s="1"/>
      <c r="M59" s="43">
        <v>112929.59332199999</v>
      </c>
      <c r="N59" s="44">
        <v>0.15884000000000001</v>
      </c>
      <c r="O59" s="43">
        <f t="shared" si="4"/>
        <v>17937.73660326648</v>
      </c>
      <c r="R59" s="47" t="e">
        <f t="shared" ref="R59:S59" si="42">+IF(J59&lt;&gt;0,(M59-J59)/J59,0)</f>
        <v>#REF!</v>
      </c>
      <c r="S59" s="47" t="e">
        <f t="shared" si="42"/>
        <v>#REF!</v>
      </c>
      <c r="T59" s="44" t="e">
        <f t="shared" si="6"/>
        <v>#REF!</v>
      </c>
      <c r="U59" s="46">
        <v>0.02</v>
      </c>
      <c r="V59" s="44" t="e">
        <f t="shared" si="7"/>
        <v>#REF!</v>
      </c>
      <c r="W59" s="46">
        <v>0.05</v>
      </c>
    </row>
    <row r="60" spans="4:36" ht="15.75" customHeight="1" x14ac:dyDescent="0.25">
      <c r="G60" s="24"/>
      <c r="H60" s="1">
        <f t="shared" ref="H60:I60" si="43">+H18</f>
        <v>15</v>
      </c>
      <c r="I60" s="2" t="str">
        <f t="shared" si="43"/>
        <v>Rechazo  a Stock de Rechazo</v>
      </c>
      <c r="J60" s="41" t="e">
        <f t="shared" ref="J60:K60" si="44">+#REF!</f>
        <v>#REF!</v>
      </c>
      <c r="K60" s="42" t="e">
        <f t="shared" si="44"/>
        <v>#REF!</v>
      </c>
      <c r="L60" s="1"/>
      <c r="M60" s="43">
        <v>30174.414309067877</v>
      </c>
      <c r="N60" s="44">
        <v>0.19850415593901971</v>
      </c>
      <c r="O60" s="43">
        <f t="shared" si="4"/>
        <v>5989.7466433757972</v>
      </c>
      <c r="R60" s="47" t="e">
        <f t="shared" ref="R60:S60" si="45">+IF(J60&lt;&gt;0,(M60-J60)/J60,0)</f>
        <v>#REF!</v>
      </c>
      <c r="S60" s="47" t="e">
        <f t="shared" si="45"/>
        <v>#REF!</v>
      </c>
      <c r="T60" s="44" t="e">
        <f t="shared" si="6"/>
        <v>#REF!</v>
      </c>
      <c r="U60" s="46"/>
      <c r="V60" s="44" t="e">
        <f t="shared" si="7"/>
        <v>#REF!</v>
      </c>
      <c r="W60" s="46"/>
    </row>
    <row r="61" spans="4:36" ht="15.75" customHeight="1" x14ac:dyDescent="0.25">
      <c r="G61" s="24"/>
      <c r="H61" s="1">
        <f t="shared" ref="H61:I61" si="46">+H19</f>
        <v>16</v>
      </c>
      <c r="I61" s="2" t="str">
        <f t="shared" si="46"/>
        <v>alim fresca a Planta Rechazo</v>
      </c>
      <c r="J61" s="41" t="e">
        <f t="shared" ref="J61:K61" si="47">+#REF!</f>
        <v>#REF!</v>
      </c>
      <c r="K61" s="42" t="e">
        <f t="shared" si="47"/>
        <v>#REF!</v>
      </c>
      <c r="L61" s="1"/>
      <c r="M61" s="43">
        <v>82755.179012932131</v>
      </c>
      <c r="N61" s="44">
        <v>0.14437754955847257</v>
      </c>
      <c r="O61" s="43">
        <f t="shared" si="4"/>
        <v>11947.989959159877</v>
      </c>
      <c r="R61" s="47" t="e">
        <f t="shared" ref="R61:S61" si="48">+IF(J61&lt;&gt;0,(M61-J61)/J61,0)</f>
        <v>#REF!</v>
      </c>
      <c r="S61" s="47" t="e">
        <f t="shared" si="48"/>
        <v>#REF!</v>
      </c>
      <c r="T61" s="44" t="e">
        <f t="shared" si="6"/>
        <v>#REF!</v>
      </c>
      <c r="U61" s="46"/>
      <c r="V61" s="44" t="e">
        <f t="shared" si="7"/>
        <v>#REF!</v>
      </c>
      <c r="W61" s="46"/>
    </row>
    <row r="62" spans="4:36" ht="15.75" customHeight="1" x14ac:dyDescent="0.25">
      <c r="D62" s="54" t="e">
        <f>+'Nodos Variac Inventarios'!D8</f>
        <v>#REF!</v>
      </c>
      <c r="E62" s="50" t="e">
        <f>+ABS(D62)</f>
        <v>#REF!</v>
      </c>
      <c r="F62" s="51" t="e">
        <f>+'Nodos Variac Inventarios'!F8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41" t="e">
        <f t="shared" ref="J62:K62" si="50">+E62</f>
        <v>#REF!</v>
      </c>
      <c r="K62" s="42" t="e">
        <f t="shared" si="50"/>
        <v>#REF!</v>
      </c>
      <c r="L62" s="1" t="s">
        <v>64</v>
      </c>
      <c r="M62" s="43">
        <v>14174.322317347074</v>
      </c>
      <c r="N62" s="44">
        <v>0.25498811377226288</v>
      </c>
      <c r="O62" s="43">
        <f t="shared" si="4"/>
        <v>3614.2837117004206</v>
      </c>
      <c r="P62" s="19">
        <f>+'Nodos Variac Inventarios'!H8</f>
        <v>0</v>
      </c>
      <c r="Q62" s="19" t="e">
        <f>+M62-J62</f>
        <v>#REF!</v>
      </c>
      <c r="R62" s="47" t="e">
        <f t="shared" ref="R62:S62" si="51">+IF(J62&lt;&gt;0,(M62-J62)/J62,0)</f>
        <v>#REF!</v>
      </c>
      <c r="S62" s="47" t="e">
        <f t="shared" si="51"/>
        <v>#REF!</v>
      </c>
      <c r="T62" s="44" t="e">
        <f t="shared" si="6"/>
        <v>#REF!</v>
      </c>
      <c r="U62" s="46"/>
      <c r="V62" s="44" t="e">
        <f t="shared" si="7"/>
        <v>#REF!</v>
      </c>
      <c r="W62" s="46"/>
    </row>
    <row r="63" spans="4:36" ht="15.75" customHeight="1" x14ac:dyDescent="0.25">
      <c r="G63" s="24"/>
      <c r="H63" s="1">
        <f t="shared" ref="H63:I63" si="52">+H21</f>
        <v>18</v>
      </c>
      <c r="I63" s="2" t="str">
        <f t="shared" si="52"/>
        <v>Stock Rechazo a Planta Rechazo</v>
      </c>
      <c r="J63" s="41" t="e">
        <f t="shared" ref="J63:K63" si="53">+#REF!</f>
        <v>#REF!</v>
      </c>
      <c r="K63" s="42" t="e">
        <f t="shared" si="53"/>
        <v>#REF!</v>
      </c>
      <c r="L63" s="1"/>
      <c r="M63" s="43">
        <v>44348.736626414939</v>
      </c>
      <c r="N63" s="44">
        <v>0.21655702250803865</v>
      </c>
      <c r="O63" s="43">
        <f t="shared" si="4"/>
        <v>9604.0303558096184</v>
      </c>
      <c r="P63" s="19"/>
      <c r="R63" s="47" t="e">
        <f t="shared" ref="R63:S63" si="54">+IF(J63&lt;&gt;0,(M63-J63)/J63,0)</f>
        <v>#REF!</v>
      </c>
      <c r="S63" s="47" t="e">
        <f t="shared" si="54"/>
        <v>#REF!</v>
      </c>
      <c r="T63" s="44" t="e">
        <f t="shared" si="6"/>
        <v>#REF!</v>
      </c>
      <c r="U63" s="46"/>
      <c r="V63" s="44" t="e">
        <f t="shared" si="7"/>
        <v>#REF!</v>
      </c>
      <c r="W63" s="46">
        <v>0.03</v>
      </c>
    </row>
    <row r="64" spans="4:36" ht="15.75" customHeight="1" x14ac:dyDescent="0.25">
      <c r="G64" s="24"/>
      <c r="H64" s="1">
        <f t="shared" ref="H64:I64" si="55">+H22</f>
        <v>19</v>
      </c>
      <c r="I64" s="2" t="str">
        <f t="shared" si="55"/>
        <v>Alimentación Planta Rechazo</v>
      </c>
      <c r="J64" s="41" t="e">
        <f t="shared" ref="J64:K64" si="56">+#REF!</f>
        <v>#REF!</v>
      </c>
      <c r="K64" s="42" t="e">
        <f t="shared" si="56"/>
        <v>#REF!</v>
      </c>
      <c r="L64" s="19"/>
      <c r="M64" s="43">
        <v>127103.91563934706</v>
      </c>
      <c r="N64" s="44">
        <v>0.16956220590496998</v>
      </c>
      <c r="O64" s="43">
        <f t="shared" si="4"/>
        <v>21552.0203149669</v>
      </c>
      <c r="R64" s="47" t="e">
        <f t="shared" ref="R64:S64" si="57">+IF(J64&lt;&gt;0,(M64-J64)/J64,0)</f>
        <v>#REF!</v>
      </c>
      <c r="S64" s="47" t="e">
        <f t="shared" si="57"/>
        <v>#REF!</v>
      </c>
      <c r="T64" s="44" t="e">
        <f t="shared" si="6"/>
        <v>#REF!</v>
      </c>
      <c r="U64" s="46"/>
      <c r="V64" s="44" t="e">
        <f t="shared" si="7"/>
        <v>#REF!</v>
      </c>
      <c r="W64" s="46"/>
    </row>
    <row r="65" spans="4:29" ht="15.75" customHeight="1" x14ac:dyDescent="0.25">
      <c r="G65" s="24"/>
      <c r="H65" s="1">
        <f t="shared" ref="H65:I65" si="58">+H23</f>
        <v>20</v>
      </c>
      <c r="I65" s="48" t="str">
        <f t="shared" si="58"/>
        <v>Rechazo Final Los Colorados</v>
      </c>
      <c r="J65" s="41" t="e">
        <f t="shared" ref="J65:K65" si="59">+#REF!</f>
        <v>#REF!</v>
      </c>
      <c r="K65" s="42" t="e">
        <f t="shared" si="59"/>
        <v>#REF!</v>
      </c>
      <c r="L65" s="1" t="s">
        <v>68</v>
      </c>
      <c r="M65" s="43">
        <v>108284.65870939114</v>
      </c>
      <c r="N65" s="44">
        <v>0.12974457621375801</v>
      </c>
      <c r="O65" s="43">
        <f t="shared" si="4"/>
        <v>14049.347154701374</v>
      </c>
      <c r="R65" s="47" t="e">
        <f t="shared" ref="R65:S65" si="60">+IF(J65&lt;&gt;0,(M65-J65)/J65,0)</f>
        <v>#REF!</v>
      </c>
      <c r="S65" s="47" t="e">
        <f t="shared" si="60"/>
        <v>#REF!</v>
      </c>
      <c r="T65" s="44" t="e">
        <f t="shared" si="6"/>
        <v>#REF!</v>
      </c>
      <c r="U65" s="46"/>
      <c r="V65" s="44" t="e">
        <f t="shared" si="7"/>
        <v>#REF!</v>
      </c>
      <c r="W65" s="46"/>
    </row>
    <row r="66" spans="4:29" ht="15.75" customHeight="1" x14ac:dyDescent="0.25">
      <c r="G66" s="24"/>
      <c r="H66" s="1">
        <f t="shared" ref="H66:I66" si="61">+H24</f>
        <v>21</v>
      </c>
      <c r="I66" s="2" t="str">
        <f t="shared" si="61"/>
        <v>Producción Planta Rechazo a Stock P40</v>
      </c>
      <c r="J66" s="41" t="e">
        <f t="shared" ref="J66:K66" si="62">+#REF!</f>
        <v>#REF!</v>
      </c>
      <c r="K66" s="42" t="e">
        <f t="shared" si="62"/>
        <v>#REF!</v>
      </c>
      <c r="L66" s="1"/>
      <c r="M66" s="43">
        <v>18819.256929955947</v>
      </c>
      <c r="N66" s="44">
        <v>0.39866999999999997</v>
      </c>
      <c r="O66" s="43">
        <f t="shared" si="4"/>
        <v>7502.6731602655373</v>
      </c>
      <c r="R66" s="47" t="e">
        <f t="shared" ref="R66:S66" si="63">+IF(J66&lt;&gt;0,(M66-J66)/J66,0)</f>
        <v>#REF!</v>
      </c>
      <c r="S66" s="47" t="e">
        <f t="shared" si="63"/>
        <v>#REF!</v>
      </c>
      <c r="T66" s="44" t="e">
        <f t="shared" si="6"/>
        <v>#REF!</v>
      </c>
      <c r="U66" s="46"/>
      <c r="V66" s="44" t="e">
        <f t="shared" si="7"/>
        <v>#REF!</v>
      </c>
      <c r="W66" s="46">
        <v>0.03</v>
      </c>
      <c r="AA66" s="19"/>
      <c r="AB66" s="19"/>
    </row>
    <row r="67" spans="4:29" ht="15.75" customHeight="1" x14ac:dyDescent="0.25">
      <c r="D67" s="19" t="e">
        <f>+'Nodos Variac Inventarios'!D9</f>
        <v>#REF!</v>
      </c>
      <c r="E67" s="19" t="e">
        <f>+'Nodos Variac Inventarios'!E9</f>
        <v>#REF!</v>
      </c>
      <c r="F67" s="51" t="e">
        <f>+'Nodos Variac Inventarios'!F9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41" t="e">
        <f t="shared" ref="J67:K67" si="65">+E67</f>
        <v>#REF!</v>
      </c>
      <c r="K67" s="42" t="e">
        <f t="shared" si="65"/>
        <v>#REF!</v>
      </c>
      <c r="L67" s="1" t="s">
        <v>64</v>
      </c>
      <c r="M67" s="43">
        <v>311.60807004405655</v>
      </c>
      <c r="N67" s="44">
        <v>0.37755839663533081</v>
      </c>
      <c r="O67" s="43">
        <f t="shared" si="4"/>
        <v>117.65024330446384</v>
      </c>
      <c r="P67" s="1">
        <f>+'Nodos Variac Inventarios'!H9</f>
        <v>0</v>
      </c>
      <c r="Q67" s="19" t="e">
        <f>+M67-J67</f>
        <v>#REF!</v>
      </c>
      <c r="R67" s="47" t="e">
        <f t="shared" ref="R67:S67" si="66">+IF(J67&lt;&gt;0,(M67-J67)/J67,0)</f>
        <v>#REF!</v>
      </c>
      <c r="S67" s="47" t="e">
        <f t="shared" si="66"/>
        <v>#REF!</v>
      </c>
      <c r="T67" s="44" t="e">
        <f t="shared" si="6"/>
        <v>#REF!</v>
      </c>
      <c r="U67" s="46"/>
      <c r="V67" s="44" t="e">
        <f t="shared" si="7"/>
        <v>#REF!</v>
      </c>
      <c r="W67" s="46"/>
    </row>
    <row r="68" spans="4:29" ht="15.75" customHeight="1" x14ac:dyDescent="0.25">
      <c r="G68" s="24"/>
      <c r="H68" s="1">
        <f t="shared" ref="H68:I68" si="67">+H26</f>
        <v>23</v>
      </c>
      <c r="I68" s="55" t="str">
        <f t="shared" si="67"/>
        <v>Venta desde P40</v>
      </c>
      <c r="J68" s="56" t="e">
        <f t="shared" ref="J68:K68" si="68">+#REF!</f>
        <v>#REF!</v>
      </c>
      <c r="K68" s="57" t="e">
        <f t="shared" si="68"/>
        <v>#REF!</v>
      </c>
      <c r="L68" s="1" t="s">
        <v>65</v>
      </c>
      <c r="M68" s="58">
        <v>19130.865000000002</v>
      </c>
      <c r="N68" s="59">
        <v>0.39832612919332189</v>
      </c>
      <c r="O68" s="58">
        <f t="shared" si="4"/>
        <v>7620.3234035700007</v>
      </c>
      <c r="P68" s="49"/>
      <c r="R68" s="60" t="e">
        <f t="shared" ref="R68:S68" si="69">+IF(J68&lt;&gt;0,(M68-J68)/J68,0)</f>
        <v>#REF!</v>
      </c>
      <c r="S68" s="60" t="e">
        <f t="shared" si="69"/>
        <v>#REF!</v>
      </c>
      <c r="T68" s="44" t="e">
        <f t="shared" si="6"/>
        <v>#REF!</v>
      </c>
      <c r="U68" s="46">
        <v>0</v>
      </c>
      <c r="V68" s="44" t="e">
        <f t="shared" si="7"/>
        <v>#REF!</v>
      </c>
      <c r="W68" s="46">
        <v>0.01</v>
      </c>
      <c r="AA68" s="19"/>
      <c r="AB68" s="19"/>
    </row>
    <row r="69" spans="4:29" ht="15.75" customHeight="1" x14ac:dyDescent="0.25">
      <c r="G69" s="24"/>
      <c r="H69" s="1">
        <f t="shared" ref="H69:I69" si="70">+H27</f>
        <v>24</v>
      </c>
      <c r="I69" s="61" t="str">
        <f t="shared" si="70"/>
        <v>de Stoc Prec a Nodo Alim Planta de Pellet</v>
      </c>
      <c r="J69" s="62" t="e">
        <f t="shared" ref="J69:K69" si="71">+#REF!</f>
        <v>#REF!</v>
      </c>
      <c r="K69" s="63" t="e">
        <f t="shared" si="71"/>
        <v>#REF!</v>
      </c>
      <c r="L69" s="31" t="s">
        <v>69</v>
      </c>
      <c r="M69" s="64">
        <v>673884.94200000004</v>
      </c>
      <c r="N69" s="65">
        <v>0.60967226044045075</v>
      </c>
      <c r="O69" s="64">
        <f t="shared" si="4"/>
        <v>410848.95586592209</v>
      </c>
      <c r="P69" s="66"/>
      <c r="Q69" s="31"/>
      <c r="R69" s="67" t="e">
        <f t="shared" ref="R69:S69" si="72">+IF(J69&lt;&gt;0,(M69-J69)/J69,0)</f>
        <v>#REF!</v>
      </c>
      <c r="S69" s="68" t="e">
        <f t="shared" si="72"/>
        <v>#REF!</v>
      </c>
      <c r="T69" s="44" t="e">
        <f t="shared" si="6"/>
        <v>#REF!</v>
      </c>
      <c r="U69" s="46">
        <v>0</v>
      </c>
      <c r="V69" s="44" t="e">
        <f t="shared" si="7"/>
        <v>#REF!</v>
      </c>
      <c r="W69" s="46">
        <v>0</v>
      </c>
      <c r="AA69" s="51"/>
      <c r="AB69" s="19"/>
      <c r="AC69" s="19"/>
    </row>
    <row r="70" spans="4:29" ht="15.75" customHeight="1" x14ac:dyDescent="0.25">
      <c r="I70" s="1">
        <v>73294</v>
      </c>
      <c r="AA70" s="51"/>
      <c r="AB70" s="19"/>
    </row>
    <row r="71" spans="4:29" ht="15.75" customHeight="1" x14ac:dyDescent="0.25">
      <c r="J71" s="310" t="s">
        <v>70</v>
      </c>
      <c r="K71" s="305"/>
      <c r="M71" s="69" t="s">
        <v>71</v>
      </c>
      <c r="N71" s="69"/>
      <c r="R71" s="51" t="e">
        <f>+#REF!</f>
        <v>#REF!</v>
      </c>
      <c r="V71" s="19"/>
    </row>
    <row r="72" spans="4:29" ht="15.75" customHeight="1" x14ac:dyDescent="0.25">
      <c r="J72" s="70" t="s">
        <v>72</v>
      </c>
      <c r="K72" s="70" t="s">
        <v>62</v>
      </c>
      <c r="M72" s="69" t="s">
        <v>72</v>
      </c>
      <c r="N72" s="69" t="s">
        <v>62</v>
      </c>
      <c r="P72" s="19"/>
    </row>
    <row r="73" spans="4:29" ht="15.75" customHeight="1" x14ac:dyDescent="0.25">
      <c r="I73" s="25" t="str">
        <f t="shared" ref="I73:I96" si="73">+I46</f>
        <v>Alimentación Mina</v>
      </c>
      <c r="J73" s="71">
        <v>99</v>
      </c>
      <c r="K73" s="72">
        <v>10</v>
      </c>
      <c r="M73" s="19" t="e">
        <f t="shared" ref="M73:N73" si="74">+J73*J46/100</f>
        <v>#REF!</v>
      </c>
      <c r="N73" s="51" t="e">
        <f t="shared" si="74"/>
        <v>#REF!</v>
      </c>
    </row>
    <row r="74" spans="4:29" ht="15.75" customHeight="1" x14ac:dyDescent="0.25">
      <c r="I74" s="25" t="str">
        <f t="shared" si="73"/>
        <v>Alim a Planta desde Acopio Mina</v>
      </c>
      <c r="J74" s="1">
        <v>99</v>
      </c>
      <c r="K74" s="1">
        <v>99</v>
      </c>
      <c r="M74" s="19" t="e">
        <f t="shared" ref="M74:N74" si="75">+J74*J47/100</f>
        <v>#REF!</v>
      </c>
      <c r="N74" s="51" t="e">
        <f t="shared" si="75"/>
        <v>#REF!</v>
      </c>
    </row>
    <row r="75" spans="4:29" ht="15.75" customHeight="1" x14ac:dyDescent="0.25">
      <c r="I75" s="73" t="str">
        <f t="shared" si="73"/>
        <v>Acopio Mina a Terceros</v>
      </c>
      <c r="J75" s="74">
        <v>0.1</v>
      </c>
      <c r="K75" s="74">
        <v>1</v>
      </c>
      <c r="M75" s="19" t="e">
        <f t="shared" ref="M75:N75" si="76">+J75*J48/100</f>
        <v>#REF!</v>
      </c>
      <c r="N75" s="51" t="e">
        <f t="shared" si="76"/>
        <v>#REF!</v>
      </c>
    </row>
    <row r="76" spans="4:29" ht="15.75" customHeight="1" x14ac:dyDescent="0.25">
      <c r="I76" s="25" t="str">
        <f t="shared" si="73"/>
        <v>Delta S Acopio Mina</v>
      </c>
      <c r="J76" s="1">
        <v>99</v>
      </c>
      <c r="K76" s="1">
        <v>30</v>
      </c>
      <c r="M76" s="19" t="e">
        <f t="shared" ref="M76:N76" si="77">+J76*J49/100</f>
        <v>#REF!</v>
      </c>
      <c r="N76" s="51" t="e">
        <f t="shared" si="77"/>
        <v>#REF!</v>
      </c>
    </row>
    <row r="77" spans="4:29" ht="15.75" customHeight="1" x14ac:dyDescent="0.25">
      <c r="I77" s="25" t="str">
        <f t="shared" si="73"/>
        <v>Alim a Chancado</v>
      </c>
      <c r="J77" s="1">
        <v>99</v>
      </c>
      <c r="K77" s="1">
        <v>30</v>
      </c>
      <c r="M77" s="19" t="e">
        <f t="shared" ref="M77:N77" si="78">+J77*J50/100</f>
        <v>#REF!</v>
      </c>
      <c r="N77" s="51" t="e">
        <f t="shared" si="78"/>
        <v>#REF!</v>
      </c>
    </row>
    <row r="78" spans="4:29" ht="15.75" customHeight="1" x14ac:dyDescent="0.25">
      <c r="I78" s="25" t="str">
        <f t="shared" si="73"/>
        <v>Chanc a Stock Prec Los Col.</v>
      </c>
      <c r="J78" s="1">
        <v>99</v>
      </c>
      <c r="K78" s="1">
        <v>30</v>
      </c>
      <c r="M78" s="19">
        <f t="shared" ref="M78:N78" si="79">+J78*J51/100</f>
        <v>0</v>
      </c>
      <c r="N78" s="51">
        <f t="shared" si="79"/>
        <v>0</v>
      </c>
    </row>
    <row r="79" spans="4:29" ht="15.75" customHeight="1" x14ac:dyDescent="0.25">
      <c r="I79" s="25" t="str">
        <f t="shared" si="73"/>
        <v>Chanc a Stock Grueso</v>
      </c>
      <c r="J79" s="1">
        <v>99</v>
      </c>
      <c r="K79" s="1">
        <v>30</v>
      </c>
      <c r="M79" s="19" t="e">
        <f t="shared" ref="M79:N79" si="80">+J79*J52/100</f>
        <v>#REF!</v>
      </c>
      <c r="N79" s="51" t="e">
        <f t="shared" si="80"/>
        <v>#REF!</v>
      </c>
    </row>
    <row r="80" spans="4:29" ht="15.75" customHeight="1" x14ac:dyDescent="0.25">
      <c r="I80" s="25" t="str">
        <f t="shared" si="73"/>
        <v>Delta Stock de Grueso</v>
      </c>
      <c r="J80" s="1">
        <v>99</v>
      </c>
      <c r="K80" s="1">
        <v>30</v>
      </c>
      <c r="M80" s="19" t="e">
        <f t="shared" ref="M80:N80" si="81">+J80*J53/100</f>
        <v>#REF!</v>
      </c>
      <c r="N80" s="51" t="e">
        <f t="shared" si="81"/>
        <v>#REF!</v>
      </c>
    </row>
    <row r="81" spans="9:14" ht="15.75" customHeight="1" x14ac:dyDescent="0.25">
      <c r="I81" s="25" t="str">
        <f t="shared" si="73"/>
        <v>De Stock Grueso a conc magn (alim A52 y A82)</v>
      </c>
      <c r="J81" s="1">
        <v>99</v>
      </c>
      <c r="K81" s="1">
        <v>30</v>
      </c>
      <c r="M81" s="19" t="e">
        <f t="shared" ref="M81:N81" si="82">+J81*J54/100</f>
        <v>#REF!</v>
      </c>
      <c r="N81" s="51" t="e">
        <f t="shared" si="82"/>
        <v>#REF!</v>
      </c>
    </row>
    <row r="82" spans="9:14" ht="15.75" customHeight="1" x14ac:dyDescent="0.25">
      <c r="I82" s="25" t="str">
        <f t="shared" si="73"/>
        <v>Stock Prec a (o desde) Acopio Mina</v>
      </c>
      <c r="J82" s="1">
        <v>99</v>
      </c>
      <c r="K82" s="1">
        <v>30</v>
      </c>
      <c r="M82" s="19" t="e">
        <f t="shared" ref="M82:N82" si="83">+J82*J55/100</f>
        <v>#REF!</v>
      </c>
      <c r="N82" s="51" t="e">
        <f t="shared" si="83"/>
        <v>#REF!</v>
      </c>
    </row>
    <row r="83" spans="9:14" ht="15.75" customHeight="1" x14ac:dyDescent="0.25">
      <c r="I83" s="25" t="str">
        <f t="shared" si="73"/>
        <v>Delta Stock Prec</v>
      </c>
      <c r="J83" s="1">
        <v>99</v>
      </c>
      <c r="K83" s="1">
        <v>30</v>
      </c>
      <c r="M83" s="19" t="e">
        <f t="shared" ref="M83:N83" si="84">+J83*J56/100</f>
        <v>#REF!</v>
      </c>
      <c r="N83" s="51" t="e">
        <f t="shared" si="84"/>
        <v>#REF!</v>
      </c>
    </row>
    <row r="84" spans="9:14" ht="15.75" customHeight="1" x14ac:dyDescent="0.25">
      <c r="I84" s="73" t="str">
        <f t="shared" si="73"/>
        <v>de Stock Prec a Terceros (a otras faenas)</v>
      </c>
      <c r="J84" s="74">
        <v>0.1</v>
      </c>
      <c r="K84" s="74">
        <v>1</v>
      </c>
      <c r="M84" s="19" t="e">
        <f t="shared" ref="M84:N84" si="85">+J84*J57/100</f>
        <v>#REF!</v>
      </c>
      <c r="N84" s="51" t="e">
        <f t="shared" si="85"/>
        <v>#REF!</v>
      </c>
    </row>
    <row r="85" spans="9:14" ht="15.75" customHeight="1" x14ac:dyDescent="0.25">
      <c r="I85" s="25" t="str">
        <f t="shared" si="73"/>
        <v>de Conc Magnética a Stock Prec (Prod A52 y A 82)</v>
      </c>
      <c r="J85" s="1">
        <v>99</v>
      </c>
      <c r="K85" s="1">
        <v>99</v>
      </c>
      <c r="M85" s="19" t="e">
        <f t="shared" ref="M85:N85" si="86">+J85*J58/100</f>
        <v>#REF!</v>
      </c>
      <c r="N85" s="51" t="e">
        <f t="shared" si="86"/>
        <v>#REF!</v>
      </c>
    </row>
    <row r="86" spans="9:14" ht="15.75" customHeight="1" x14ac:dyDescent="0.25">
      <c r="I86" s="25" t="str">
        <f t="shared" si="73"/>
        <v>total de rechazo</v>
      </c>
      <c r="J86" s="1">
        <v>99</v>
      </c>
      <c r="K86" s="1">
        <v>10</v>
      </c>
      <c r="M86" s="19" t="e">
        <f t="shared" ref="M86:N86" si="87">+J86*J59/100</f>
        <v>#REF!</v>
      </c>
      <c r="N86" s="51" t="e">
        <f t="shared" si="87"/>
        <v>#REF!</v>
      </c>
    </row>
    <row r="87" spans="9:14" ht="15.75" customHeight="1" x14ac:dyDescent="0.25">
      <c r="I87" s="25" t="str">
        <f t="shared" si="73"/>
        <v>Rechazo  a Stock de Rechazo</v>
      </c>
      <c r="J87" s="1">
        <v>99</v>
      </c>
      <c r="K87" s="1">
        <v>10</v>
      </c>
      <c r="M87" s="19" t="e">
        <f t="shared" ref="M87:N87" si="88">+J87*J60/100</f>
        <v>#REF!</v>
      </c>
      <c r="N87" s="51" t="e">
        <f t="shared" si="88"/>
        <v>#REF!</v>
      </c>
    </row>
    <row r="88" spans="9:14" ht="15.75" customHeight="1" x14ac:dyDescent="0.25">
      <c r="I88" s="25" t="str">
        <f t="shared" si="73"/>
        <v>alim fresca a Planta Rechazo</v>
      </c>
      <c r="J88" s="1">
        <v>99</v>
      </c>
      <c r="K88" s="1">
        <v>10</v>
      </c>
      <c r="M88" s="19" t="e">
        <f t="shared" ref="M88:N88" si="89">+J88*J61/100</f>
        <v>#REF!</v>
      </c>
      <c r="N88" s="51" t="e">
        <f t="shared" si="89"/>
        <v>#REF!</v>
      </c>
    </row>
    <row r="89" spans="9:14" ht="15.75" customHeight="1" x14ac:dyDescent="0.25">
      <c r="I89" s="25" t="str">
        <f t="shared" si="73"/>
        <v>Delta Stock de Rechazo</v>
      </c>
      <c r="J89" s="1">
        <v>99</v>
      </c>
      <c r="K89" s="1">
        <v>10</v>
      </c>
      <c r="M89" s="19" t="e">
        <f t="shared" ref="M89:N89" si="90">+J89*J62/100</f>
        <v>#REF!</v>
      </c>
      <c r="N89" s="51" t="e">
        <f t="shared" si="90"/>
        <v>#REF!</v>
      </c>
    </row>
    <row r="90" spans="9:14" ht="15.75" customHeight="1" x14ac:dyDescent="0.25">
      <c r="I90" s="25" t="str">
        <f t="shared" si="73"/>
        <v>Stock Rechazo a Planta Rechazo</v>
      </c>
      <c r="J90" s="1">
        <v>99</v>
      </c>
      <c r="K90" s="1">
        <v>10</v>
      </c>
      <c r="M90" s="19" t="e">
        <f t="shared" ref="M90:N90" si="91">+J90*J63/100</f>
        <v>#REF!</v>
      </c>
      <c r="N90" s="51" t="e">
        <f t="shared" si="91"/>
        <v>#REF!</v>
      </c>
    </row>
    <row r="91" spans="9:14" ht="15.75" customHeight="1" x14ac:dyDescent="0.25">
      <c r="I91" s="25" t="str">
        <f t="shared" si="73"/>
        <v>Alimentación Planta Rechazo</v>
      </c>
      <c r="J91" s="1">
        <v>99</v>
      </c>
      <c r="K91" s="1">
        <v>10</v>
      </c>
      <c r="M91" s="19" t="e">
        <f t="shared" ref="M91:N91" si="92">+J91*J64/100</f>
        <v>#REF!</v>
      </c>
      <c r="N91" s="51" t="e">
        <f t="shared" si="92"/>
        <v>#REF!</v>
      </c>
    </row>
    <row r="92" spans="9:14" ht="15.75" customHeight="1" x14ac:dyDescent="0.25">
      <c r="I92" s="25" t="str">
        <f t="shared" si="73"/>
        <v>Rechazo Final Los Colorados</v>
      </c>
      <c r="J92" s="74">
        <v>99</v>
      </c>
      <c r="K92" s="1">
        <v>10</v>
      </c>
      <c r="M92" s="19" t="e">
        <f t="shared" ref="M92:N92" si="93">+J92*J65/100</f>
        <v>#REF!</v>
      </c>
      <c r="N92" s="51" t="e">
        <f t="shared" si="93"/>
        <v>#REF!</v>
      </c>
    </row>
    <row r="93" spans="9:14" ht="15.75" customHeight="1" x14ac:dyDescent="0.25">
      <c r="I93" s="25" t="str">
        <f t="shared" si="73"/>
        <v>Producción Planta Rechazo a Stock P40</v>
      </c>
      <c r="J93" s="74">
        <v>99</v>
      </c>
      <c r="K93" s="1">
        <v>10</v>
      </c>
      <c r="M93" s="19" t="e">
        <f t="shared" ref="M93:N93" si="94">+J93*J66/100</f>
        <v>#REF!</v>
      </c>
      <c r="N93" s="51" t="e">
        <f t="shared" si="94"/>
        <v>#REF!</v>
      </c>
    </row>
    <row r="94" spans="9:14" ht="15.75" customHeight="1" x14ac:dyDescent="0.25">
      <c r="I94" s="25" t="str">
        <f t="shared" si="73"/>
        <v>Delta Stock P40</v>
      </c>
      <c r="J94" s="74">
        <v>99</v>
      </c>
      <c r="K94" s="1">
        <v>10</v>
      </c>
      <c r="M94" s="19" t="e">
        <f t="shared" ref="M94:N94" si="95">+J94*J67/100</f>
        <v>#REF!</v>
      </c>
      <c r="N94" s="51" t="e">
        <f t="shared" si="95"/>
        <v>#REF!</v>
      </c>
    </row>
    <row r="95" spans="9:14" ht="15.75" customHeight="1" x14ac:dyDescent="0.25">
      <c r="I95" s="73" t="str">
        <f t="shared" si="73"/>
        <v>Venta desde P40</v>
      </c>
      <c r="J95" s="74">
        <v>0.1</v>
      </c>
      <c r="K95" s="1">
        <v>10</v>
      </c>
      <c r="M95" s="19" t="e">
        <f t="shared" ref="M95:N95" si="96">+J95*J68/100</f>
        <v>#REF!</v>
      </c>
      <c r="N95" s="51" t="e">
        <f t="shared" si="96"/>
        <v>#REF!</v>
      </c>
    </row>
    <row r="96" spans="9:14" ht="15.75" customHeight="1" x14ac:dyDescent="0.25">
      <c r="I96" s="30" t="str">
        <f t="shared" si="73"/>
        <v>de Stoc Prec a Nodo Alim Planta de Pellet</v>
      </c>
      <c r="J96" s="1">
        <v>99</v>
      </c>
      <c r="K96" s="1">
        <v>30</v>
      </c>
      <c r="M96" s="19" t="e">
        <f t="shared" ref="M96:N96" si="97">+J96*J69/100</f>
        <v>#REF!</v>
      </c>
      <c r="N96" s="51" t="e">
        <f t="shared" si="97"/>
        <v>#REF!</v>
      </c>
    </row>
    <row r="97" spans="9:11" ht="15.75" customHeight="1" x14ac:dyDescent="0.25"/>
    <row r="98" spans="9:11" ht="15.75" customHeight="1" x14ac:dyDescent="0.25">
      <c r="J98" s="69" t="s">
        <v>73</v>
      </c>
      <c r="K98" s="69"/>
    </row>
    <row r="99" spans="9:11" ht="15.75" customHeight="1" x14ac:dyDescent="0.25">
      <c r="J99" s="70" t="s">
        <v>72</v>
      </c>
      <c r="K99" s="70" t="s">
        <v>62</v>
      </c>
    </row>
    <row r="100" spans="9:11" ht="15.75" customHeight="1" x14ac:dyDescent="0.25">
      <c r="I100" s="25" t="str">
        <f t="shared" ref="I100:I123" si="98">+I73</f>
        <v>Alimentación Mina</v>
      </c>
      <c r="J100" s="71" t="e">
        <f t="shared" ref="J100:K100" si="99">+IF(M73&lt;&gt;0,(M46-J46)^2/M73,"")</f>
        <v>#REF!</v>
      </c>
      <c r="K100" s="71" t="e">
        <f t="shared" si="99"/>
        <v>#REF!</v>
      </c>
    </row>
    <row r="101" spans="9:11" ht="15.75" customHeight="1" x14ac:dyDescent="0.25">
      <c r="I101" s="25" t="str">
        <f t="shared" si="98"/>
        <v>Alim a Planta desde Acopio Mina</v>
      </c>
      <c r="J101" s="71" t="e">
        <f t="shared" ref="J101:K101" si="100">+IF(M74&lt;&gt;0,(M47-J47)^2/M74,"")</f>
        <v>#REF!</v>
      </c>
      <c r="K101" s="71" t="e">
        <f t="shared" si="100"/>
        <v>#REF!</v>
      </c>
    </row>
    <row r="102" spans="9:11" ht="15.75" customHeight="1" x14ac:dyDescent="0.25">
      <c r="I102" s="25" t="str">
        <f t="shared" si="98"/>
        <v>Acopio Mina a Terceros</v>
      </c>
      <c r="J102" s="71" t="e">
        <f t="shared" ref="J102:K102" si="101">+IF(M75&lt;&gt;0,(M48-J48)^2/M75,"")</f>
        <v>#REF!</v>
      </c>
      <c r="K102" s="71" t="e">
        <f t="shared" si="101"/>
        <v>#REF!</v>
      </c>
    </row>
    <row r="103" spans="9:11" ht="15.75" customHeight="1" x14ac:dyDescent="0.25">
      <c r="I103" s="25" t="str">
        <f t="shared" si="98"/>
        <v>Delta S Acopio Mina</v>
      </c>
      <c r="J103" s="71" t="e">
        <f t="shared" ref="J103:K103" si="102">+IF(M76&lt;&gt;0,(M49-J49)^2/M76,"")</f>
        <v>#REF!</v>
      </c>
      <c r="K103" s="71" t="e">
        <f t="shared" si="102"/>
        <v>#REF!</v>
      </c>
    </row>
    <row r="104" spans="9:11" ht="15.75" customHeight="1" x14ac:dyDescent="0.25">
      <c r="I104" s="25" t="str">
        <f t="shared" si="98"/>
        <v>Alim a Chancado</v>
      </c>
      <c r="J104" s="71" t="e">
        <f t="shared" ref="J104:K104" si="103">+IF(M77&lt;&gt;0,(M50-J50)^2/M77,"")</f>
        <v>#REF!</v>
      </c>
      <c r="K104" s="71" t="e">
        <f t="shared" si="103"/>
        <v>#REF!</v>
      </c>
    </row>
    <row r="105" spans="9:11" ht="15.75" customHeight="1" x14ac:dyDescent="0.25">
      <c r="I105" s="25" t="str">
        <f t="shared" si="98"/>
        <v>Chanc a Stock Prec Los Col.</v>
      </c>
      <c r="J105" s="71" t="str">
        <f t="shared" ref="J105:K105" si="104">+IF(M78&lt;&gt;0,(M51-J51)^2/M78,"")</f>
        <v/>
      </c>
      <c r="K105" s="71" t="str">
        <f t="shared" si="104"/>
        <v/>
      </c>
    </row>
    <row r="106" spans="9:11" ht="15.75" customHeight="1" x14ac:dyDescent="0.25">
      <c r="I106" s="25" t="str">
        <f t="shared" si="98"/>
        <v>Chanc a Stock Grueso</v>
      </c>
      <c r="J106" s="71" t="e">
        <f t="shared" ref="J106:K106" si="105">+IF(M79&lt;&gt;0,(M52-J52)^2/M79,"")</f>
        <v>#REF!</v>
      </c>
      <c r="K106" s="71" t="e">
        <f t="shared" si="105"/>
        <v>#REF!</v>
      </c>
    </row>
    <row r="107" spans="9:11" ht="15.75" customHeight="1" x14ac:dyDescent="0.25">
      <c r="I107" s="25" t="str">
        <f t="shared" si="98"/>
        <v>Delta Stock de Grueso</v>
      </c>
      <c r="J107" s="71" t="e">
        <f t="shared" ref="J107:K107" si="106">+IF(M80&lt;&gt;0,(M53-J53)^2/M80,"")</f>
        <v>#REF!</v>
      </c>
      <c r="K107" s="71" t="e">
        <f t="shared" si="106"/>
        <v>#REF!</v>
      </c>
    </row>
    <row r="108" spans="9:11" ht="15.75" customHeight="1" x14ac:dyDescent="0.25">
      <c r="I108" s="25" t="str">
        <f t="shared" si="98"/>
        <v>De Stock Grueso a conc magn (alim A52 y A82)</v>
      </c>
      <c r="J108" s="71" t="e">
        <f t="shared" ref="J108:K108" si="107">+IF(M81&lt;&gt;0,(M54-J54)^2/M81,"")</f>
        <v>#REF!</v>
      </c>
      <c r="K108" s="71" t="e">
        <f t="shared" si="107"/>
        <v>#REF!</v>
      </c>
    </row>
    <row r="109" spans="9:11" ht="15.75" customHeight="1" x14ac:dyDescent="0.25">
      <c r="I109" s="25" t="str">
        <f t="shared" si="98"/>
        <v>Stock Prec a (o desde) Acopio Mina</v>
      </c>
      <c r="J109" s="71" t="e">
        <f t="shared" ref="J109:K109" si="108">+IF(M82&lt;&gt;0,(M55-J55)^2/M82,"")</f>
        <v>#REF!</v>
      </c>
      <c r="K109" s="71" t="e">
        <f t="shared" si="108"/>
        <v>#REF!</v>
      </c>
    </row>
    <row r="110" spans="9:11" ht="15.75" customHeight="1" x14ac:dyDescent="0.25">
      <c r="I110" s="25" t="str">
        <f t="shared" si="98"/>
        <v>Delta Stock Prec</v>
      </c>
      <c r="J110" s="71" t="e">
        <f t="shared" ref="J110:K110" si="109">+IF(M83&lt;&gt;0,(M56-J56)^2/M83,"")</f>
        <v>#REF!</v>
      </c>
      <c r="K110" s="71" t="e">
        <f t="shared" si="109"/>
        <v>#REF!</v>
      </c>
    </row>
    <row r="111" spans="9:11" ht="15.75" customHeight="1" x14ac:dyDescent="0.25">
      <c r="I111" s="25" t="str">
        <f t="shared" si="98"/>
        <v>de Stock Prec a Terceros (a otras faenas)</v>
      </c>
      <c r="J111" s="71" t="e">
        <f t="shared" ref="J111:K111" si="110">+IF(M84&lt;&gt;0,(M57-J57)^2/M84,"")</f>
        <v>#REF!</v>
      </c>
      <c r="K111" s="71" t="e">
        <f t="shared" si="110"/>
        <v>#REF!</v>
      </c>
    </row>
    <row r="112" spans="9:11" ht="15.75" customHeight="1" x14ac:dyDescent="0.25">
      <c r="I112" s="25" t="str">
        <f t="shared" si="98"/>
        <v>de Conc Magnética a Stock Prec (Prod A52 y A 82)</v>
      </c>
      <c r="J112" s="71" t="e">
        <f t="shared" ref="J112:K112" si="111">+IF(M85&lt;&gt;0,(M58-J58)^2/M85,"")</f>
        <v>#REF!</v>
      </c>
      <c r="K112" s="71" t="e">
        <f t="shared" si="111"/>
        <v>#REF!</v>
      </c>
    </row>
    <row r="113" spans="9:11" ht="15.75" customHeight="1" x14ac:dyDescent="0.25">
      <c r="I113" s="25" t="str">
        <f t="shared" si="98"/>
        <v>total de rechazo</v>
      </c>
      <c r="J113" s="71" t="e">
        <f t="shared" ref="J113:K113" si="112">+IF(M86&lt;&gt;0,(M59-J59)^2/M86,"")</f>
        <v>#REF!</v>
      </c>
      <c r="K113" s="71" t="e">
        <f t="shared" si="112"/>
        <v>#REF!</v>
      </c>
    </row>
    <row r="114" spans="9:11" ht="15.75" customHeight="1" x14ac:dyDescent="0.25">
      <c r="I114" s="25" t="str">
        <f t="shared" si="98"/>
        <v>Rechazo  a Stock de Rechazo</v>
      </c>
      <c r="J114" s="71" t="e">
        <f t="shared" ref="J114:K114" si="113">+IF(M87&lt;&gt;0,(M60-J60)^2/M87,"")</f>
        <v>#REF!</v>
      </c>
      <c r="K114" s="71" t="e">
        <f t="shared" si="113"/>
        <v>#REF!</v>
      </c>
    </row>
    <row r="115" spans="9:11" ht="15.75" customHeight="1" x14ac:dyDescent="0.25">
      <c r="I115" s="25" t="str">
        <f t="shared" si="98"/>
        <v>alim fresca a Planta Rechazo</v>
      </c>
      <c r="J115" s="71" t="e">
        <f t="shared" ref="J115:K115" si="114">+IF(M88&lt;&gt;0,(M61-J61)^2/M88,"")</f>
        <v>#REF!</v>
      </c>
      <c r="K115" s="71" t="e">
        <f t="shared" si="114"/>
        <v>#REF!</v>
      </c>
    </row>
    <row r="116" spans="9:11" ht="15.75" customHeight="1" x14ac:dyDescent="0.25">
      <c r="I116" s="25" t="str">
        <f t="shared" si="98"/>
        <v>Delta Stock de Rechazo</v>
      </c>
      <c r="J116" s="71" t="e">
        <f t="shared" ref="J116:K116" si="115">+IF(M89&lt;&gt;0,(M62-J62)^2/M89,"")</f>
        <v>#REF!</v>
      </c>
      <c r="K116" s="71" t="e">
        <f t="shared" si="115"/>
        <v>#REF!</v>
      </c>
    </row>
    <row r="117" spans="9:11" ht="15.75" customHeight="1" x14ac:dyDescent="0.25">
      <c r="I117" s="25" t="str">
        <f t="shared" si="98"/>
        <v>Stock Rechazo a Planta Rechazo</v>
      </c>
      <c r="J117" s="71" t="e">
        <f t="shared" ref="J117:K117" si="116">+IF(M90&lt;&gt;0,(M63-J63)^2/M90,"")</f>
        <v>#REF!</v>
      </c>
      <c r="K117" s="71" t="e">
        <f t="shared" si="116"/>
        <v>#REF!</v>
      </c>
    </row>
    <row r="118" spans="9:11" ht="15.75" customHeight="1" x14ac:dyDescent="0.25">
      <c r="I118" s="25" t="str">
        <f t="shared" si="98"/>
        <v>Alimentación Planta Rechazo</v>
      </c>
      <c r="J118" s="71" t="e">
        <f t="shared" ref="J118:K118" si="117">+IF(M91&lt;&gt;0,(M64-J64)^2/M91,"")</f>
        <v>#REF!</v>
      </c>
      <c r="K118" s="71" t="e">
        <f t="shared" si="117"/>
        <v>#REF!</v>
      </c>
    </row>
    <row r="119" spans="9:11" ht="15.75" customHeight="1" x14ac:dyDescent="0.25">
      <c r="I119" s="25" t="str">
        <f t="shared" si="98"/>
        <v>Rechazo Final Los Colorados</v>
      </c>
      <c r="J119" s="71" t="e">
        <f t="shared" ref="J119:K119" si="118">+IF(M92&lt;&gt;0,(M65-J65)^2/M92,"")</f>
        <v>#REF!</v>
      </c>
      <c r="K119" s="71" t="e">
        <f t="shared" si="118"/>
        <v>#REF!</v>
      </c>
    </row>
    <row r="120" spans="9:11" ht="15.75" customHeight="1" x14ac:dyDescent="0.25">
      <c r="I120" s="25" t="str">
        <f t="shared" si="98"/>
        <v>Producción Planta Rechazo a Stock P40</v>
      </c>
      <c r="J120" s="71" t="e">
        <f t="shared" ref="J120:K120" si="119">+IF(M93&lt;&gt;0,(M66-J66)^2/M93,"")</f>
        <v>#REF!</v>
      </c>
      <c r="K120" s="71" t="e">
        <f t="shared" si="119"/>
        <v>#REF!</v>
      </c>
    </row>
    <row r="121" spans="9:11" ht="15.75" customHeight="1" x14ac:dyDescent="0.25">
      <c r="I121" s="25" t="str">
        <f t="shared" si="98"/>
        <v>Delta Stock P40</v>
      </c>
      <c r="J121" s="71" t="e">
        <f t="shared" ref="J121:K121" si="120">+IF(M94&lt;&gt;0,(M67-J67)^2/M94,"")</f>
        <v>#REF!</v>
      </c>
      <c r="K121" s="71" t="e">
        <f t="shared" si="120"/>
        <v>#REF!</v>
      </c>
    </row>
    <row r="122" spans="9:11" ht="15.75" customHeight="1" x14ac:dyDescent="0.25">
      <c r="I122" s="25" t="str">
        <f t="shared" si="98"/>
        <v>Venta desde P40</v>
      </c>
      <c r="J122" s="71" t="e">
        <f t="shared" ref="J122:K122" si="121">+IF(M95&lt;&gt;0,(M68-J68)^2/M95,"")</f>
        <v>#REF!</v>
      </c>
      <c r="K122" s="71" t="e">
        <f t="shared" si="121"/>
        <v>#REF!</v>
      </c>
    </row>
    <row r="123" spans="9:11" ht="15.75" customHeight="1" x14ac:dyDescent="0.25">
      <c r="I123" s="25" t="str">
        <f t="shared" si="98"/>
        <v>de Stoc Prec a Nodo Alim Planta de Pellet</v>
      </c>
      <c r="J123" s="71" t="e">
        <f t="shared" ref="J123:K123" si="122">+IF(M96&lt;&gt;0,(M69-J69)^2/M96,"")</f>
        <v>#REF!</v>
      </c>
      <c r="K123" s="71" t="e">
        <f t="shared" si="122"/>
        <v>#REF!</v>
      </c>
    </row>
    <row r="124" spans="9:11" ht="15.75" customHeight="1" x14ac:dyDescent="0.25"/>
    <row r="125" spans="9:11" ht="15.75" customHeight="1" x14ac:dyDescent="0.25"/>
    <row r="126" spans="9:11" ht="15.75" customHeight="1" x14ac:dyDescent="0.25"/>
    <row r="127" spans="9:11" ht="15.75" customHeight="1" x14ac:dyDescent="0.25"/>
    <row r="128" spans="9:1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J44:K44"/>
    <mergeCell ref="M44:O44"/>
    <mergeCell ref="R44:S44"/>
    <mergeCell ref="J71:K71"/>
  </mergeCells>
  <conditionalFormatting sqref="J4:T27 Q28:R43">
    <cfRule type="expression" dxfId="10" priority="1">
      <formula>J4&lt;&gt;0</formula>
    </cfRule>
  </conditionalFormatting>
  <conditionalFormatting sqref="R46:T69 V46:V69">
    <cfRule type="expression" dxfId="9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42578125" defaultRowHeight="15" customHeight="1" x14ac:dyDescent="0.25"/>
  <cols>
    <col min="1" max="1" width="4.85546875" customWidth="1"/>
    <col min="2" max="4" width="10.7109375" customWidth="1"/>
    <col min="5" max="5" width="16" customWidth="1"/>
    <col min="6" max="6" width="10.7109375" customWidth="1"/>
    <col min="7" max="7" width="13.140625" customWidth="1"/>
    <col min="8" max="8" width="13.42578125" customWidth="1"/>
    <col min="9" max="9" width="14.85546875" customWidth="1"/>
    <col min="10" max="10" width="13.42578125" customWidth="1"/>
    <col min="11" max="12" width="10.7109375" customWidth="1"/>
    <col min="13" max="13" width="10.85546875" customWidth="1"/>
    <col min="14" max="14" width="12.85546875" customWidth="1"/>
    <col min="15" max="15" width="15.42578125" customWidth="1"/>
    <col min="16" max="16" width="11.85546875" customWidth="1"/>
    <col min="17" max="17" width="10.7109375" customWidth="1"/>
    <col min="18" max="18" width="7.42578125" customWidth="1"/>
    <col min="19" max="19" width="10.7109375" customWidth="1"/>
    <col min="20" max="20" width="5.42578125" customWidth="1"/>
    <col min="21" max="26" width="10.7109375" customWidth="1"/>
  </cols>
  <sheetData>
    <row r="2" spans="2:20" x14ac:dyDescent="0.25">
      <c r="B2" s="7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76"/>
    </row>
    <row r="3" spans="2:20" x14ac:dyDescent="0.25">
      <c r="B3" s="7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8"/>
    </row>
    <row r="4" spans="2:20" x14ac:dyDescent="0.25">
      <c r="B4" s="7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8"/>
    </row>
    <row r="5" spans="2:20" x14ac:dyDescent="0.25">
      <c r="B5" s="7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8"/>
    </row>
    <row r="6" spans="2:20" ht="15.75" x14ac:dyDescent="0.25">
      <c r="B6" s="77"/>
      <c r="C6" s="1"/>
      <c r="D6" s="1"/>
      <c r="E6" s="1"/>
      <c r="F6" s="79">
        <f>+'Bal Los Colorados'!M47</f>
        <v>0</v>
      </c>
      <c r="G6" s="1"/>
      <c r="H6" s="1"/>
      <c r="I6" s="80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78"/>
    </row>
    <row r="7" spans="2:20" ht="15.75" x14ac:dyDescent="0.25">
      <c r="B7" s="77"/>
      <c r="C7" s="1"/>
      <c r="D7" s="1"/>
      <c r="E7" s="81">
        <f>+-C8+D16-F6</f>
        <v>1770.5761999999995</v>
      </c>
      <c r="F7" s="82">
        <f>+'Bal Los Colorados'!N47</f>
        <v>0</v>
      </c>
      <c r="G7" s="1"/>
      <c r="H7" s="1"/>
      <c r="I7" s="83">
        <f>+'Bal Los Colorados'!N46</f>
        <v>0.46140050554742984</v>
      </c>
      <c r="J7" s="1"/>
      <c r="K7" s="1"/>
      <c r="L7" s="1"/>
      <c r="M7" s="1"/>
      <c r="N7" s="1"/>
      <c r="O7" s="1"/>
      <c r="P7" s="311" t="s">
        <v>74</v>
      </c>
      <c r="Q7" s="305"/>
      <c r="R7" s="1"/>
      <c r="S7" s="1"/>
      <c r="T7" s="78"/>
    </row>
    <row r="8" spans="2:20" ht="15.75" x14ac:dyDescent="0.25">
      <c r="B8" s="77"/>
      <c r="C8" s="80">
        <f>+'Bal Los Colorados'!M48</f>
        <v>12961.629000000001</v>
      </c>
      <c r="D8" s="1"/>
      <c r="E8" s="1"/>
      <c r="F8" s="84">
        <f>+'Bal Los Colorados'!O47</f>
        <v>0</v>
      </c>
      <c r="G8" s="1"/>
      <c r="H8" s="1"/>
      <c r="I8" s="85">
        <f>+'Bal Los Colorados'!O46</f>
        <v>231983.78607040126</v>
      </c>
      <c r="J8" s="1"/>
      <c r="K8" s="1"/>
      <c r="L8" s="1"/>
      <c r="M8" s="1"/>
      <c r="N8" s="1"/>
      <c r="O8" s="1"/>
      <c r="P8" s="86" t="s">
        <v>75</v>
      </c>
      <c r="Q8" s="87">
        <f>+I25/K20</f>
        <v>0.75353481009949175</v>
      </c>
      <c r="R8" s="1"/>
      <c r="S8" s="1"/>
      <c r="T8" s="78"/>
    </row>
    <row r="9" spans="2:20" ht="15.75" x14ac:dyDescent="0.25">
      <c r="B9" s="77"/>
      <c r="C9" s="83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6" t="s">
        <v>76</v>
      </c>
      <c r="Q9" s="87">
        <f>+I27/K22</f>
        <v>0.91700160865247149</v>
      </c>
      <c r="R9" s="1"/>
      <c r="S9" s="1"/>
      <c r="T9" s="78"/>
    </row>
    <row r="10" spans="2:20" ht="15.75" x14ac:dyDescent="0.25">
      <c r="B10" s="77"/>
      <c r="C10" s="85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11" t="s">
        <v>31</v>
      </c>
      <c r="Q10" s="305"/>
      <c r="R10" s="1"/>
      <c r="S10" s="1"/>
      <c r="T10" s="78"/>
    </row>
    <row r="11" spans="2:20" ht="15.75" x14ac:dyDescent="0.25">
      <c r="B11" s="77"/>
      <c r="C11" s="1"/>
      <c r="D11" s="1"/>
      <c r="E11" s="1"/>
      <c r="F11" s="1"/>
      <c r="G11" s="1"/>
      <c r="H11" s="1"/>
      <c r="I11" s="1"/>
      <c r="J11" s="80">
        <f>+'Bal Los Colorados'!M52</f>
        <v>502781.82030850503</v>
      </c>
      <c r="K11" s="1"/>
      <c r="L11" s="1"/>
      <c r="M11" s="1"/>
      <c r="N11" s="1"/>
      <c r="O11" s="1"/>
      <c r="P11" s="86" t="s">
        <v>75</v>
      </c>
      <c r="Q11" s="87">
        <f>+O33/(P22+M30)</f>
        <v>0.1480619761814021</v>
      </c>
      <c r="R11" s="1"/>
      <c r="S11" s="1"/>
      <c r="T11" s="78"/>
    </row>
    <row r="12" spans="2:20" ht="15.75" x14ac:dyDescent="0.25">
      <c r="B12" s="77"/>
      <c r="C12" s="1"/>
      <c r="D12" s="1"/>
      <c r="E12" s="1"/>
      <c r="F12" s="1"/>
      <c r="G12" s="1"/>
      <c r="H12" s="80">
        <f>+'Bal Los Colorados'!M50</f>
        <v>502781.82030850503</v>
      </c>
      <c r="I12" s="1"/>
      <c r="J12" s="83">
        <f>+'Bal Los Colorados'!N52</f>
        <v>0.46140050554742978</v>
      </c>
      <c r="K12" s="1"/>
      <c r="L12" s="1"/>
      <c r="M12" s="1"/>
      <c r="N12" s="1"/>
      <c r="O12" s="1"/>
      <c r="P12" s="86" t="s">
        <v>76</v>
      </c>
      <c r="Q12" s="87">
        <f>+O35/(P24+M32)</f>
        <v>0.34811925056763093</v>
      </c>
      <c r="R12" s="1"/>
      <c r="S12" s="1"/>
      <c r="T12" s="78"/>
    </row>
    <row r="13" spans="2:20" ht="15.75" x14ac:dyDescent="0.25">
      <c r="B13" s="77"/>
      <c r="C13" s="1"/>
      <c r="D13" s="1"/>
      <c r="E13" s="1"/>
      <c r="F13" s="1"/>
      <c r="G13" s="1"/>
      <c r="H13" s="83">
        <f>+'Bal Los Colorados'!N50</f>
        <v>0.46140050554742978</v>
      </c>
      <c r="I13" s="1"/>
      <c r="J13" s="85">
        <f>+'Bal Los Colorados'!O52</f>
        <v>231983.78607040123</v>
      </c>
      <c r="K13" s="1"/>
      <c r="L13" s="1"/>
      <c r="M13" s="1"/>
      <c r="N13" s="1"/>
      <c r="O13" s="1"/>
      <c r="P13" s="312" t="s">
        <v>77</v>
      </c>
      <c r="Q13" s="305"/>
      <c r="R13" s="1"/>
      <c r="S13" s="1"/>
      <c r="T13" s="78"/>
    </row>
    <row r="14" spans="2:20" ht="15.75" x14ac:dyDescent="0.25">
      <c r="B14" s="77"/>
      <c r="C14" s="1"/>
      <c r="D14" s="1"/>
      <c r="E14" s="1"/>
      <c r="F14" s="1"/>
      <c r="G14" s="1"/>
      <c r="H14" s="85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86" t="s">
        <v>75</v>
      </c>
      <c r="Q14" s="87">
        <f>+(O33+I25)/(K20+(M30+P22-(L25-M15)))</f>
        <v>0.72448459461366954</v>
      </c>
      <c r="R14" s="1"/>
      <c r="S14" s="1"/>
      <c r="T14" s="78"/>
    </row>
    <row r="15" spans="2:20" ht="15.75" x14ac:dyDescent="0.25">
      <c r="B15" s="77"/>
      <c r="C15" s="1"/>
      <c r="D15" s="1"/>
      <c r="E15" s="1"/>
      <c r="F15" s="1"/>
      <c r="G15" s="1"/>
      <c r="H15" s="1"/>
      <c r="I15" s="1"/>
      <c r="J15" s="1"/>
      <c r="K15" s="1"/>
      <c r="L15" s="1"/>
      <c r="M15" s="79">
        <f>+'Bal Los Colorados'!M60</f>
        <v>30174.414309067877</v>
      </c>
      <c r="N15" s="1"/>
      <c r="O15" s="1"/>
      <c r="P15" s="86" t="s">
        <v>76</v>
      </c>
      <c r="Q15" s="87">
        <f>+(O34+I27)/(K22+(M32+P24-(L27-M17)))</f>
        <v>0.87798735665130323</v>
      </c>
      <c r="R15" s="1"/>
      <c r="S15" s="1"/>
      <c r="T15" s="78"/>
    </row>
    <row r="16" spans="2:20" ht="15.75" x14ac:dyDescent="0.25">
      <c r="B16" s="77"/>
      <c r="C16" s="1"/>
      <c r="D16" s="79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82">
        <f>+'Bal Los Colorados'!N60</f>
        <v>0.19850415593901971</v>
      </c>
      <c r="N16" s="1"/>
      <c r="O16" s="1"/>
      <c r="P16" s="1"/>
      <c r="Q16" s="1"/>
      <c r="R16" s="1"/>
      <c r="S16" s="1"/>
      <c r="T16" s="78"/>
    </row>
    <row r="17" spans="2:25" ht="15.75" x14ac:dyDescent="0.25">
      <c r="B17" s="77"/>
      <c r="C17" s="1"/>
      <c r="D17" s="82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84">
        <f>+'Bal Los Colorados'!O60</f>
        <v>5989.7466433757972</v>
      </c>
      <c r="N17" s="1"/>
      <c r="O17" s="1"/>
      <c r="P17" s="1"/>
      <c r="Q17" s="1"/>
      <c r="R17" s="1"/>
      <c r="S17" s="1"/>
      <c r="T17" s="78"/>
    </row>
    <row r="18" spans="2:25" ht="15.75" x14ac:dyDescent="0.25">
      <c r="B18" s="77"/>
      <c r="C18" s="1"/>
      <c r="D18" s="84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8"/>
    </row>
    <row r="19" spans="2:25" ht="15.75" x14ac:dyDescent="0.25">
      <c r="B19" s="77"/>
      <c r="C19" s="1"/>
      <c r="D19" s="1"/>
      <c r="E19" s="1"/>
      <c r="F19" s="1"/>
      <c r="G19" s="1"/>
      <c r="H19" s="80"/>
      <c r="I19" s="1"/>
      <c r="J19" s="81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78"/>
      <c r="X19" s="1">
        <v>13390</v>
      </c>
      <c r="Y19" s="19">
        <f>+J11+X20</f>
        <v>542951.82030850509</v>
      </c>
    </row>
    <row r="20" spans="2:25" ht="15.75" x14ac:dyDescent="0.25">
      <c r="B20" s="77"/>
      <c r="C20" s="1"/>
      <c r="D20" s="1"/>
      <c r="E20" s="1"/>
      <c r="F20" s="1"/>
      <c r="G20" s="1"/>
      <c r="H20" s="83"/>
      <c r="I20" s="1"/>
      <c r="J20" s="1"/>
      <c r="K20" s="80">
        <f>+'Bal Los Colorados'!M54</f>
        <v>458196.92982851854</v>
      </c>
      <c r="L20" s="1"/>
      <c r="M20" s="1"/>
      <c r="N20" s="1"/>
      <c r="O20" s="81">
        <f>+M15-P22</f>
        <v>-14174.322317347061</v>
      </c>
      <c r="P20" s="1"/>
      <c r="Q20" s="1"/>
      <c r="R20" s="1"/>
      <c r="S20" s="1"/>
      <c r="T20" s="78"/>
      <c r="X20" s="1">
        <f>+X19*3</f>
        <v>40170</v>
      </c>
    </row>
    <row r="21" spans="2:25" ht="15.75" customHeight="1" x14ac:dyDescent="0.25">
      <c r="B21" s="77"/>
      <c r="C21" s="1"/>
      <c r="D21" s="1"/>
      <c r="E21" s="1"/>
      <c r="F21" s="1"/>
      <c r="G21" s="1"/>
      <c r="H21" s="85"/>
      <c r="I21" s="1"/>
      <c r="J21" s="1"/>
      <c r="K21" s="83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78"/>
    </row>
    <row r="22" spans="2:25" ht="15.75" customHeight="1" x14ac:dyDescent="0.25">
      <c r="B22" s="88"/>
      <c r="C22" s="1"/>
      <c r="D22" s="1"/>
      <c r="E22" s="1"/>
      <c r="F22" s="1"/>
      <c r="G22" s="1"/>
      <c r="H22" s="1"/>
      <c r="I22" s="1"/>
      <c r="J22" s="1"/>
      <c r="K22" s="85">
        <f>+'Bal Los Colorados'!O54</f>
        <v>216121.49720061384</v>
      </c>
      <c r="L22" s="1"/>
      <c r="M22" s="1"/>
      <c r="N22" s="1"/>
      <c r="O22" s="1"/>
      <c r="P22" s="79">
        <f>+'Bal Los Colorados'!M63</f>
        <v>44348.736626414939</v>
      </c>
      <c r="Q22" s="1"/>
      <c r="R22" s="1"/>
      <c r="S22" s="1"/>
      <c r="T22" s="78"/>
    </row>
    <row r="23" spans="2:25" ht="15.75" customHeight="1" x14ac:dyDescent="0.25">
      <c r="B23" s="7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2">
        <f>+'Bal Los Colorados'!N63</f>
        <v>0.21655702250803865</v>
      </c>
      <c r="Q23" s="1"/>
      <c r="R23" s="1"/>
      <c r="S23" s="1"/>
      <c r="T23" s="78"/>
    </row>
    <row r="24" spans="2:25" ht="15.75" customHeight="1" x14ac:dyDescent="0.25">
      <c r="B24" s="7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4">
        <f>+'Bal Los Colorados'!O63</f>
        <v>9604.0303558096184</v>
      </c>
      <c r="Q24" s="1"/>
      <c r="R24" s="1"/>
      <c r="S24" s="1"/>
      <c r="T24" s="78"/>
    </row>
    <row r="25" spans="2:25" ht="15.75" customHeight="1" x14ac:dyDescent="0.25">
      <c r="B25" s="77"/>
      <c r="C25" s="1"/>
      <c r="D25" s="1"/>
      <c r="E25" s="1"/>
      <c r="F25" s="1"/>
      <c r="G25" s="1"/>
      <c r="H25" s="1"/>
      <c r="I25" s="80">
        <f>+'Bal Los Colorados'!M58</f>
        <v>345267.33650650288</v>
      </c>
      <c r="J25" s="1"/>
      <c r="K25" s="1"/>
      <c r="L25" s="80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78"/>
    </row>
    <row r="26" spans="2:25" ht="15.75" customHeight="1" x14ac:dyDescent="0.25">
      <c r="B26" s="77"/>
      <c r="C26" s="1"/>
      <c r="D26" s="1"/>
      <c r="E26" s="1"/>
      <c r="F26" s="1"/>
      <c r="G26" s="1"/>
      <c r="H26" s="1"/>
      <c r="I26" s="83">
        <f>+'Bal Los Colorados'!N58</f>
        <v>0.57400089624061745</v>
      </c>
      <c r="J26" s="1"/>
      <c r="K26" s="1"/>
      <c r="L26" s="83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78"/>
    </row>
    <row r="27" spans="2:25" ht="15.75" customHeight="1" x14ac:dyDescent="0.25">
      <c r="B27" s="77"/>
      <c r="C27" s="1"/>
      <c r="D27" s="1"/>
      <c r="E27" s="1"/>
      <c r="F27" s="1"/>
      <c r="G27" s="81">
        <f>+I25-C28-G36-D16</f>
        <v>-359512.14169349719</v>
      </c>
      <c r="H27" s="1"/>
      <c r="I27" s="85">
        <f>+'Bal Los Colorados'!O58</f>
        <v>198183.7605973435</v>
      </c>
      <c r="J27" s="1"/>
      <c r="K27" s="1"/>
      <c r="L27" s="85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78"/>
    </row>
    <row r="28" spans="2:25" ht="15.75" customHeight="1" x14ac:dyDescent="0.25">
      <c r="B28" s="77"/>
      <c r="C28" s="80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79">
        <f>+'Bal Los Colorados'!M65</f>
        <v>108284.65870939114</v>
      </c>
      <c r="T28" s="78"/>
    </row>
    <row r="29" spans="2:25" ht="15.75" customHeight="1" x14ac:dyDescent="0.25">
      <c r="B29" s="77"/>
      <c r="C29" s="83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82">
        <f>+'Bal Los Colorados'!N65</f>
        <v>0.12974457621375801</v>
      </c>
      <c r="T29" s="78"/>
    </row>
    <row r="30" spans="2:25" ht="15.75" customHeight="1" x14ac:dyDescent="0.25">
      <c r="B30" s="77"/>
      <c r="C30" s="85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19"/>
      <c r="L30" s="1"/>
      <c r="M30" s="79">
        <f>+'Bal Los Colorados'!M61</f>
        <v>82755.179012932131</v>
      </c>
      <c r="N30" s="1"/>
      <c r="O30" s="1"/>
      <c r="P30" s="1"/>
      <c r="Q30" s="1"/>
      <c r="R30" s="1"/>
      <c r="S30" s="84">
        <f>+'Bal Los Colorados'!O65</f>
        <v>14049.347154701374</v>
      </c>
      <c r="T30" s="78"/>
    </row>
    <row r="31" spans="2:25" ht="15.75" customHeight="1" x14ac:dyDescent="0.25">
      <c r="B31" s="77"/>
      <c r="C31" s="1"/>
      <c r="D31" s="1"/>
      <c r="E31" s="1"/>
      <c r="F31" s="1"/>
      <c r="G31" s="1"/>
      <c r="H31" s="1"/>
      <c r="I31" s="1"/>
      <c r="J31" s="1"/>
      <c r="K31" s="1"/>
      <c r="L31" s="1"/>
      <c r="M31" s="82">
        <f>+'Bal Los Colorados'!N61</f>
        <v>0.14437754955847257</v>
      </c>
      <c r="N31" s="1"/>
      <c r="O31" s="1"/>
      <c r="P31" s="1"/>
      <c r="Q31" s="1"/>
      <c r="R31" s="1"/>
      <c r="S31" s="1"/>
      <c r="T31" s="78"/>
    </row>
    <row r="32" spans="2:25" ht="15.75" customHeight="1" x14ac:dyDescent="0.25">
      <c r="B32" s="77"/>
      <c r="C32" s="1"/>
      <c r="D32" s="1"/>
      <c r="E32" s="1"/>
      <c r="F32" s="1"/>
      <c r="G32" s="1"/>
      <c r="H32" s="1"/>
      <c r="I32" s="19">
        <f>+I25-D16</f>
        <v>330535.13130650285</v>
      </c>
      <c r="J32" s="1"/>
      <c r="K32" s="1"/>
      <c r="L32" s="1"/>
      <c r="M32" s="84">
        <f>+'Bal Los Colorados'!O61</f>
        <v>11947.989959159877</v>
      </c>
      <c r="N32" s="1"/>
      <c r="O32" s="1"/>
      <c r="P32" s="1"/>
      <c r="Q32" s="1"/>
      <c r="R32" s="1"/>
      <c r="S32" s="1"/>
      <c r="T32" s="78"/>
    </row>
    <row r="33" spans="2:20" ht="15.75" customHeight="1" x14ac:dyDescent="0.25">
      <c r="B33" s="7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9">
        <f>+'Bal Los Colorados'!M66</f>
        <v>18819.256929955947</v>
      </c>
      <c r="P33" s="1"/>
      <c r="Q33" s="1"/>
      <c r="R33" s="1"/>
      <c r="S33" s="1"/>
      <c r="T33" s="78"/>
    </row>
    <row r="34" spans="2:20" ht="15.75" customHeight="1" x14ac:dyDescent="0.25">
      <c r="B34" s="7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2">
        <f>+'Bal Los Colorados'!N66</f>
        <v>0.39866999999999997</v>
      </c>
      <c r="P34" s="1"/>
      <c r="Q34" s="1"/>
      <c r="R34" s="1"/>
      <c r="S34" s="1"/>
      <c r="T34" s="78"/>
    </row>
    <row r="35" spans="2:20" ht="15.75" customHeight="1" x14ac:dyDescent="0.25">
      <c r="B35" s="7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84">
        <f>+'Bal Los Colorados'!O66</f>
        <v>7502.6731602655373</v>
      </c>
      <c r="P35" s="1"/>
      <c r="Q35" s="1"/>
      <c r="R35" s="1"/>
      <c r="S35" s="1"/>
      <c r="T35" s="78"/>
    </row>
    <row r="36" spans="2:20" ht="15.75" customHeight="1" x14ac:dyDescent="0.25">
      <c r="B36" s="77"/>
      <c r="C36" s="1"/>
      <c r="D36" s="1"/>
      <c r="E36" s="1"/>
      <c r="F36" s="1"/>
      <c r="G36" s="79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9">
        <f>+'Bal Los Colorados'!M68</f>
        <v>19130.865000000002</v>
      </c>
      <c r="T36" s="78"/>
    </row>
    <row r="37" spans="2:20" ht="15.75" customHeight="1" x14ac:dyDescent="0.25">
      <c r="B37" s="77"/>
      <c r="C37" s="1"/>
      <c r="D37" s="1"/>
      <c r="E37" s="1"/>
      <c r="F37" s="1"/>
      <c r="G37" s="82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82">
        <f>+'Bal Los Colorados'!N68</f>
        <v>0.39832612919332189</v>
      </c>
      <c r="T37" s="78"/>
    </row>
    <row r="38" spans="2:20" ht="15.75" customHeight="1" x14ac:dyDescent="0.25">
      <c r="B38" s="77"/>
      <c r="C38" s="1"/>
      <c r="D38" s="1"/>
      <c r="E38" s="1"/>
      <c r="F38" s="1"/>
      <c r="G38" s="84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84">
        <f>+'Bal Los Colorados'!O68</f>
        <v>7620.3234035700007</v>
      </c>
      <c r="T38" s="78"/>
    </row>
    <row r="39" spans="2:20" ht="15.75" customHeight="1" x14ac:dyDescent="0.25">
      <c r="B39" s="7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8"/>
    </row>
    <row r="40" spans="2:20" ht="15.75" customHeight="1" x14ac:dyDescent="0.25">
      <c r="B40" s="7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81">
        <f>+O33-S36</f>
        <v>-311.60807004405433</v>
      </c>
      <c r="Q40" s="1"/>
      <c r="R40" s="1"/>
      <c r="S40" s="1"/>
      <c r="T40" s="78"/>
    </row>
    <row r="41" spans="2:20" ht="15.75" customHeight="1" x14ac:dyDescent="0.25">
      <c r="B41" s="7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8"/>
    </row>
    <row r="42" spans="2:20" ht="15.75" customHeight="1" x14ac:dyDescent="0.25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5.75" customHeight="1" x14ac:dyDescent="0.25">
      <c r="E43" s="92" t="s">
        <v>78</v>
      </c>
    </row>
    <row r="44" spans="2:20" ht="32.25" customHeight="1" x14ac:dyDescent="0.25">
      <c r="E44" s="313" t="s">
        <v>79</v>
      </c>
      <c r="F44" s="314"/>
      <c r="G44" s="317"/>
      <c r="H44" s="313" t="s">
        <v>80</v>
      </c>
      <c r="I44" s="314"/>
      <c r="J44" s="305"/>
      <c r="K44" s="315" t="s">
        <v>81</v>
      </c>
      <c r="L44" s="314"/>
      <c r="M44" s="314"/>
      <c r="N44" s="305"/>
    </row>
    <row r="45" spans="2:20" ht="15.75" customHeight="1" x14ac:dyDescent="0.25">
      <c r="E45" s="32" t="s">
        <v>82</v>
      </c>
      <c r="F45" s="32"/>
      <c r="G45" s="43">
        <f>+I6</f>
        <v>502781.82030850503</v>
      </c>
      <c r="H45" s="316" t="s">
        <v>83</v>
      </c>
      <c r="I45" s="305"/>
      <c r="J45" s="43">
        <f>+E7</f>
        <v>1770.5761999999995</v>
      </c>
      <c r="K45" s="316" t="s">
        <v>84</v>
      </c>
      <c r="L45" s="314"/>
      <c r="M45" s="305"/>
      <c r="N45" s="43">
        <f>+C8</f>
        <v>12961.629000000001</v>
      </c>
    </row>
    <row r="46" spans="2:20" ht="15.75" customHeight="1" x14ac:dyDescent="0.25">
      <c r="E46" s="310"/>
      <c r="F46" s="305"/>
      <c r="G46" s="32"/>
      <c r="H46" s="316" t="s">
        <v>85</v>
      </c>
      <c r="I46" s="305"/>
      <c r="J46" s="43">
        <f>+J19</f>
        <v>44584.890479986498</v>
      </c>
      <c r="K46" s="316" t="s">
        <v>86</v>
      </c>
      <c r="L46" s="314"/>
      <c r="M46" s="305"/>
      <c r="N46" s="43">
        <f>+C28</f>
        <v>16162.331</v>
      </c>
    </row>
    <row r="47" spans="2:20" ht="15.75" customHeight="1" x14ac:dyDescent="0.25">
      <c r="E47" s="310"/>
      <c r="F47" s="305"/>
      <c r="G47" s="32"/>
      <c r="H47" s="316" t="s">
        <v>87</v>
      </c>
      <c r="I47" s="305"/>
      <c r="J47" s="43">
        <f>+G27</f>
        <v>-359512.14169349719</v>
      </c>
      <c r="K47" s="316" t="s">
        <v>88</v>
      </c>
      <c r="L47" s="314"/>
      <c r="M47" s="305"/>
      <c r="N47" s="43">
        <f>+S36</f>
        <v>19130.865000000002</v>
      </c>
    </row>
    <row r="48" spans="2:20" ht="15.75" customHeight="1" x14ac:dyDescent="0.25">
      <c r="E48" s="310"/>
      <c r="F48" s="305"/>
      <c r="G48" s="32"/>
      <c r="H48" s="93" t="s">
        <v>89</v>
      </c>
      <c r="I48" s="93"/>
      <c r="J48" s="43">
        <f>+O20</f>
        <v>-14174.322317347061</v>
      </c>
      <c r="K48" s="316" t="s">
        <v>90</v>
      </c>
      <c r="L48" s="314"/>
      <c r="M48" s="305"/>
      <c r="N48" s="43">
        <f>+S28</f>
        <v>108284.65870939114</v>
      </c>
    </row>
    <row r="49" spans="5:14" ht="15.75" customHeight="1" x14ac:dyDescent="0.25">
      <c r="E49" s="310"/>
      <c r="F49" s="305"/>
      <c r="G49" s="32"/>
      <c r="H49" s="316" t="s">
        <v>91</v>
      </c>
      <c r="I49" s="305"/>
      <c r="J49" s="43">
        <f>+P40</f>
        <v>-311.60807004405433</v>
      </c>
      <c r="K49" s="316" t="s">
        <v>92</v>
      </c>
      <c r="L49" s="314"/>
      <c r="M49" s="305"/>
      <c r="N49" s="43">
        <f>+G36</f>
        <v>673884.94200000004</v>
      </c>
    </row>
    <row r="50" spans="5:14" ht="15.75" customHeight="1" x14ac:dyDescent="0.3">
      <c r="E50" s="320" t="s">
        <v>93</v>
      </c>
      <c r="F50" s="305"/>
      <c r="G50" s="94">
        <f>+G45</f>
        <v>502781.82030850503</v>
      </c>
      <c r="H50" s="318" t="s">
        <v>94</v>
      </c>
      <c r="I50" s="305"/>
      <c r="J50" s="95">
        <f>+SUM(J45:J49)</f>
        <v>-327642.60540090181</v>
      </c>
      <c r="K50" s="318" t="s">
        <v>95</v>
      </c>
      <c r="L50" s="314"/>
      <c r="M50" s="305"/>
      <c r="N50" s="94">
        <f>+SUM(N45:N49)</f>
        <v>830424.42570939125</v>
      </c>
    </row>
    <row r="51" spans="5:14" ht="15.75" customHeight="1" x14ac:dyDescent="0.25"/>
    <row r="52" spans="5:14" ht="15.75" customHeight="1" x14ac:dyDescent="0.3">
      <c r="J52" s="96" t="s">
        <v>96</v>
      </c>
      <c r="K52" s="97"/>
      <c r="L52" s="98"/>
      <c r="M52" s="97"/>
      <c r="N52" s="99">
        <f>+G50-J50-N50</f>
        <v>1.5599653124809265E-8</v>
      </c>
    </row>
    <row r="53" spans="5:14" ht="15.75" customHeight="1" x14ac:dyDescent="0.3">
      <c r="F53" s="100"/>
      <c r="G53" s="100"/>
      <c r="H53" s="100"/>
      <c r="I53" s="100"/>
      <c r="J53" s="101"/>
    </row>
    <row r="54" spans="5:14" ht="15.75" customHeight="1" x14ac:dyDescent="0.25">
      <c r="E54" s="92" t="s">
        <v>97</v>
      </c>
    </row>
    <row r="55" spans="5:14" ht="15.75" customHeight="1" x14ac:dyDescent="0.25">
      <c r="E55" s="321" t="s">
        <v>79</v>
      </c>
      <c r="F55" s="314"/>
      <c r="G55" s="317"/>
      <c r="H55" s="321" t="s">
        <v>80</v>
      </c>
      <c r="I55" s="314"/>
      <c r="J55" s="305"/>
      <c r="K55" s="319" t="s">
        <v>81</v>
      </c>
      <c r="L55" s="314"/>
      <c r="M55" s="314"/>
      <c r="N55" s="305"/>
    </row>
    <row r="56" spans="5:14" ht="15.75" customHeight="1" x14ac:dyDescent="0.25">
      <c r="E56" s="32" t="s">
        <v>82</v>
      </c>
      <c r="F56" s="32"/>
      <c r="G56" s="43">
        <f>+I8</f>
        <v>231983.78607040126</v>
      </c>
      <c r="H56" s="316" t="s">
        <v>83</v>
      </c>
      <c r="I56" s="305"/>
      <c r="J56" s="43" t="e">
        <f>+'Bal Los Colorados'!O49*'Bal Los Colorados'!G49</f>
        <v>#REF!</v>
      </c>
      <c r="K56" s="316" t="s">
        <v>84</v>
      </c>
      <c r="L56" s="314"/>
      <c r="M56" s="305"/>
      <c r="N56" s="43">
        <f>+C10</f>
        <v>7704.8210577451482</v>
      </c>
    </row>
    <row r="57" spans="5:14" ht="15.75" customHeight="1" x14ac:dyDescent="0.25">
      <c r="E57" s="310"/>
      <c r="F57" s="305"/>
      <c r="G57" s="32"/>
      <c r="H57" s="316" t="s">
        <v>85</v>
      </c>
      <c r="I57" s="305"/>
      <c r="J57" s="43" t="e">
        <f>+'Bal Los Colorados'!O53*'Bal Los Colorados'!G53</f>
        <v>#REF!</v>
      </c>
      <c r="K57" s="316" t="s">
        <v>86</v>
      </c>
      <c r="L57" s="314"/>
      <c r="M57" s="305"/>
      <c r="N57" s="43">
        <f>+C30</f>
        <v>9675.4587302503223</v>
      </c>
    </row>
    <row r="58" spans="5:14" ht="15.75" customHeight="1" x14ac:dyDescent="0.25">
      <c r="E58" s="310"/>
      <c r="F58" s="305"/>
      <c r="G58" s="32"/>
      <c r="H58" s="316" t="s">
        <v>87</v>
      </c>
      <c r="I58" s="305"/>
      <c r="J58" s="43" t="e">
        <f>+'Bal Los Colorados'!O56*'Bal Los Colorados'!G56</f>
        <v>#REF!</v>
      </c>
      <c r="K58" s="316" t="s">
        <v>88</v>
      </c>
      <c r="L58" s="314"/>
      <c r="M58" s="305"/>
      <c r="N58" s="43">
        <f>+S38</f>
        <v>7620.3234035700007</v>
      </c>
    </row>
    <row r="59" spans="5:14" ht="15.75" customHeight="1" x14ac:dyDescent="0.25">
      <c r="E59" s="310"/>
      <c r="F59" s="305"/>
      <c r="G59" s="32"/>
      <c r="H59" s="93" t="s">
        <v>89</v>
      </c>
      <c r="I59" s="93"/>
      <c r="J59" s="43" t="e">
        <f>+'Bal Los Colorados'!O62*'Bal Los Colorados'!G62</f>
        <v>#REF!</v>
      </c>
      <c r="K59" s="316" t="s">
        <v>90</v>
      </c>
      <c r="L59" s="314"/>
      <c r="M59" s="305"/>
      <c r="N59" s="43">
        <f>+S30</f>
        <v>14049.347154701374</v>
      </c>
    </row>
    <row r="60" spans="5:14" ht="15.75" customHeight="1" x14ac:dyDescent="0.25">
      <c r="E60" s="310"/>
      <c r="F60" s="305"/>
      <c r="G60" s="32"/>
      <c r="H60" s="316" t="s">
        <v>91</v>
      </c>
      <c r="I60" s="305"/>
      <c r="J60" s="43" t="e">
        <f>+'Bal Los Colorados'!O67*'Bal Los Colorados'!G67</f>
        <v>#REF!</v>
      </c>
      <c r="K60" s="316" t="s">
        <v>92</v>
      </c>
      <c r="L60" s="314"/>
      <c r="M60" s="305"/>
      <c r="N60" s="43">
        <f>+G38</f>
        <v>410848.95586592209</v>
      </c>
    </row>
    <row r="61" spans="5:14" ht="15.75" customHeight="1" x14ac:dyDescent="0.3">
      <c r="E61" s="320" t="s">
        <v>93</v>
      </c>
      <c r="F61" s="305"/>
      <c r="G61" s="94">
        <f>+G56</f>
        <v>231983.78607040126</v>
      </c>
      <c r="H61" s="318" t="s">
        <v>94</v>
      </c>
      <c r="I61" s="305"/>
      <c r="J61" s="95" t="e">
        <f>+SUM(J56:J60)</f>
        <v>#REF!</v>
      </c>
      <c r="K61" s="318" t="s">
        <v>95</v>
      </c>
      <c r="L61" s="314"/>
      <c r="M61" s="305"/>
      <c r="N61" s="94">
        <f>+SUM(N56:N60)</f>
        <v>449898.90621218894</v>
      </c>
    </row>
    <row r="62" spans="5:14" ht="15.75" customHeight="1" x14ac:dyDescent="0.25"/>
    <row r="63" spans="5:14" ht="15.75" customHeight="1" x14ac:dyDescent="0.3">
      <c r="J63" s="96" t="s">
        <v>96</v>
      </c>
      <c r="K63" s="97"/>
      <c r="L63" s="98"/>
      <c r="M63" s="97"/>
      <c r="N63" s="99" t="e">
        <f>+G61-J61-N61</f>
        <v>#REF!</v>
      </c>
    </row>
    <row r="64" spans="5:1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1">
    <mergeCell ref="H60:I60"/>
    <mergeCell ref="H61:I61"/>
    <mergeCell ref="K57:M57"/>
    <mergeCell ref="H55:J55"/>
    <mergeCell ref="H56:I56"/>
    <mergeCell ref="E57:F57"/>
    <mergeCell ref="E58:F58"/>
    <mergeCell ref="H57:I57"/>
    <mergeCell ref="H58:I58"/>
    <mergeCell ref="E60:F60"/>
    <mergeCell ref="E61:F61"/>
    <mergeCell ref="E49:F49"/>
    <mergeCell ref="E50:F50"/>
    <mergeCell ref="E55:G55"/>
    <mergeCell ref="K58:M58"/>
    <mergeCell ref="K59:M59"/>
    <mergeCell ref="K60:M60"/>
    <mergeCell ref="K61:M61"/>
    <mergeCell ref="E47:F47"/>
    <mergeCell ref="H47:I47"/>
    <mergeCell ref="E48:F48"/>
    <mergeCell ref="H49:I49"/>
    <mergeCell ref="H50:I50"/>
    <mergeCell ref="K47:M47"/>
    <mergeCell ref="K48:M48"/>
    <mergeCell ref="K49:M49"/>
    <mergeCell ref="K50:M50"/>
    <mergeCell ref="K55:N55"/>
    <mergeCell ref="K56:M56"/>
    <mergeCell ref="E59:F59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11" workbookViewId="0">
      <selection activeCell="D26" sqref="D26"/>
    </sheetView>
  </sheetViews>
  <sheetFormatPr baseColWidth="10" defaultColWidth="14.42578125" defaultRowHeight="15" customHeight="1" x14ac:dyDescent="0.25"/>
  <cols>
    <col min="1" max="1" width="72.85546875" customWidth="1"/>
    <col min="2" max="2" width="29.140625" customWidth="1"/>
    <col min="3" max="3" width="20.140625" customWidth="1"/>
    <col min="4" max="4" width="24.140625" customWidth="1"/>
    <col min="5" max="5" width="27.85546875" customWidth="1"/>
    <col min="6" max="26" width="10.7109375" customWidth="1"/>
  </cols>
  <sheetData>
    <row r="1" spans="1:6" ht="23.25" x14ac:dyDescent="0.35">
      <c r="A1" s="102" t="s">
        <v>49</v>
      </c>
      <c r="B1" s="103">
        <v>815521</v>
      </c>
      <c r="C1" s="104">
        <v>0.62134172303352608</v>
      </c>
      <c r="D1" s="105">
        <v>9.0546478774341833E-3</v>
      </c>
      <c r="F1" s="106"/>
    </row>
    <row r="2" spans="1:6" ht="23.25" x14ac:dyDescent="0.35">
      <c r="A2" s="107" t="s">
        <v>98</v>
      </c>
      <c r="B2" s="108">
        <v>607463</v>
      </c>
      <c r="C2" s="109">
        <v>0.61798452650548696</v>
      </c>
      <c r="D2" s="110">
        <v>9.5062923808021307E-3</v>
      </c>
      <c r="F2" s="106"/>
    </row>
    <row r="3" spans="1:6" ht="23.25" x14ac:dyDescent="0.35">
      <c r="A3" s="111" t="s">
        <v>99</v>
      </c>
      <c r="B3" s="112">
        <v>208058</v>
      </c>
      <c r="C3" s="113">
        <v>0.63114366611916695</v>
      </c>
      <c r="D3" s="114">
        <v>7.7359899793989998E-3</v>
      </c>
      <c r="F3" s="106"/>
    </row>
    <row r="4" spans="1:6" ht="23.25" x14ac:dyDescent="0.35">
      <c r="A4" s="102" t="s">
        <v>100</v>
      </c>
      <c r="B4" s="115">
        <v>0</v>
      </c>
      <c r="C4" s="109">
        <v>0</v>
      </c>
      <c r="D4" s="116">
        <v>0</v>
      </c>
      <c r="F4" s="1"/>
    </row>
    <row r="5" spans="1:6" ht="23.25" x14ac:dyDescent="0.35">
      <c r="A5" s="102" t="s">
        <v>101</v>
      </c>
      <c r="B5" s="115">
        <v>637453.95243853284</v>
      </c>
      <c r="C5" s="109">
        <v>0.62024461930798003</v>
      </c>
      <c r="D5" s="116">
        <v>7.6E-3</v>
      </c>
    </row>
    <row r="6" spans="1:6" ht="23.25" x14ac:dyDescent="0.35">
      <c r="A6" s="117" t="s">
        <v>102</v>
      </c>
      <c r="B6" s="115">
        <v>1830</v>
      </c>
      <c r="C6" s="109">
        <v>0.62024461930798003</v>
      </c>
      <c r="D6" s="116">
        <v>7.6E-3</v>
      </c>
    </row>
    <row r="7" spans="1:6" ht="23.25" x14ac:dyDescent="0.35">
      <c r="A7" s="117" t="s">
        <v>103</v>
      </c>
      <c r="B7" s="115">
        <v>89824.393987553834</v>
      </c>
      <c r="C7" s="109">
        <v>8.2310664030754002E-2</v>
      </c>
      <c r="D7" s="116">
        <v>0</v>
      </c>
    </row>
    <row r="8" spans="1:6" ht="23.25" x14ac:dyDescent="0.35">
      <c r="A8" s="117" t="s">
        <v>104</v>
      </c>
      <c r="B8" s="115">
        <v>0</v>
      </c>
      <c r="C8" s="109">
        <v>0</v>
      </c>
      <c r="D8" s="116">
        <v>0</v>
      </c>
    </row>
    <row r="9" spans="1:6" ht="23.25" x14ac:dyDescent="0.35">
      <c r="A9" s="117" t="s">
        <v>105</v>
      </c>
      <c r="B9" s="115">
        <v>0</v>
      </c>
      <c r="C9" s="109">
        <v>0</v>
      </c>
      <c r="D9" s="116">
        <v>0</v>
      </c>
    </row>
    <row r="10" spans="1:6" ht="23.25" x14ac:dyDescent="0.35">
      <c r="A10" s="117" t="s">
        <v>106</v>
      </c>
      <c r="B10" s="115">
        <v>0</v>
      </c>
      <c r="C10" s="109">
        <v>0</v>
      </c>
      <c r="D10" s="116">
        <v>0</v>
      </c>
    </row>
    <row r="11" spans="1:6" ht="23.25" x14ac:dyDescent="0.35">
      <c r="A11" s="118" t="s">
        <v>107</v>
      </c>
      <c r="B11" s="115">
        <v>0</v>
      </c>
      <c r="C11" s="109">
        <v>0</v>
      </c>
      <c r="D11" s="116">
        <v>0</v>
      </c>
    </row>
    <row r="12" spans="1:6" ht="23.25" x14ac:dyDescent="0.35">
      <c r="A12" s="102" t="s">
        <v>108</v>
      </c>
      <c r="B12" s="115">
        <v>4920</v>
      </c>
      <c r="C12" s="109">
        <v>0.68574088188284299</v>
      </c>
      <c r="D12" s="116">
        <v>8.8764840617529803E-2</v>
      </c>
    </row>
    <row r="13" spans="1:6" ht="23.25" x14ac:dyDescent="0.35">
      <c r="A13" s="111" t="s">
        <v>109</v>
      </c>
      <c r="B13" s="115">
        <v>4920</v>
      </c>
      <c r="C13" s="109">
        <v>0.68574088188284299</v>
      </c>
      <c r="D13" s="116">
        <v>8.8764840617529803E-2</v>
      </c>
    </row>
    <row r="14" spans="1:6" ht="23.25" x14ac:dyDescent="0.35">
      <c r="A14" s="119" t="s">
        <v>110</v>
      </c>
      <c r="B14" s="115">
        <v>244828.00000154829</v>
      </c>
      <c r="C14" s="109">
        <v>0.68574088188284299</v>
      </c>
      <c r="D14" s="116">
        <v>8.8764840617529803E-2</v>
      </c>
    </row>
    <row r="15" spans="1:6" ht="23.25" x14ac:dyDescent="0.35">
      <c r="A15" s="120" t="s">
        <v>111</v>
      </c>
      <c r="B15" s="115">
        <v>232198</v>
      </c>
      <c r="C15" s="109">
        <v>0.68479999999999996</v>
      </c>
      <c r="D15" s="116">
        <v>8.0199999999999994E-2</v>
      </c>
    </row>
    <row r="16" spans="1:6" ht="23.25" x14ac:dyDescent="0.35">
      <c r="A16" s="117" t="s">
        <v>112</v>
      </c>
      <c r="B16" s="115">
        <v>19695</v>
      </c>
      <c r="C16" s="109">
        <v>0</v>
      </c>
      <c r="D16" s="116">
        <v>0</v>
      </c>
    </row>
    <row r="17" spans="1:4" ht="23.25" x14ac:dyDescent="0.35">
      <c r="A17" s="117" t="s">
        <v>113</v>
      </c>
      <c r="B17" s="108">
        <v>929</v>
      </c>
      <c r="C17" s="109">
        <v>0</v>
      </c>
      <c r="D17" s="121">
        <v>0</v>
      </c>
    </row>
    <row r="18" spans="1:4" ht="23.25" x14ac:dyDescent="0.35">
      <c r="A18" s="117" t="s">
        <v>114</v>
      </c>
      <c r="B18" s="108">
        <v>0</v>
      </c>
      <c r="C18" s="109">
        <v>0</v>
      </c>
      <c r="D18" s="121">
        <v>0</v>
      </c>
    </row>
    <row r="19" spans="1:4" ht="23.25" x14ac:dyDescent="0.35">
      <c r="A19" s="117" t="s">
        <v>115</v>
      </c>
      <c r="B19" s="108">
        <v>15375</v>
      </c>
      <c r="C19" s="109">
        <v>0.65516197897373896</v>
      </c>
      <c r="D19" s="121">
        <v>5.0000000000000001E-3</v>
      </c>
    </row>
    <row r="20" spans="1:4" ht="23.25" x14ac:dyDescent="0.35">
      <c r="A20" s="117" t="s">
        <v>116</v>
      </c>
      <c r="B20" s="108">
        <v>325200</v>
      </c>
      <c r="C20" s="109">
        <v>0.65516197897373896</v>
      </c>
      <c r="D20" s="121">
        <v>5.0000000000000001E-3</v>
      </c>
    </row>
    <row r="21" spans="1:4" ht="23.25" x14ac:dyDescent="0.35">
      <c r="A21" s="117" t="s">
        <v>117</v>
      </c>
      <c r="B21" s="108">
        <v>325200</v>
      </c>
      <c r="C21" s="109">
        <v>0.65516197897373896</v>
      </c>
      <c r="D21" s="121">
        <v>5.0000000000000001E-3</v>
      </c>
    </row>
    <row r="22" spans="1:4" ht="23.25" x14ac:dyDescent="0.35">
      <c r="A22" s="117" t="s">
        <v>118</v>
      </c>
      <c r="B22" s="108">
        <v>486163</v>
      </c>
      <c r="C22" s="109">
        <v>0.65475575555675702</v>
      </c>
      <c r="D22" s="121">
        <v>8.5302882796637006E-3</v>
      </c>
    </row>
    <row r="23" spans="1:4" ht="23.25" x14ac:dyDescent="0.35">
      <c r="A23" s="117" t="s">
        <v>119</v>
      </c>
      <c r="B23" s="108">
        <v>0</v>
      </c>
      <c r="C23" s="109">
        <v>0</v>
      </c>
      <c r="D23" s="121">
        <v>0</v>
      </c>
    </row>
    <row r="24" spans="1:4" ht="23.25" x14ac:dyDescent="0.35">
      <c r="A24" s="117" t="s">
        <v>120</v>
      </c>
      <c r="B24" s="108">
        <v>1212</v>
      </c>
      <c r="C24" s="109">
        <v>0.6</v>
      </c>
      <c r="D24" s="121">
        <v>0.04</v>
      </c>
    </row>
    <row r="25" spans="1:4" ht="23.25" x14ac:dyDescent="0.35">
      <c r="A25" s="107" t="s">
        <v>121</v>
      </c>
      <c r="B25" s="108">
        <v>0</v>
      </c>
      <c r="C25" s="109">
        <v>0</v>
      </c>
      <c r="D25" s="121">
        <v>0</v>
      </c>
    </row>
    <row r="26" spans="1:4" ht="23.25" x14ac:dyDescent="0.35">
      <c r="A26" s="107" t="s">
        <v>122</v>
      </c>
      <c r="B26" s="108">
        <v>1212</v>
      </c>
      <c r="C26" s="109">
        <v>0.61509999999999998</v>
      </c>
      <c r="D26" s="121">
        <v>3.2899999999999999E-2</v>
      </c>
    </row>
    <row r="27" spans="1:4" ht="23.25" x14ac:dyDescent="0.35">
      <c r="A27" s="117" t="s">
        <v>123</v>
      </c>
      <c r="B27" s="108">
        <v>810</v>
      </c>
      <c r="C27" s="109">
        <v>0.61509999999999998</v>
      </c>
      <c r="D27" s="121">
        <v>0.04</v>
      </c>
    </row>
    <row r="28" spans="1:4" ht="23.25" x14ac:dyDescent="0.35">
      <c r="A28" s="117" t="s">
        <v>124</v>
      </c>
      <c r="B28" s="108">
        <v>0</v>
      </c>
      <c r="C28" s="109">
        <v>0</v>
      </c>
      <c r="D28" s="121">
        <v>0</v>
      </c>
    </row>
    <row r="29" spans="1:4" ht="23.25" x14ac:dyDescent="0.35">
      <c r="A29" s="117" t="s">
        <v>125</v>
      </c>
      <c r="B29" s="108">
        <v>322488</v>
      </c>
      <c r="C29" s="109">
        <v>0.63656360914020604</v>
      </c>
      <c r="D29" s="121">
        <v>1.03519013832096E-2</v>
      </c>
    </row>
    <row r="30" spans="1:4" ht="23.25" x14ac:dyDescent="0.35">
      <c r="A30" s="117" t="s">
        <v>126</v>
      </c>
      <c r="B30" s="108">
        <v>19110</v>
      </c>
      <c r="C30" s="109">
        <v>0.65516197897373896</v>
      </c>
      <c r="D30" s="121">
        <v>5.0000000000000001E-3</v>
      </c>
    </row>
    <row r="31" spans="1:4" ht="23.25" x14ac:dyDescent="0.35">
      <c r="A31" s="122" t="s">
        <v>127</v>
      </c>
      <c r="B31" s="108">
        <v>0</v>
      </c>
      <c r="C31" s="109">
        <v>0</v>
      </c>
      <c r="D31" s="121">
        <v>0</v>
      </c>
    </row>
    <row r="32" spans="1:4" ht="23.25" x14ac:dyDescent="0.35">
      <c r="A32" s="118" t="s">
        <v>128</v>
      </c>
      <c r="B32" s="108">
        <v>0</v>
      </c>
      <c r="C32" s="109">
        <v>0</v>
      </c>
      <c r="D32" s="121">
        <v>0</v>
      </c>
    </row>
    <row r="33" spans="1:4" ht="23.25" x14ac:dyDescent="0.35">
      <c r="A33" s="118" t="s">
        <v>129</v>
      </c>
      <c r="B33" s="108">
        <v>8082</v>
      </c>
      <c r="C33" s="109">
        <v>0.57999999999999996</v>
      </c>
      <c r="D33" s="121">
        <v>0.05</v>
      </c>
    </row>
    <row r="34" spans="1:4" ht="23.25" x14ac:dyDescent="0.35">
      <c r="A34" s="122" t="s">
        <v>130</v>
      </c>
      <c r="B34" s="108">
        <v>4227</v>
      </c>
      <c r="C34" s="109">
        <v>0.65516197897373896</v>
      </c>
      <c r="D34" s="121">
        <v>5.0000000000000001E-3</v>
      </c>
    </row>
    <row r="35" spans="1:4" ht="23.25" x14ac:dyDescent="0.35">
      <c r="A35" s="122" t="s">
        <v>131</v>
      </c>
      <c r="B35" s="108">
        <v>0</v>
      </c>
      <c r="C35" s="109">
        <v>0</v>
      </c>
      <c r="D35" s="121">
        <v>0</v>
      </c>
    </row>
    <row r="36" spans="1:4" ht="23.25" x14ac:dyDescent="0.35">
      <c r="A36" s="123" t="s">
        <v>132</v>
      </c>
      <c r="B36" s="124">
        <v>33214</v>
      </c>
      <c r="C36" s="125">
        <v>0.65516197897373896</v>
      </c>
      <c r="D36" s="126">
        <v>5.0000000000000001E-3</v>
      </c>
    </row>
    <row r="37" spans="1:4" ht="23.25" x14ac:dyDescent="0.35">
      <c r="A37" s="127" t="s">
        <v>133</v>
      </c>
      <c r="B37" s="127">
        <v>0</v>
      </c>
      <c r="C37" s="127">
        <v>0</v>
      </c>
      <c r="D37" s="128">
        <v>0</v>
      </c>
    </row>
    <row r="38" spans="1:4" ht="23.25" x14ac:dyDescent="0.35">
      <c r="A38" s="129" t="s">
        <v>134</v>
      </c>
      <c r="B38" s="130">
        <v>180373</v>
      </c>
      <c r="C38" s="130">
        <v>39914</v>
      </c>
      <c r="D38" s="131">
        <v>9.5062923808021307E-3</v>
      </c>
    </row>
    <row r="39" spans="1:4" ht="23.25" x14ac:dyDescent="0.35">
      <c r="A39" s="129" t="s">
        <v>135</v>
      </c>
      <c r="B39" s="130">
        <v>28868</v>
      </c>
      <c r="C39" s="130">
        <v>11524</v>
      </c>
      <c r="D39" s="131">
        <v>8.5897447055674862E-3</v>
      </c>
    </row>
    <row r="40" spans="1:4" ht="23.25" x14ac:dyDescent="0.35">
      <c r="A40" s="129" t="s">
        <v>136</v>
      </c>
      <c r="B40" s="130">
        <v>80567</v>
      </c>
      <c r="C40" s="130">
        <v>101557</v>
      </c>
      <c r="D40" s="131">
        <v>0</v>
      </c>
    </row>
    <row r="41" spans="1:4" ht="23.25" x14ac:dyDescent="0.35">
      <c r="A41" s="129" t="s">
        <v>137</v>
      </c>
      <c r="B41" s="130">
        <v>0</v>
      </c>
      <c r="C41" s="130">
        <v>0</v>
      </c>
      <c r="D41" s="131">
        <v>0</v>
      </c>
    </row>
    <row r="42" spans="1:4" ht="23.25" x14ac:dyDescent="0.35">
      <c r="A42" s="129" t="s">
        <v>138</v>
      </c>
      <c r="B42" s="130">
        <v>0</v>
      </c>
      <c r="C42" s="130">
        <v>0</v>
      </c>
      <c r="D42" s="131">
        <v>8.3599999999999994E-2</v>
      </c>
    </row>
    <row r="43" spans="1:4" ht="23.25" x14ac:dyDescent="0.35">
      <c r="A43" s="129" t="s">
        <v>139</v>
      </c>
      <c r="B43" s="130">
        <v>0</v>
      </c>
      <c r="C43" s="130">
        <v>0</v>
      </c>
      <c r="D43" s="131">
        <v>8.0199999999999994E-2</v>
      </c>
    </row>
    <row r="44" spans="1:4" ht="23.25" x14ac:dyDescent="0.35">
      <c r="A44" s="129" t="s">
        <v>140</v>
      </c>
      <c r="B44" s="130">
        <v>0</v>
      </c>
      <c r="C44" s="130">
        <v>0</v>
      </c>
      <c r="D44" s="131">
        <v>0</v>
      </c>
    </row>
    <row r="45" spans="1:4" ht="23.25" x14ac:dyDescent="0.35">
      <c r="A45" s="129" t="s">
        <v>141</v>
      </c>
      <c r="B45" s="130">
        <v>59520</v>
      </c>
      <c r="C45" s="130">
        <v>26439</v>
      </c>
      <c r="D45" s="131">
        <v>8.5302882796637006E-3</v>
      </c>
    </row>
    <row r="46" spans="1:4" ht="23.25" x14ac:dyDescent="0.35">
      <c r="A46" s="129" t="s">
        <v>142</v>
      </c>
      <c r="B46" s="130">
        <v>175938</v>
      </c>
      <c r="C46" s="130">
        <v>74822</v>
      </c>
      <c r="D46" s="131">
        <v>0</v>
      </c>
    </row>
    <row r="47" spans="1:4" ht="23.25" x14ac:dyDescent="0.35">
      <c r="A47" s="129" t="s">
        <v>143</v>
      </c>
      <c r="B47" s="130">
        <v>20572</v>
      </c>
      <c r="C47" s="130">
        <v>18319</v>
      </c>
      <c r="D47" s="131">
        <v>5.0000000000000001E-3</v>
      </c>
    </row>
    <row r="48" spans="1:4" ht="23.25" x14ac:dyDescent="0.35">
      <c r="A48" s="129" t="s">
        <v>144</v>
      </c>
      <c r="B48" s="130">
        <v>27</v>
      </c>
      <c r="C48" s="130">
        <v>1413.125</v>
      </c>
      <c r="D48" s="131">
        <v>0.04</v>
      </c>
    </row>
    <row r="49" spans="1:4" ht="23.25" x14ac:dyDescent="0.35">
      <c r="A49" s="129" t="s">
        <v>145</v>
      </c>
      <c r="B49" s="130">
        <v>72341.902000000002</v>
      </c>
      <c r="C49" s="130">
        <v>74822</v>
      </c>
      <c r="D49" s="131">
        <v>1.03519013832096E-2</v>
      </c>
    </row>
    <row r="50" spans="1:4" ht="23.25" x14ac:dyDescent="0.35">
      <c r="A50" s="129" t="s">
        <v>146</v>
      </c>
      <c r="B50" s="130">
        <v>31619</v>
      </c>
      <c r="C50" s="130">
        <v>0</v>
      </c>
      <c r="D50" s="131">
        <v>5.0000000000000001E-3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8" sqref="M18"/>
    </sheetView>
  </sheetViews>
  <sheetFormatPr baseColWidth="10" defaultColWidth="14.42578125" defaultRowHeight="15" customHeight="1" x14ac:dyDescent="0.25"/>
  <cols>
    <col min="1" max="2" width="2.140625" customWidth="1"/>
    <col min="3" max="3" width="15.42578125" hidden="1" customWidth="1"/>
    <col min="4" max="5" width="12.85546875" customWidth="1"/>
    <col min="6" max="6" width="15.140625" customWidth="1"/>
    <col min="7" max="7" width="12" customWidth="1"/>
    <col min="8" max="8" width="12.28515625" customWidth="1"/>
    <col min="9" max="9" width="13.42578125" customWidth="1"/>
    <col min="10" max="12" width="13" customWidth="1"/>
    <col min="13" max="13" width="14.85546875" customWidth="1"/>
    <col min="14" max="14" width="13.28515625" customWidth="1"/>
    <col min="15" max="15" width="13.42578125" customWidth="1"/>
    <col min="16" max="16" width="2.140625" customWidth="1"/>
    <col min="17" max="17" width="13.85546875" customWidth="1"/>
    <col min="18" max="18" width="10.7109375" customWidth="1"/>
    <col min="19" max="19" width="12" customWidth="1"/>
    <col min="20" max="26" width="6.28515625" customWidth="1"/>
  </cols>
  <sheetData>
    <row r="1" spans="1:26" ht="15" customHeight="1" x14ac:dyDescent="0.25">
      <c r="A1" s="1"/>
      <c r="B1" s="132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  <c r="O1" s="134"/>
      <c r="P1" s="13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1"/>
      <c r="B2" s="136"/>
      <c r="C2" s="137"/>
      <c r="D2" s="322"/>
      <c r="E2" s="323"/>
      <c r="F2" s="328" t="s">
        <v>147</v>
      </c>
      <c r="G2" s="329"/>
      <c r="H2" s="329"/>
      <c r="I2" s="329"/>
      <c r="J2" s="329"/>
      <c r="K2" s="329"/>
      <c r="L2" s="329"/>
      <c r="M2" s="329"/>
      <c r="N2" s="329"/>
      <c r="O2" s="330"/>
      <c r="P2" s="138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36"/>
      <c r="C3" s="137"/>
      <c r="D3" s="324"/>
      <c r="E3" s="325"/>
      <c r="F3" s="331"/>
      <c r="G3" s="332"/>
      <c r="H3" s="332"/>
      <c r="I3" s="332"/>
      <c r="J3" s="332"/>
      <c r="K3" s="332"/>
      <c r="L3" s="332"/>
      <c r="M3" s="332"/>
      <c r="N3" s="332"/>
      <c r="O3" s="333"/>
      <c r="P3" s="138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1"/>
      <c r="B4" s="136"/>
      <c r="C4" s="137"/>
      <c r="D4" s="324"/>
      <c r="E4" s="325"/>
      <c r="F4" s="334" t="s">
        <v>148</v>
      </c>
      <c r="G4" s="335"/>
      <c r="H4" s="335"/>
      <c r="I4" s="335"/>
      <c r="J4" s="335"/>
      <c r="K4" s="336"/>
      <c r="L4" s="334" t="s">
        <v>149</v>
      </c>
      <c r="M4" s="336"/>
      <c r="N4" s="339">
        <v>44926</v>
      </c>
      <c r="O4" s="340"/>
      <c r="P4" s="13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"/>
      <c r="B5" s="136"/>
      <c r="C5" s="137"/>
      <c r="D5" s="326"/>
      <c r="E5" s="327"/>
      <c r="F5" s="337"/>
      <c r="G5" s="338"/>
      <c r="H5" s="338"/>
      <c r="I5" s="338"/>
      <c r="J5" s="338"/>
      <c r="K5" s="327"/>
      <c r="L5" s="337"/>
      <c r="M5" s="327"/>
      <c r="N5" s="337"/>
      <c r="O5" s="341"/>
      <c r="P5" s="138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136"/>
      <c r="C6" s="137"/>
      <c r="D6" s="139"/>
      <c r="E6" s="139"/>
      <c r="F6" s="139"/>
      <c r="G6" s="139"/>
      <c r="H6" s="139"/>
      <c r="I6" s="139"/>
      <c r="J6" s="139"/>
      <c r="K6" s="139"/>
      <c r="L6" s="140"/>
      <c r="M6" s="137"/>
      <c r="N6" s="1"/>
      <c r="O6" s="1"/>
      <c r="P6" s="138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1"/>
      <c r="B7" s="141"/>
      <c r="C7" s="142"/>
      <c r="D7" s="342"/>
      <c r="E7" s="329"/>
      <c r="F7" s="323"/>
      <c r="G7" s="143" t="s">
        <v>150</v>
      </c>
      <c r="H7" s="143" t="s">
        <v>151</v>
      </c>
      <c r="I7" s="144" t="s">
        <v>152</v>
      </c>
      <c r="J7" s="345"/>
      <c r="K7" s="329"/>
      <c r="L7" s="323"/>
      <c r="M7" s="143" t="s">
        <v>150</v>
      </c>
      <c r="N7" s="143" t="s">
        <v>151</v>
      </c>
      <c r="O7" s="144" t="s">
        <v>152</v>
      </c>
      <c r="P7" s="138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1"/>
      <c r="B8" s="141"/>
      <c r="C8" s="142"/>
      <c r="D8" s="343"/>
      <c r="E8" s="332"/>
      <c r="F8" s="344"/>
      <c r="G8" s="145" t="s">
        <v>51</v>
      </c>
      <c r="H8" s="145" t="s">
        <v>153</v>
      </c>
      <c r="I8" s="146" t="s">
        <v>52</v>
      </c>
      <c r="J8" s="338"/>
      <c r="K8" s="338"/>
      <c r="L8" s="327"/>
      <c r="M8" s="145" t="s">
        <v>51</v>
      </c>
      <c r="N8" s="145" t="s">
        <v>153</v>
      </c>
      <c r="O8" s="146" t="s">
        <v>52</v>
      </c>
      <c r="P8" s="138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141"/>
      <c r="C9" s="142"/>
      <c r="D9" s="346" t="s">
        <v>79</v>
      </c>
      <c r="E9" s="307"/>
      <c r="F9" s="307"/>
      <c r="G9" s="307"/>
      <c r="H9" s="307"/>
      <c r="I9" s="308"/>
      <c r="J9" s="347" t="s">
        <v>154</v>
      </c>
      <c r="K9" s="348"/>
      <c r="L9" s="348"/>
      <c r="M9" s="348"/>
      <c r="N9" s="348"/>
      <c r="O9" s="349"/>
      <c r="P9" s="13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1"/>
      <c r="B10" s="141"/>
      <c r="C10" s="142" t="s">
        <v>155</v>
      </c>
      <c r="D10" s="350" t="s">
        <v>156</v>
      </c>
      <c r="E10" s="314"/>
      <c r="F10" s="305"/>
      <c r="G10" s="147">
        <f>+Diagrama!K93*(1-'Datos Extra'!D5)</f>
        <v>632609.30240000004</v>
      </c>
      <c r="H10" s="148">
        <f>+Diagrama!I20</f>
        <v>0.60659330274000001</v>
      </c>
      <c r="I10" s="149">
        <f t="shared" ref="I10:I11" si="0">H10*G10</f>
        <v>383736.56608686346</v>
      </c>
      <c r="J10" s="351" t="s">
        <v>157</v>
      </c>
      <c r="K10" s="307"/>
      <c r="L10" s="352"/>
      <c r="M10" s="150">
        <f>Diagrama!J88*(1-'Datos Extra'!D14)</f>
        <v>227579.15858419999</v>
      </c>
      <c r="N10" s="151">
        <f>+Diagrama!G54</f>
        <v>0.68464692613</v>
      </c>
      <c r="O10" s="149">
        <f t="shared" ref="O10:O14" si="1">N10*M10</f>
        <v>155811.37137592433</v>
      </c>
      <c r="P10" s="138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"/>
      <c r="B11" s="141"/>
      <c r="C11" s="142"/>
      <c r="D11" s="350" t="s">
        <v>158</v>
      </c>
      <c r="E11" s="314"/>
      <c r="F11" s="305"/>
      <c r="G11" s="152">
        <v>0</v>
      </c>
      <c r="H11" s="153">
        <v>0</v>
      </c>
      <c r="I11" s="149">
        <f t="shared" si="0"/>
        <v>0</v>
      </c>
      <c r="J11" s="350" t="s">
        <v>159</v>
      </c>
      <c r="K11" s="314"/>
      <c r="L11" s="305"/>
      <c r="M11" s="147">
        <f>+Diagrama!J86*(1-'Datos Extra'!D21)</f>
        <v>323574</v>
      </c>
      <c r="N11" s="148">
        <f>++Diagrama!R63</f>
        <v>0.65581716200000006</v>
      </c>
      <c r="O11" s="149">
        <f t="shared" si="1"/>
        <v>212205.38237698801</v>
      </c>
      <c r="P11" s="138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"/>
      <c r="B12" s="141"/>
      <c r="C12" s="142"/>
      <c r="D12" s="350" t="s">
        <v>160</v>
      </c>
      <c r="E12" s="314"/>
      <c r="F12" s="305"/>
      <c r="G12" s="152">
        <v>0</v>
      </c>
      <c r="H12" s="153">
        <v>0</v>
      </c>
      <c r="I12" s="149">
        <v>0</v>
      </c>
      <c r="J12" s="350" t="s">
        <v>161</v>
      </c>
      <c r="K12" s="314"/>
      <c r="L12" s="305"/>
      <c r="M12" s="147">
        <f>+Diagrama!J87*(1-'Datos Extra'!D19)</f>
        <v>15298.125</v>
      </c>
      <c r="N12" s="148">
        <f>+Diagrama!N59</f>
        <v>0.65581716200000006</v>
      </c>
      <c r="O12" s="149">
        <f t="shared" si="1"/>
        <v>10032.77292142125</v>
      </c>
      <c r="P12" s="138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"/>
      <c r="B13" s="141"/>
      <c r="C13" s="142"/>
      <c r="D13" s="353" t="s">
        <v>162</v>
      </c>
      <c r="E13" s="354"/>
      <c r="F13" s="355"/>
      <c r="G13" s="152">
        <v>0</v>
      </c>
      <c r="H13" s="153">
        <v>0</v>
      </c>
      <c r="I13" s="149">
        <v>0</v>
      </c>
      <c r="J13" s="154" t="s">
        <v>163</v>
      </c>
      <c r="K13" s="155"/>
      <c r="L13" s="156"/>
      <c r="M13" s="157">
        <f>+Diagrama!J94*(1-'Datos Extra'!D3)</f>
        <v>206448.46539999999</v>
      </c>
      <c r="N13" s="148">
        <f>+Diagrama!O10</f>
        <v>0.64376688000000004</v>
      </c>
      <c r="O13" s="149">
        <f t="shared" si="1"/>
        <v>132904.68445134597</v>
      </c>
      <c r="P13" s="138"/>
      <c r="Q13" s="1"/>
      <c r="R13" s="158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"/>
      <c r="B14" s="141"/>
      <c r="C14" s="142" t="s">
        <v>164</v>
      </c>
      <c r="D14" s="356" t="s">
        <v>165</v>
      </c>
      <c r="E14" s="357"/>
      <c r="F14" s="358"/>
      <c r="G14" s="159">
        <f>SUM(G10:G13)</f>
        <v>632609.30240000004</v>
      </c>
      <c r="H14" s="160">
        <f t="shared" ref="H14:I14" si="2">H10</f>
        <v>0.60659330274000001</v>
      </c>
      <c r="I14" s="159">
        <f t="shared" si="2"/>
        <v>383736.56608686346</v>
      </c>
      <c r="J14" s="359" t="s">
        <v>165</v>
      </c>
      <c r="K14" s="357"/>
      <c r="L14" s="358"/>
      <c r="M14" s="159">
        <f>SUM(M10:M13)</f>
        <v>772899.74898419995</v>
      </c>
      <c r="N14" s="160">
        <f>SUMPRODUCT(M10:M13,N10:N13)/M14</f>
        <v>0.66108730375085778</v>
      </c>
      <c r="O14" s="159">
        <f t="shared" si="1"/>
        <v>510954.21112567955</v>
      </c>
      <c r="P14" s="138"/>
      <c r="Q14" s="161"/>
      <c r="R14" s="158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"/>
      <c r="B15" s="141"/>
      <c r="C15" s="142"/>
      <c r="D15" s="346" t="s">
        <v>166</v>
      </c>
      <c r="E15" s="307"/>
      <c r="F15" s="307"/>
      <c r="G15" s="307"/>
      <c r="H15" s="307"/>
      <c r="I15" s="308"/>
      <c r="J15" s="360" t="s">
        <v>167</v>
      </c>
      <c r="K15" s="357"/>
      <c r="L15" s="357"/>
      <c r="M15" s="357"/>
      <c r="N15" s="357"/>
      <c r="O15" s="361"/>
      <c r="P15" s="13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"/>
      <c r="B16" s="141"/>
      <c r="C16" s="142"/>
      <c r="D16" s="350" t="s">
        <v>168</v>
      </c>
      <c r="E16" s="314"/>
      <c r="F16" s="305"/>
      <c r="G16" s="152">
        <f>+Diagrama!K94*(1-'Datos Extra'!D29)</f>
        <v>319149.63602999999</v>
      </c>
      <c r="H16" s="153">
        <f>+Diagrama!U18</f>
        <v>0.63656400000000002</v>
      </c>
      <c r="I16" s="149">
        <f t="shared" ref="I16:I20" si="3">H16*G16</f>
        <v>203159.16890980091</v>
      </c>
      <c r="J16" s="162" t="s">
        <v>169</v>
      </c>
      <c r="K16" s="162"/>
      <c r="L16" s="163"/>
      <c r="M16" s="147">
        <f>+Diagrama!J92</f>
        <v>89824.393987999996</v>
      </c>
      <c r="N16" s="148">
        <f>+Diagrama!F32</f>
        <v>8.2393310999999997E-2</v>
      </c>
      <c r="O16" s="149">
        <f t="shared" ref="O16:O17" si="4">N16*M16</f>
        <v>7400.929229239814</v>
      </c>
      <c r="P16" s="138"/>
      <c r="Q16" s="164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"/>
      <c r="B17" s="141"/>
      <c r="C17" s="142"/>
      <c r="D17" s="350" t="s">
        <v>157</v>
      </c>
      <c r="E17" s="314"/>
      <c r="F17" s="305"/>
      <c r="G17" s="152">
        <f>Diagrama!K88*(1-'Datos Extra'!D15)</f>
        <v>213575.72039999999</v>
      </c>
      <c r="H17" s="153">
        <f>+Diagrama!U69</f>
        <v>0.68480000000000008</v>
      </c>
      <c r="I17" s="149">
        <f t="shared" si="3"/>
        <v>146256.65332992002</v>
      </c>
      <c r="J17" s="359" t="s">
        <v>165</v>
      </c>
      <c r="K17" s="357"/>
      <c r="L17" s="358"/>
      <c r="M17" s="165">
        <f t="shared" ref="M17:N17" si="5">M16</f>
        <v>89824.393987999996</v>
      </c>
      <c r="N17" s="166">
        <f t="shared" si="5"/>
        <v>8.2393310999999997E-2</v>
      </c>
      <c r="O17" s="167">
        <f t="shared" si="4"/>
        <v>7400.929229239814</v>
      </c>
      <c r="P17" s="138"/>
      <c r="Q17" s="164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"/>
      <c r="B18" s="141"/>
      <c r="C18" s="142"/>
      <c r="D18" s="350" t="s">
        <v>159</v>
      </c>
      <c r="E18" s="314"/>
      <c r="F18" s="305"/>
      <c r="G18" s="152">
        <f>+Diagrama!K86*(1-'Datos Extra'!D22)</f>
        <v>482015.88945999998</v>
      </c>
      <c r="H18" s="153">
        <f>+Diagrama!T63</f>
        <v>0.654756</v>
      </c>
      <c r="I18" s="149">
        <f t="shared" si="3"/>
        <v>315602.79571927176</v>
      </c>
      <c r="J18" s="1"/>
      <c r="K18" s="1"/>
      <c r="L18" s="1"/>
      <c r="M18" s="168"/>
      <c r="N18" s="169"/>
      <c r="O18" s="169"/>
      <c r="P18" s="138"/>
      <c r="Q18" s="164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1"/>
      <c r="B19" s="141"/>
      <c r="C19" s="142"/>
      <c r="D19" s="350" t="s">
        <v>143</v>
      </c>
      <c r="E19" s="314"/>
      <c r="F19" s="305"/>
      <c r="G19" s="152">
        <f>Diagrama!K95*(1-'Datos Extra'!D28)</f>
        <v>0</v>
      </c>
      <c r="H19" s="153">
        <f>+Diagrama!T40</f>
        <v>0</v>
      </c>
      <c r="I19" s="149">
        <f t="shared" si="3"/>
        <v>0</v>
      </c>
      <c r="J19" s="364"/>
      <c r="K19" s="363"/>
      <c r="L19" s="363"/>
      <c r="M19" s="170"/>
      <c r="N19" s="171"/>
      <c r="O19" s="172"/>
      <c r="P19" s="138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"/>
      <c r="B20" s="141"/>
      <c r="C20" s="142"/>
      <c r="D20" s="350" t="s">
        <v>161</v>
      </c>
      <c r="E20" s="314"/>
      <c r="F20" s="305"/>
      <c r="G20" s="152">
        <f>+Diagrama!K87*(1-'Datos Extra'!D32)</f>
        <v>0</v>
      </c>
      <c r="H20" s="153">
        <f>+Diagrama!T49</f>
        <v>0</v>
      </c>
      <c r="I20" s="149">
        <f t="shared" si="3"/>
        <v>0</v>
      </c>
      <c r="J20" s="362"/>
      <c r="K20" s="363"/>
      <c r="L20" s="363"/>
      <c r="M20" s="174"/>
      <c r="N20" s="175"/>
      <c r="O20" s="176"/>
      <c r="P20" s="138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141"/>
      <c r="C21" s="142"/>
      <c r="D21" s="356" t="s">
        <v>165</v>
      </c>
      <c r="E21" s="357"/>
      <c r="F21" s="358"/>
      <c r="G21" s="159">
        <f>SUM(G16:G20)</f>
        <v>1014741.2458899999</v>
      </c>
      <c r="H21" s="160">
        <f>SUMPRODUCT(G16:G20,H16:H20)/G21</f>
        <v>0.65535782708401125</v>
      </c>
      <c r="I21" s="159">
        <f>SUM(I16:I20)</f>
        <v>665018.61795899272</v>
      </c>
      <c r="J21" s="362"/>
      <c r="K21" s="363"/>
      <c r="L21" s="363"/>
      <c r="M21" s="174"/>
      <c r="N21" s="175"/>
      <c r="O21" s="176"/>
      <c r="P21" s="138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"/>
      <c r="B22" s="141"/>
      <c r="C22" s="142"/>
      <c r="D22" s="173"/>
      <c r="E22" s="173"/>
      <c r="F22" s="173"/>
      <c r="G22" s="173"/>
      <c r="H22" s="173"/>
      <c r="I22" s="173"/>
      <c r="J22" s="173"/>
      <c r="K22" s="173"/>
      <c r="L22" s="173"/>
      <c r="M22" s="174"/>
      <c r="N22" s="175"/>
      <c r="O22" s="176"/>
      <c r="P22" s="138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hidden="1" customHeight="1" x14ac:dyDescent="0.25">
      <c r="A23" s="1"/>
      <c r="B23" s="141"/>
      <c r="C23" s="142"/>
      <c r="D23" s="371" t="s">
        <v>170</v>
      </c>
      <c r="E23" s="357"/>
      <c r="F23" s="358"/>
      <c r="G23" s="177" t="s">
        <v>51</v>
      </c>
      <c r="H23" s="177" t="s">
        <v>153</v>
      </c>
      <c r="I23" s="178" t="s">
        <v>52</v>
      </c>
      <c r="J23" s="179" t="s">
        <v>171</v>
      </c>
      <c r="K23" s="180" t="s">
        <v>172</v>
      </c>
      <c r="L23" s="181"/>
      <c r="M23" s="182"/>
      <c r="N23" s="181"/>
      <c r="O23" s="181"/>
      <c r="P23" s="18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hidden="1" customHeight="1" x14ac:dyDescent="0.25">
      <c r="A24" s="1"/>
      <c r="B24" s="141"/>
      <c r="C24" s="142"/>
      <c r="D24" s="372" t="s">
        <v>173</v>
      </c>
      <c r="E24" s="332"/>
      <c r="F24" s="344"/>
      <c r="G24" s="184"/>
      <c r="H24" s="185"/>
      <c r="I24" s="186"/>
      <c r="J24" s="187"/>
      <c r="K24" s="188"/>
      <c r="L24" s="189"/>
      <c r="M24" s="190">
        <v>0.76</v>
      </c>
      <c r="N24" s="171"/>
      <c r="O24" s="172"/>
      <c r="P24" s="138"/>
      <c r="Q24" s="1"/>
      <c r="R24" s="1"/>
      <c r="S24" s="191"/>
      <c r="T24" s="1"/>
      <c r="U24" s="1"/>
      <c r="V24" s="1"/>
      <c r="W24" s="1"/>
      <c r="X24" s="1"/>
      <c r="Y24" s="1"/>
      <c r="Z24" s="1"/>
    </row>
    <row r="25" spans="1:26" ht="15" hidden="1" customHeight="1" x14ac:dyDescent="0.25">
      <c r="A25" s="1"/>
      <c r="B25" s="141"/>
      <c r="C25" s="142"/>
      <c r="D25" s="373" t="s">
        <v>174</v>
      </c>
      <c r="E25" s="314"/>
      <c r="F25" s="305"/>
      <c r="G25" s="152"/>
      <c r="H25" s="153"/>
      <c r="I25" s="193"/>
      <c r="J25" s="187"/>
      <c r="K25" s="194"/>
      <c r="L25" s="189"/>
      <c r="M25" s="190">
        <v>8.68</v>
      </c>
      <c r="N25" s="171"/>
      <c r="O25" s="172"/>
      <c r="P25" s="138"/>
      <c r="Q25" s="1"/>
      <c r="R25" s="1"/>
      <c r="S25" s="191"/>
      <c r="T25" s="1"/>
      <c r="U25" s="1"/>
      <c r="V25" s="1"/>
      <c r="W25" s="1"/>
      <c r="X25" s="1"/>
      <c r="Y25" s="1"/>
      <c r="Z25" s="1"/>
    </row>
    <row r="26" spans="1:26" ht="15" hidden="1" customHeight="1" x14ac:dyDescent="0.25">
      <c r="A26" s="1"/>
      <c r="B26" s="141"/>
      <c r="C26" s="142"/>
      <c r="D26" s="373" t="s">
        <v>175</v>
      </c>
      <c r="E26" s="314"/>
      <c r="F26" s="305"/>
      <c r="G26" s="152"/>
      <c r="H26" s="153"/>
      <c r="I26" s="193"/>
      <c r="J26" s="187"/>
      <c r="K26" s="194"/>
      <c r="L26" s="189"/>
      <c r="M26" s="190">
        <v>0.76</v>
      </c>
      <c r="N26" s="171"/>
      <c r="O26" s="172"/>
      <c r="P26" s="138"/>
      <c r="Q26" s="1"/>
      <c r="R26" s="1"/>
      <c r="S26" s="191"/>
      <c r="T26" s="1"/>
      <c r="U26" s="1"/>
      <c r="V26" s="1"/>
      <c r="W26" s="1"/>
      <c r="X26" s="1"/>
      <c r="Y26" s="1"/>
      <c r="Z26" s="1"/>
    </row>
    <row r="27" spans="1:26" ht="15" hidden="1" customHeight="1" x14ac:dyDescent="0.25">
      <c r="A27" s="1"/>
      <c r="B27" s="141"/>
      <c r="C27" s="142"/>
      <c r="D27" s="373" t="s">
        <v>176</v>
      </c>
      <c r="E27" s="314"/>
      <c r="F27" s="305"/>
      <c r="G27" s="152"/>
      <c r="H27" s="153"/>
      <c r="I27" s="193"/>
      <c r="J27" s="187"/>
      <c r="K27" s="194"/>
      <c r="L27" s="189"/>
      <c r="M27" s="190">
        <v>8.39</v>
      </c>
      <c r="N27" s="171"/>
      <c r="O27" s="172"/>
      <c r="P27" s="138"/>
      <c r="Q27" s="1"/>
      <c r="R27" s="1"/>
      <c r="S27" s="191"/>
      <c r="T27" s="1"/>
      <c r="U27" s="1"/>
      <c r="V27" s="1"/>
      <c r="W27" s="1"/>
      <c r="X27" s="1"/>
      <c r="Y27" s="1"/>
      <c r="Z27" s="1"/>
    </row>
    <row r="28" spans="1:26" ht="15" hidden="1" customHeight="1" x14ac:dyDescent="0.25">
      <c r="A28" s="1"/>
      <c r="B28" s="141"/>
      <c r="C28" s="142"/>
      <c r="D28" s="192" t="s">
        <v>177</v>
      </c>
      <c r="E28" s="195"/>
      <c r="F28" s="196"/>
      <c r="G28" s="152"/>
      <c r="H28" s="153"/>
      <c r="I28" s="197"/>
      <c r="J28" s="198"/>
      <c r="K28" s="199"/>
      <c r="L28" s="189"/>
      <c r="M28" s="190"/>
      <c r="N28" s="171"/>
      <c r="O28" s="172"/>
      <c r="P28" s="138"/>
      <c r="Q28" s="1"/>
      <c r="R28" s="1"/>
      <c r="S28" s="191"/>
      <c r="T28" s="1"/>
      <c r="U28" s="1"/>
      <c r="V28" s="1"/>
      <c r="W28" s="1"/>
      <c r="X28" s="1"/>
      <c r="Y28" s="1"/>
      <c r="Z28" s="1"/>
    </row>
    <row r="29" spans="1:26" ht="15" hidden="1" customHeight="1" x14ac:dyDescent="0.25">
      <c r="A29" s="1"/>
      <c r="B29" s="141"/>
      <c r="C29" s="142"/>
      <c r="D29" s="350" t="s">
        <v>178</v>
      </c>
      <c r="E29" s="314"/>
      <c r="F29" s="305"/>
      <c r="G29" s="152"/>
      <c r="H29" s="153"/>
      <c r="I29" s="193"/>
      <c r="J29" s="187"/>
      <c r="K29" s="194"/>
      <c r="L29" s="189"/>
      <c r="M29" s="190">
        <v>0.05</v>
      </c>
      <c r="N29" s="171"/>
      <c r="O29" s="172"/>
      <c r="P29" s="138"/>
      <c r="Q29" s="1"/>
      <c r="R29" s="1"/>
      <c r="S29" s="191"/>
      <c r="T29" s="1"/>
      <c r="U29" s="1"/>
      <c r="V29" s="1"/>
      <c r="W29" s="1"/>
      <c r="X29" s="1"/>
      <c r="Y29" s="1"/>
      <c r="Z29" s="1"/>
    </row>
    <row r="30" spans="1:26" ht="15" hidden="1" customHeight="1" x14ac:dyDescent="0.25">
      <c r="A30" s="1"/>
      <c r="B30" s="141"/>
      <c r="C30" s="142"/>
      <c r="D30" s="374" t="s">
        <v>179</v>
      </c>
      <c r="E30" s="354"/>
      <c r="F30" s="355"/>
      <c r="G30" s="200"/>
      <c r="H30" s="201"/>
      <c r="I30" s="202"/>
      <c r="J30" s="187"/>
      <c r="K30" s="199"/>
      <c r="L30" s="189"/>
      <c r="M30" s="190">
        <v>0.05</v>
      </c>
      <c r="N30" s="171"/>
      <c r="O30" s="172"/>
      <c r="P30" s="138"/>
      <c r="Q30" s="1"/>
      <c r="R30" s="1"/>
      <c r="S30" s="191"/>
      <c r="T30" s="1"/>
      <c r="U30" s="1"/>
      <c r="V30" s="1"/>
      <c r="W30" s="1"/>
      <c r="X30" s="1"/>
      <c r="Y30" s="1"/>
      <c r="Z30" s="1"/>
    </row>
    <row r="31" spans="1:26" ht="15" hidden="1" customHeight="1" x14ac:dyDescent="0.25">
      <c r="A31" s="1"/>
      <c r="B31" s="141"/>
      <c r="C31" s="142"/>
      <c r="D31" s="375" t="s">
        <v>165</v>
      </c>
      <c r="E31" s="357"/>
      <c r="F31" s="358"/>
      <c r="G31" s="165">
        <v>0</v>
      </c>
      <c r="H31" s="166"/>
      <c r="I31" s="203">
        <v>0</v>
      </c>
      <c r="J31" s="204">
        <v>0</v>
      </c>
      <c r="K31" s="167">
        <v>0</v>
      </c>
      <c r="L31" s="181"/>
      <c r="M31" s="176"/>
      <c r="N31" s="175"/>
      <c r="O31" s="176"/>
      <c r="P31" s="138"/>
      <c r="Q31" s="1"/>
      <c r="R31" s="1"/>
      <c r="S31" s="191"/>
      <c r="T31" s="1"/>
      <c r="U31" s="1"/>
      <c r="V31" s="1"/>
      <c r="W31" s="1"/>
      <c r="X31" s="1"/>
      <c r="Y31" s="1"/>
      <c r="Z31" s="1"/>
    </row>
    <row r="32" spans="1:26" ht="15" hidden="1" customHeight="1" x14ac:dyDescent="0.25">
      <c r="A32" s="1"/>
      <c r="B32" s="141"/>
      <c r="C32" s="1"/>
      <c r="D32" s="205"/>
      <c r="E32" s="1"/>
      <c r="F32" s="1"/>
      <c r="G32" s="1"/>
      <c r="H32" s="206"/>
      <c r="I32" s="206"/>
      <c r="J32" s="206"/>
      <c r="K32" s="207"/>
      <c r="L32" s="206"/>
      <c r="M32" s="1"/>
      <c r="N32" s="208"/>
      <c r="O32" s="1"/>
      <c r="P32" s="138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"/>
      <c r="B33" s="141"/>
      <c r="C33" s="1"/>
      <c r="D33" s="376" t="s">
        <v>180</v>
      </c>
      <c r="E33" s="357"/>
      <c r="F33" s="357"/>
      <c r="G33" s="357"/>
      <c r="H33" s="357"/>
      <c r="I33" s="357"/>
      <c r="J33" s="357"/>
      <c r="K33" s="357"/>
      <c r="L33" s="357"/>
      <c r="M33" s="357"/>
      <c r="N33" s="357"/>
      <c r="O33" s="361"/>
      <c r="P33" s="13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"/>
      <c r="B34" s="14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38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"/>
      <c r="B35" s="141"/>
      <c r="C35" s="1"/>
      <c r="D35" s="379" t="s">
        <v>181</v>
      </c>
      <c r="E35" s="357"/>
      <c r="F35" s="361"/>
      <c r="G35" s="377"/>
      <c r="H35" s="378"/>
      <c r="I35" s="1"/>
      <c r="J35" s="379" t="s">
        <v>182</v>
      </c>
      <c r="K35" s="357"/>
      <c r="L35" s="361"/>
      <c r="M35" s="377"/>
      <c r="N35" s="378"/>
      <c r="O35" s="1"/>
      <c r="P35" s="138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1"/>
      <c r="B36" s="141"/>
      <c r="C36" s="1"/>
      <c r="D36" s="365">
        <f>Diagrama!E91/100</f>
        <v>0.86386308839710158</v>
      </c>
      <c r="E36" s="366"/>
      <c r="F36" s="367"/>
      <c r="G36" s="209"/>
      <c r="H36" s="210"/>
      <c r="I36" s="1"/>
      <c r="J36" s="365">
        <f>D36*N14/H14</f>
        <v>0.94146921395060434</v>
      </c>
      <c r="K36" s="366"/>
      <c r="L36" s="367"/>
      <c r="M36" s="210"/>
      <c r="N36" s="210"/>
      <c r="O36" s="1"/>
      <c r="P36" s="13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"/>
      <c r="B37" s="141"/>
      <c r="C37" s="1"/>
      <c r="D37" s="368"/>
      <c r="E37" s="369"/>
      <c r="F37" s="370"/>
      <c r="G37" s="211"/>
      <c r="H37" s="212"/>
      <c r="I37" s="1"/>
      <c r="J37" s="368"/>
      <c r="K37" s="369"/>
      <c r="L37" s="370"/>
      <c r="M37" s="213"/>
      <c r="N37" s="212"/>
      <c r="O37" s="1"/>
      <c r="P37" s="138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1"/>
      <c r="B38" s="141"/>
      <c r="C38" s="1"/>
      <c r="D38" s="214"/>
      <c r="E38" s="214"/>
      <c r="F38" s="214"/>
      <c r="G38" s="215"/>
      <c r="H38" s="216"/>
      <c r="I38" s="1"/>
      <c r="J38" s="214"/>
      <c r="K38" s="214"/>
      <c r="L38" s="214"/>
      <c r="M38" s="217"/>
      <c r="N38" s="218"/>
      <c r="O38" s="1"/>
      <c r="P38" s="138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19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"/>
      <c r="B41" s="1"/>
      <c r="C41" s="1"/>
      <c r="D41" s="1"/>
      <c r="E41" s="1"/>
      <c r="F41" s="1"/>
      <c r="G41" s="1"/>
      <c r="H41" s="2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D36:F37"/>
    <mergeCell ref="J36:L37"/>
    <mergeCell ref="D23:F23"/>
    <mergeCell ref="D24:F24"/>
    <mergeCell ref="D25:F25"/>
    <mergeCell ref="D26:F26"/>
    <mergeCell ref="D27:F27"/>
    <mergeCell ref="D29:F29"/>
    <mergeCell ref="D30:F30"/>
    <mergeCell ref="D31:F31"/>
    <mergeCell ref="D33:O33"/>
    <mergeCell ref="G35:H35"/>
    <mergeCell ref="J35:L35"/>
    <mergeCell ref="M35:N35"/>
    <mergeCell ref="D35:F35"/>
    <mergeCell ref="J20:L20"/>
    <mergeCell ref="J21:L21"/>
    <mergeCell ref="D17:F17"/>
    <mergeCell ref="J17:L17"/>
    <mergeCell ref="D18:F18"/>
    <mergeCell ref="D19:F19"/>
    <mergeCell ref="J19:L19"/>
    <mergeCell ref="D20:F20"/>
    <mergeCell ref="D21:F21"/>
    <mergeCell ref="D14:F14"/>
    <mergeCell ref="J14:L14"/>
    <mergeCell ref="D15:I15"/>
    <mergeCell ref="J15:O15"/>
    <mergeCell ref="D16:F16"/>
    <mergeCell ref="D11:F11"/>
    <mergeCell ref="J11:L11"/>
    <mergeCell ref="J12:L12"/>
    <mergeCell ref="D12:F12"/>
    <mergeCell ref="D13:F13"/>
    <mergeCell ref="D7:F8"/>
    <mergeCell ref="J7:L8"/>
    <mergeCell ref="D9:I9"/>
    <mergeCell ref="J9:O9"/>
    <mergeCell ref="D10:F10"/>
    <mergeCell ref="J10:L10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A92" workbookViewId="0">
      <selection activeCell="N120" sqref="N120"/>
    </sheetView>
  </sheetViews>
  <sheetFormatPr baseColWidth="10" defaultColWidth="14.42578125" defaultRowHeight="15" customHeight="1" x14ac:dyDescent="0.25"/>
  <cols>
    <col min="1" max="3" width="10.85546875" customWidth="1"/>
    <col min="4" max="4" width="15.42578125" customWidth="1"/>
    <col min="5" max="5" width="14.140625" customWidth="1"/>
    <col min="6" max="8" width="10.85546875" customWidth="1"/>
    <col min="9" max="9" width="5.42578125" customWidth="1"/>
    <col min="10" max="10" width="53.140625" customWidth="1"/>
    <col min="11" max="15" width="10.85546875" customWidth="1"/>
    <col min="16" max="16" width="10.42578125" customWidth="1"/>
    <col min="17" max="19" width="10.85546875" customWidth="1"/>
    <col min="20" max="21" width="11.42578125" customWidth="1"/>
    <col min="22" max="22" width="8.140625" customWidth="1"/>
    <col min="23" max="23" width="9.42578125" customWidth="1"/>
    <col min="24" max="24" width="11.85546875" customWidth="1"/>
    <col min="25" max="25" width="10.85546875" customWidth="1"/>
    <col min="26" max="26" width="11.85546875" customWidth="1"/>
    <col min="27" max="29" width="10.85546875" customWidth="1"/>
    <col min="30" max="34" width="8.28515625" customWidth="1"/>
    <col min="35" max="35" width="10.85546875" customWidth="1"/>
    <col min="36" max="36" width="9.42578125" customWidth="1"/>
    <col min="37" max="37" width="30.7109375" customWidth="1"/>
  </cols>
  <sheetData>
    <row r="1" spans="1:37" x14ac:dyDescent="0.25">
      <c r="A1" s="223">
        <v>808136.74450834701</v>
      </c>
      <c r="B1" s="223">
        <v>808136.74450999999</v>
      </c>
      <c r="C1" s="224">
        <v>62.1342</v>
      </c>
      <c r="D1" s="224">
        <v>61.554367526999997</v>
      </c>
      <c r="E1" s="225">
        <v>0.01</v>
      </c>
      <c r="F1" s="226">
        <f t="shared" ref="F1:F60" si="0">D1*B1</f>
        <v>49744346.183641836</v>
      </c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3"/>
      <c r="S1" s="223"/>
      <c r="T1" s="1"/>
      <c r="U1" s="1"/>
      <c r="V1" s="1"/>
      <c r="W1" s="1"/>
      <c r="X1" s="1"/>
      <c r="Y1" s="1"/>
      <c r="Z1" s="1"/>
    </row>
    <row r="2" spans="1:37" x14ac:dyDescent="0.25">
      <c r="A2" s="223">
        <v>206448.4653968662</v>
      </c>
      <c r="B2" s="223">
        <v>206448.46539999999</v>
      </c>
      <c r="C2" s="224">
        <v>63.114400000000003</v>
      </c>
      <c r="D2" s="224">
        <v>64.376688000000001</v>
      </c>
      <c r="E2" s="225">
        <v>0.01</v>
      </c>
      <c r="F2" s="226">
        <f t="shared" si="0"/>
        <v>13290468.445134595</v>
      </c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3"/>
      <c r="S2" s="223"/>
      <c r="T2" s="1"/>
      <c r="U2" s="1"/>
      <c r="V2" s="1"/>
      <c r="W2" s="1"/>
      <c r="X2" s="1"/>
      <c r="Y2" s="1"/>
      <c r="Z2" s="1"/>
    </row>
    <row r="3" spans="1:37" ht="51" customHeight="1" x14ac:dyDescent="0.25">
      <c r="A3" s="223">
        <v>601688.27911148081</v>
      </c>
      <c r="B3" s="223">
        <v>601688.27911</v>
      </c>
      <c r="C3" s="224">
        <v>61.798499999999997</v>
      </c>
      <c r="D3" s="224">
        <v>60.585986138999999</v>
      </c>
      <c r="E3" s="225">
        <v>0.01</v>
      </c>
      <c r="F3" s="226">
        <f t="shared" si="0"/>
        <v>36453877.73815722</v>
      </c>
      <c r="G3" s="227"/>
      <c r="H3" s="227"/>
      <c r="I3" s="227"/>
      <c r="J3" s="227"/>
      <c r="K3" s="228"/>
      <c r="L3" s="228"/>
      <c r="M3" s="228"/>
      <c r="N3" s="228"/>
      <c r="O3" s="228"/>
      <c r="P3" s="228"/>
      <c r="Q3" s="228"/>
      <c r="R3" s="229"/>
      <c r="S3" s="229"/>
      <c r="T3" s="23"/>
      <c r="U3" s="23"/>
      <c r="V3" s="23"/>
      <c r="W3" s="23"/>
      <c r="X3" s="23"/>
      <c r="Y3" s="23"/>
      <c r="Z3" s="23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ht="82.5" customHeight="1" x14ac:dyDescent="0.25">
      <c r="A4" s="223">
        <v>-34226.296547260303</v>
      </c>
      <c r="B4" s="223">
        <v>-30921.023289000001</v>
      </c>
      <c r="C4" s="224">
        <v>62.024500000000003</v>
      </c>
      <c r="D4" s="224">
        <v>62.086524500000003</v>
      </c>
      <c r="E4" s="225">
        <v>0.01</v>
      </c>
      <c r="F4" s="226">
        <f t="shared" si="0"/>
        <v>-1919778.8699975691</v>
      </c>
      <c r="G4" s="227"/>
      <c r="H4" s="227"/>
      <c r="I4" s="226"/>
      <c r="J4" s="226"/>
      <c r="K4" s="226"/>
      <c r="L4" s="226"/>
      <c r="M4" s="226"/>
      <c r="N4" s="226"/>
      <c r="O4" s="226"/>
      <c r="P4" s="226"/>
      <c r="Q4" s="226"/>
      <c r="R4" s="223"/>
      <c r="S4" s="223"/>
      <c r="T4" s="1"/>
      <c r="U4" s="1"/>
      <c r="V4" s="1"/>
      <c r="W4" s="1"/>
      <c r="X4" s="1"/>
      <c r="Y4" s="1"/>
      <c r="Z4" s="1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25">
      <c r="A5" s="223">
        <v>632609.30239999993</v>
      </c>
      <c r="B5" s="223">
        <v>632609.30240000004</v>
      </c>
      <c r="C5" s="224">
        <v>62.024500000000003</v>
      </c>
      <c r="D5" s="224">
        <v>60.659330273999998</v>
      </c>
      <c r="E5" s="225">
        <v>0.01</v>
      </c>
      <c r="F5" s="226">
        <f t="shared" si="0"/>
        <v>38373656.608686343</v>
      </c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3"/>
      <c r="S5" s="223"/>
      <c r="T5" s="1"/>
      <c r="U5" s="1"/>
      <c r="V5" s="1"/>
      <c r="W5" s="1"/>
      <c r="X5" s="1"/>
      <c r="Y5" s="1"/>
      <c r="Z5" s="1"/>
    </row>
    <row r="6" spans="1:37" x14ac:dyDescent="0.25">
      <c r="A6" s="223">
        <v>-2057.1762797360002</v>
      </c>
      <c r="B6" s="223">
        <v>-3702.9173034999999</v>
      </c>
      <c r="C6" s="224">
        <v>62.024500000000003</v>
      </c>
      <c r="D6" s="224">
        <v>60.529438126999999</v>
      </c>
      <c r="E6" s="225">
        <v>0.01</v>
      </c>
      <c r="F6" s="226">
        <f t="shared" si="0"/>
        <v>-224135.50381160091</v>
      </c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3"/>
      <c r="S6" s="223"/>
      <c r="T6" s="1"/>
      <c r="U6" s="1"/>
      <c r="V6" s="1"/>
      <c r="W6" s="1"/>
      <c r="X6" s="1"/>
      <c r="Y6" s="1"/>
      <c r="Z6" s="1"/>
    </row>
    <row r="7" spans="1:37" x14ac:dyDescent="0.25">
      <c r="A7" s="223">
        <v>634666.47867973591</v>
      </c>
      <c r="B7" s="223">
        <v>636312.21970000002</v>
      </c>
      <c r="C7" s="224">
        <v>61.823399999999999</v>
      </c>
      <c r="D7" s="224">
        <v>60.658574387000002</v>
      </c>
      <c r="E7" s="225">
        <v>0.01</v>
      </c>
      <c r="F7" s="226">
        <f t="shared" si="0"/>
        <v>38597792.112029538</v>
      </c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3"/>
      <c r="S7" s="223"/>
      <c r="T7" s="1"/>
      <c r="U7" s="1"/>
      <c r="V7" s="1"/>
      <c r="W7" s="1"/>
      <c r="X7" s="1"/>
      <c r="Y7" s="1"/>
      <c r="Z7" s="1"/>
    </row>
    <row r="8" spans="1:37" x14ac:dyDescent="0.25">
      <c r="A8" s="223">
        <v>0</v>
      </c>
      <c r="B8" s="223">
        <v>0</v>
      </c>
      <c r="C8" s="224">
        <v>62.024500000000003</v>
      </c>
      <c r="D8" s="224">
        <v>62.024485386999999</v>
      </c>
      <c r="E8" s="225">
        <v>0.01</v>
      </c>
      <c r="F8" s="226">
        <f t="shared" si="0"/>
        <v>0</v>
      </c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3"/>
      <c r="S8" s="223"/>
      <c r="T8" s="1"/>
      <c r="U8" s="1"/>
      <c r="V8" s="1"/>
      <c r="W8" s="1"/>
      <c r="X8" s="1"/>
      <c r="Y8" s="1"/>
      <c r="Z8" s="1"/>
    </row>
    <row r="9" spans="1:37" x14ac:dyDescent="0.25">
      <c r="A9" s="223">
        <v>89824.393987553805</v>
      </c>
      <c r="B9" s="223">
        <v>89824.393987999996</v>
      </c>
      <c r="C9" s="224">
        <v>8.2310999999999996</v>
      </c>
      <c r="D9" s="224">
        <v>8.2393310999999994</v>
      </c>
      <c r="E9" s="225">
        <v>0.01</v>
      </c>
      <c r="F9" s="226">
        <f t="shared" si="0"/>
        <v>740092.92292398133</v>
      </c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3"/>
      <c r="S9" s="223"/>
      <c r="T9" s="1"/>
      <c r="U9" s="1"/>
      <c r="V9" s="1"/>
      <c r="W9" s="1"/>
      <c r="X9" s="1"/>
      <c r="Y9" s="1"/>
      <c r="Z9" s="1"/>
    </row>
    <row r="10" spans="1:37" x14ac:dyDescent="0.25">
      <c r="A10" s="223">
        <v>543012.08469218202</v>
      </c>
      <c r="B10" s="223">
        <v>546487.82571999996</v>
      </c>
      <c r="C10" s="224">
        <v>68.63</v>
      </c>
      <c r="D10" s="224">
        <v>69.274551798000005</v>
      </c>
      <c r="E10" s="225">
        <v>0.01</v>
      </c>
      <c r="F10" s="226">
        <f t="shared" si="0"/>
        <v>37857699.189816535</v>
      </c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3"/>
      <c r="S10" s="223"/>
      <c r="T10" s="1"/>
      <c r="U10" s="1"/>
      <c r="V10" s="1"/>
      <c r="W10" s="1"/>
      <c r="X10" s="1"/>
      <c r="Y10" s="1"/>
      <c r="Z10" s="1"/>
    </row>
    <row r="11" spans="1:37" x14ac:dyDescent="0.25">
      <c r="A11" s="223">
        <v>-2850</v>
      </c>
      <c r="B11" s="223">
        <v>-3420</v>
      </c>
      <c r="C11" s="224">
        <v>68.574100000000001</v>
      </c>
      <c r="D11" s="224">
        <v>68.642674099999994</v>
      </c>
      <c r="E11" s="225">
        <v>0.01</v>
      </c>
      <c r="F11" s="226">
        <f t="shared" si="0"/>
        <v>-234757.94542199999</v>
      </c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3"/>
      <c r="S11" s="223"/>
      <c r="T11" s="1"/>
      <c r="U11" s="1"/>
      <c r="V11" s="1"/>
      <c r="W11" s="1"/>
      <c r="X11" s="1"/>
      <c r="Y11" s="1"/>
      <c r="Z11" s="1"/>
    </row>
    <row r="12" spans="1:37" x14ac:dyDescent="0.25">
      <c r="A12" s="223">
        <v>0</v>
      </c>
      <c r="B12" s="223">
        <v>0</v>
      </c>
      <c r="C12" s="224">
        <v>0</v>
      </c>
      <c r="D12" s="224">
        <v>0</v>
      </c>
      <c r="E12" s="225">
        <v>0.01</v>
      </c>
      <c r="F12" s="226">
        <f t="shared" si="0"/>
        <v>0</v>
      </c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3"/>
      <c r="S12" s="223"/>
      <c r="T12" s="1"/>
      <c r="U12" s="1"/>
      <c r="V12" s="1"/>
      <c r="W12" s="1"/>
      <c r="X12" s="1"/>
      <c r="Y12" s="1"/>
      <c r="Z12" s="1"/>
    </row>
    <row r="13" spans="1:37" x14ac:dyDescent="0.25">
      <c r="A13" s="223">
        <v>545862.08469218202</v>
      </c>
      <c r="B13" s="223">
        <v>549907.82571999996</v>
      </c>
      <c r="C13" s="224">
        <v>68.8</v>
      </c>
      <c r="D13" s="224">
        <v>69.270622008999993</v>
      </c>
      <c r="E13" s="225">
        <v>0.01</v>
      </c>
      <c r="F13" s="226">
        <f t="shared" si="0"/>
        <v>38092457.135241158</v>
      </c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3"/>
      <c r="S13" s="223"/>
      <c r="T13" s="1"/>
      <c r="U13" s="1"/>
      <c r="V13" s="1"/>
      <c r="W13" s="1"/>
      <c r="X13" s="1"/>
      <c r="Y13" s="1"/>
      <c r="Z13" s="1"/>
    </row>
    <row r="14" spans="1:37" x14ac:dyDescent="0.25">
      <c r="A14" s="223">
        <v>227579.15858686401</v>
      </c>
      <c r="B14" s="223">
        <v>227579.15859000001</v>
      </c>
      <c r="C14" s="224">
        <v>68.8</v>
      </c>
      <c r="D14" s="224">
        <v>68.464692612999997</v>
      </c>
      <c r="E14" s="225">
        <v>0.01</v>
      </c>
      <c r="F14" s="226">
        <f t="shared" si="0"/>
        <v>15581137.137989528</v>
      </c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3"/>
      <c r="S14" s="223"/>
      <c r="T14" s="1"/>
      <c r="U14" s="1"/>
      <c r="V14" s="1"/>
      <c r="W14" s="1"/>
      <c r="X14" s="1"/>
      <c r="Y14" s="1"/>
      <c r="Z14" s="1"/>
    </row>
    <row r="15" spans="1:37" x14ac:dyDescent="0.25">
      <c r="A15" s="223">
        <v>303877.846963702</v>
      </c>
      <c r="B15" s="223">
        <v>322328.66713000002</v>
      </c>
      <c r="C15" s="224">
        <v>68.8</v>
      </c>
      <c r="D15" s="224">
        <v>69.839645966000006</v>
      </c>
      <c r="E15" s="225">
        <v>0.01</v>
      </c>
      <c r="F15" s="226">
        <f t="shared" si="0"/>
        <v>22511319.997051865</v>
      </c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3"/>
      <c r="S15" s="223"/>
      <c r="T15" s="1"/>
      <c r="U15" s="1"/>
      <c r="V15" s="1"/>
      <c r="W15" s="1"/>
      <c r="X15" s="1"/>
      <c r="Y15" s="1"/>
      <c r="Z15" s="1"/>
    </row>
    <row r="16" spans="1:37" x14ac:dyDescent="0.25">
      <c r="A16" s="223">
        <v>0</v>
      </c>
      <c r="B16" s="223">
        <v>0</v>
      </c>
      <c r="C16" s="224">
        <v>68.8</v>
      </c>
      <c r="D16" s="224">
        <v>68.799980055999995</v>
      </c>
      <c r="E16" s="225">
        <v>0.01</v>
      </c>
      <c r="F16" s="226">
        <f t="shared" si="0"/>
        <v>0</v>
      </c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3"/>
      <c r="S16" s="223"/>
      <c r="T16" s="1"/>
      <c r="U16" s="1"/>
      <c r="V16" s="1"/>
      <c r="W16" s="1"/>
      <c r="X16" s="1"/>
      <c r="Y16" s="1"/>
      <c r="Z16" s="1"/>
    </row>
    <row r="17" spans="1:26" x14ac:dyDescent="0.25">
      <c r="A17" s="223">
        <v>4483.2769841618001</v>
      </c>
      <c r="B17" s="223">
        <v>4483.2769841999998</v>
      </c>
      <c r="C17" s="224">
        <v>68.8</v>
      </c>
      <c r="D17" s="224">
        <v>67.356722755999996</v>
      </c>
      <c r="E17" s="225">
        <v>0.01</v>
      </c>
      <c r="F17" s="226">
        <f t="shared" si="0"/>
        <v>301978.84486311517</v>
      </c>
      <c r="G17" s="226"/>
      <c r="H17" s="226"/>
      <c r="I17" s="226"/>
      <c r="J17" s="226"/>
      <c r="K17" s="226"/>
      <c r="L17" s="226"/>
      <c r="M17" s="226"/>
      <c r="N17" s="226"/>
      <c r="O17" s="226"/>
      <c r="P17" s="226"/>
      <c r="Q17" s="226"/>
      <c r="R17" s="223"/>
      <c r="S17" s="223"/>
      <c r="T17" s="1"/>
      <c r="U17" s="1"/>
      <c r="V17" s="1"/>
      <c r="W17" s="1"/>
      <c r="X17" s="1"/>
      <c r="Y17" s="1"/>
      <c r="Z17" s="1"/>
    </row>
    <row r="18" spans="1:26" x14ac:dyDescent="0.25">
      <c r="A18" s="223">
        <v>0</v>
      </c>
      <c r="B18" s="223">
        <v>0</v>
      </c>
      <c r="C18" s="224">
        <v>0</v>
      </c>
      <c r="D18" s="224">
        <v>0</v>
      </c>
      <c r="E18" s="225">
        <v>0.01</v>
      </c>
      <c r="F18" s="226">
        <f t="shared" si="0"/>
        <v>0</v>
      </c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3"/>
      <c r="S18" s="223"/>
      <c r="T18" s="1"/>
      <c r="U18" s="1"/>
      <c r="V18" s="1"/>
      <c r="W18" s="1"/>
      <c r="X18" s="1"/>
      <c r="Y18" s="1"/>
      <c r="Z18" s="1"/>
    </row>
    <row r="19" spans="1:26" x14ac:dyDescent="0.25">
      <c r="A19" s="223">
        <v>0</v>
      </c>
      <c r="B19" s="223">
        <v>0</v>
      </c>
      <c r="C19" s="224">
        <v>0</v>
      </c>
      <c r="D19" s="224">
        <v>0</v>
      </c>
      <c r="E19" s="225">
        <v>0.01</v>
      </c>
      <c r="F19" s="226">
        <f t="shared" si="0"/>
        <v>0</v>
      </c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3"/>
      <c r="S19" s="223"/>
      <c r="T19" s="1"/>
      <c r="U19" s="1"/>
      <c r="V19" s="1"/>
      <c r="W19" s="1"/>
      <c r="X19" s="1"/>
      <c r="Y19" s="1"/>
      <c r="Z19" s="1"/>
    </row>
    <row r="20" spans="1:26" x14ac:dyDescent="0.25">
      <c r="A20" s="223">
        <v>4483.2769841618001</v>
      </c>
      <c r="B20" s="223">
        <v>4483.2769841999998</v>
      </c>
      <c r="C20" s="224">
        <v>68.574100000000001</v>
      </c>
      <c r="D20" s="224">
        <v>67.356722755999996</v>
      </c>
      <c r="E20" s="225">
        <v>0.01</v>
      </c>
      <c r="F20" s="226">
        <f t="shared" si="0"/>
        <v>301978.84486311517</v>
      </c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3"/>
      <c r="S20" s="223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23">
        <v>223095.88160270231</v>
      </c>
      <c r="B21" s="223">
        <v>223095.88159999999</v>
      </c>
      <c r="C21" s="224">
        <v>68.574100000000001</v>
      </c>
      <c r="D21" s="224">
        <v>68.486958087999994</v>
      </c>
      <c r="E21" s="225">
        <v>0.01</v>
      </c>
      <c r="F21" s="226">
        <f t="shared" si="0"/>
        <v>15279158.292744609</v>
      </c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6"/>
      <c r="R21" s="223"/>
      <c r="S21" s="223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23">
        <v>15636.667443087999</v>
      </c>
      <c r="B22" s="223">
        <v>14003.438187</v>
      </c>
      <c r="C22" s="224">
        <v>68.574100000000001</v>
      </c>
      <c r="D22" s="224">
        <v>68.231229499999998</v>
      </c>
      <c r="E22" s="225">
        <v>0.01</v>
      </c>
      <c r="F22" s="226">
        <f t="shared" si="0"/>
        <v>955471.80472626083</v>
      </c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3"/>
      <c r="S22" s="223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23">
        <v>213575.72039999999</v>
      </c>
      <c r="B23" s="223">
        <v>213575.72039999999</v>
      </c>
      <c r="C23" s="224">
        <v>68.48</v>
      </c>
      <c r="D23" s="224">
        <v>68.48</v>
      </c>
      <c r="E23" s="225">
        <v>0.01</v>
      </c>
      <c r="F23" s="226">
        <f t="shared" si="0"/>
        <v>14625665.332992001</v>
      </c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3"/>
      <c r="S23" s="223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23">
        <v>19695</v>
      </c>
      <c r="B24" s="223">
        <v>19778.259667999999</v>
      </c>
      <c r="C24" s="224">
        <v>0</v>
      </c>
      <c r="D24" s="224">
        <v>0</v>
      </c>
      <c r="E24" s="225">
        <v>0.01</v>
      </c>
      <c r="F24" s="226">
        <f t="shared" si="0"/>
        <v>0</v>
      </c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3"/>
      <c r="S24" s="223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23">
        <v>323572.846963702</v>
      </c>
      <c r="B25" s="223">
        <v>342106.92680000002</v>
      </c>
      <c r="C25" s="224">
        <v>66</v>
      </c>
      <c r="D25" s="224">
        <v>65.802000000000007</v>
      </c>
      <c r="E25" s="225">
        <v>0.01</v>
      </c>
      <c r="F25" s="226">
        <f t="shared" si="0"/>
        <v>22511319.997293603</v>
      </c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3"/>
      <c r="S25" s="223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23">
        <v>2000</v>
      </c>
      <c r="B26" s="223">
        <v>2947.0469229</v>
      </c>
      <c r="C26" s="224">
        <v>65</v>
      </c>
      <c r="D26" s="224">
        <v>65.064999999999998</v>
      </c>
      <c r="E26" s="225">
        <v>0.01</v>
      </c>
      <c r="F26" s="226">
        <f t="shared" si="0"/>
        <v>191749.60803848848</v>
      </c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3"/>
      <c r="S26" s="223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23">
        <v>1000</v>
      </c>
      <c r="B27" s="223">
        <v>1775.0469229</v>
      </c>
      <c r="C27" s="224">
        <v>65.736599999999996</v>
      </c>
      <c r="D27" s="224">
        <v>67.708697999999998</v>
      </c>
      <c r="E27" s="225">
        <v>0.01</v>
      </c>
      <c r="F27" s="226">
        <f t="shared" si="0"/>
        <v>120186.11603846538</v>
      </c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3"/>
      <c r="S27" s="223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23">
        <v>2912.1556226733001</v>
      </c>
      <c r="B28" s="223">
        <v>1471.68</v>
      </c>
      <c r="C28" s="224">
        <v>65</v>
      </c>
      <c r="D28" s="224">
        <v>65.064999999999998</v>
      </c>
      <c r="E28" s="225">
        <v>0.01</v>
      </c>
      <c r="F28" s="226">
        <f t="shared" si="0"/>
        <v>95754.859200000006</v>
      </c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3"/>
      <c r="S28" s="223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23">
        <v>1839.6</v>
      </c>
      <c r="B29" s="223">
        <v>1471.68</v>
      </c>
      <c r="C29" s="224">
        <v>65</v>
      </c>
      <c r="D29" s="224">
        <v>65.064999999999998</v>
      </c>
      <c r="E29" s="225">
        <v>0.01</v>
      </c>
      <c r="F29" s="226">
        <f t="shared" si="0"/>
        <v>95754.859200000006</v>
      </c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3"/>
      <c r="S29" s="223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23">
        <v>929</v>
      </c>
      <c r="B30" s="223">
        <v>1183.9251262</v>
      </c>
      <c r="C30" s="224">
        <v>0</v>
      </c>
      <c r="D30" s="224">
        <v>0</v>
      </c>
      <c r="E30" s="225">
        <v>0.01</v>
      </c>
      <c r="F30" s="226">
        <f t="shared" si="0"/>
        <v>0</v>
      </c>
      <c r="G30" s="226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3"/>
      <c r="S30" s="223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223">
        <v>0</v>
      </c>
      <c r="B31" s="223">
        <v>0</v>
      </c>
      <c r="C31" s="224">
        <v>65</v>
      </c>
      <c r="D31" s="224">
        <v>64.999997253999993</v>
      </c>
      <c r="E31" s="225">
        <v>0.01</v>
      </c>
      <c r="F31" s="226">
        <f t="shared" si="0"/>
        <v>0</v>
      </c>
      <c r="G31" s="226"/>
      <c r="H31" s="226"/>
      <c r="I31" s="226"/>
      <c r="J31" s="226"/>
      <c r="K31" s="226"/>
      <c r="L31" s="226"/>
      <c r="M31" s="226"/>
      <c r="N31" s="226"/>
      <c r="O31" s="226"/>
      <c r="P31" s="226"/>
      <c r="Q31" s="226"/>
      <c r="R31" s="223"/>
      <c r="S31" s="223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223">
        <v>323574</v>
      </c>
      <c r="B32" s="223">
        <v>338872.125</v>
      </c>
      <c r="C32" s="224">
        <v>65.516199999999998</v>
      </c>
      <c r="D32" s="224">
        <v>65.581716200000002</v>
      </c>
      <c r="E32" s="225">
        <v>0.01</v>
      </c>
      <c r="F32" s="226">
        <f t="shared" si="0"/>
        <v>22223815.529840928</v>
      </c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3"/>
      <c r="S32" s="223"/>
      <c r="T32" s="1"/>
      <c r="U32" s="1"/>
      <c r="V32" s="1"/>
      <c r="W32" s="1"/>
      <c r="X32" s="1"/>
      <c r="Y32" s="1"/>
      <c r="Z32" s="1"/>
    </row>
    <row r="33" spans="1:37" ht="15.75" customHeight="1" x14ac:dyDescent="0.25">
      <c r="A33" s="223">
        <v>0</v>
      </c>
      <c r="B33" s="223">
        <v>0</v>
      </c>
      <c r="C33" s="224">
        <v>0</v>
      </c>
      <c r="D33" s="224">
        <v>0</v>
      </c>
      <c r="E33" s="225">
        <v>0.01</v>
      </c>
      <c r="F33" s="226">
        <f t="shared" si="0"/>
        <v>0</v>
      </c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3"/>
      <c r="S33" s="223"/>
      <c r="T33" s="1"/>
      <c r="U33" s="1"/>
      <c r="V33" s="1"/>
      <c r="W33" s="1"/>
      <c r="X33" s="1"/>
      <c r="Y33" s="1"/>
      <c r="Z33" s="1"/>
    </row>
    <row r="34" spans="1:37" ht="15.75" customHeight="1" x14ac:dyDescent="0.25">
      <c r="A34" s="223">
        <v>0</v>
      </c>
      <c r="B34" s="223">
        <v>0</v>
      </c>
      <c r="C34" s="224">
        <v>65.4756</v>
      </c>
      <c r="D34" s="224">
        <v>65.475582810000006</v>
      </c>
      <c r="E34" s="225">
        <v>0.01</v>
      </c>
      <c r="F34" s="226">
        <f t="shared" si="0"/>
        <v>0</v>
      </c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3"/>
      <c r="S34" s="223"/>
      <c r="T34" s="1"/>
      <c r="U34" s="1"/>
      <c r="V34" s="1"/>
      <c r="W34" s="1"/>
      <c r="X34" s="1"/>
      <c r="Y34" s="1"/>
      <c r="Z34" s="1"/>
    </row>
    <row r="35" spans="1:37" ht="15.75" customHeight="1" x14ac:dyDescent="0.25">
      <c r="A35" s="223">
        <v>15298.125</v>
      </c>
      <c r="B35" s="223">
        <v>15298.125</v>
      </c>
      <c r="C35" s="224">
        <v>65.516199999999998</v>
      </c>
      <c r="D35" s="224">
        <v>65.581716200000002</v>
      </c>
      <c r="E35" s="225">
        <v>0.01</v>
      </c>
      <c r="F35" s="226">
        <f t="shared" si="0"/>
        <v>1003277.2921421251</v>
      </c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3"/>
      <c r="S35" s="223"/>
      <c r="T35" s="1"/>
      <c r="U35" s="1"/>
      <c r="V35" s="1"/>
      <c r="W35" s="1"/>
      <c r="X35" s="1"/>
      <c r="Y35" s="1"/>
      <c r="Z35" s="1"/>
    </row>
    <row r="36" spans="1:37" ht="15.75" customHeight="1" x14ac:dyDescent="0.25">
      <c r="A36" s="223">
        <v>-12530.0101560354</v>
      </c>
      <c r="B36" s="223">
        <v>-12534.875</v>
      </c>
      <c r="C36" s="224">
        <v>65.4756</v>
      </c>
      <c r="D36" s="224">
        <v>65.638523620000001</v>
      </c>
      <c r="E36" s="225">
        <v>0.01</v>
      </c>
      <c r="F36" s="226">
        <f t="shared" si="0"/>
        <v>-822770.68876124755</v>
      </c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3"/>
      <c r="S36" s="223"/>
      <c r="T36" s="1"/>
      <c r="U36" s="1"/>
      <c r="V36" s="1"/>
      <c r="W36" s="1"/>
      <c r="X36" s="1"/>
      <c r="Y36" s="1"/>
      <c r="Z36" s="1"/>
    </row>
    <row r="37" spans="1:37" ht="15.75" customHeight="1" x14ac:dyDescent="0.25">
      <c r="A37" s="223">
        <v>323574</v>
      </c>
      <c r="B37" s="223">
        <v>323574</v>
      </c>
      <c r="C37" s="224">
        <v>65.516199999999998</v>
      </c>
      <c r="D37" s="224">
        <v>65.581716200000002</v>
      </c>
      <c r="E37" s="225">
        <v>0.01</v>
      </c>
      <c r="F37" s="226">
        <f t="shared" si="0"/>
        <v>21220538.237698801</v>
      </c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3"/>
      <c r="S37" s="223"/>
      <c r="T37" s="1"/>
      <c r="U37" s="1"/>
      <c r="V37" s="1"/>
      <c r="W37" s="1"/>
      <c r="X37" s="1"/>
      <c r="Y37" s="1"/>
      <c r="Z37" s="1"/>
    </row>
    <row r="38" spans="1:37" ht="15.75" customHeight="1" x14ac:dyDescent="0.25">
      <c r="A38" s="223">
        <v>-138726.90330323219</v>
      </c>
      <c r="B38" s="223">
        <v>-142424.88946000001</v>
      </c>
      <c r="C38" s="224">
        <v>65.402199999999993</v>
      </c>
      <c r="D38" s="224">
        <v>65.038271868999999</v>
      </c>
      <c r="E38" s="225">
        <v>0.01</v>
      </c>
      <c r="F38" s="226">
        <f t="shared" si="0"/>
        <v>-9263068.6816117521</v>
      </c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3"/>
      <c r="S38" s="223"/>
      <c r="T38" s="1"/>
      <c r="U38" s="1"/>
      <c r="V38" s="1"/>
      <c r="W38" s="1"/>
      <c r="X38" s="1"/>
      <c r="Y38" s="1"/>
      <c r="Z38" s="1"/>
    </row>
    <row r="39" spans="1:37" ht="15.75" customHeight="1" x14ac:dyDescent="0.25">
      <c r="A39" s="223">
        <v>482015.88945909392</v>
      </c>
      <c r="B39" s="223">
        <v>482015.88945999998</v>
      </c>
      <c r="C39" s="224">
        <v>65.4756</v>
      </c>
      <c r="D39" s="224">
        <v>65.4756</v>
      </c>
      <c r="E39" s="225">
        <v>0.01</v>
      </c>
      <c r="F39" s="226">
        <f t="shared" si="0"/>
        <v>31560279.571927175</v>
      </c>
      <c r="G39" s="226"/>
      <c r="H39" s="226"/>
      <c r="I39" s="226"/>
      <c r="J39" s="226"/>
      <c r="K39" s="226"/>
      <c r="L39" s="226"/>
      <c r="M39" s="226"/>
      <c r="N39" s="226"/>
      <c r="O39" s="226"/>
      <c r="P39" s="226"/>
      <c r="Q39" s="226"/>
      <c r="R39" s="223"/>
      <c r="S39" s="223"/>
      <c r="T39" s="1"/>
      <c r="U39" s="1"/>
      <c r="V39" s="1"/>
      <c r="W39" s="1"/>
      <c r="X39" s="1"/>
      <c r="Y39" s="1"/>
      <c r="Z39" s="1"/>
    </row>
    <row r="40" spans="1:37" ht="15.75" customHeight="1" x14ac:dyDescent="0.25">
      <c r="A40" s="223">
        <v>7677.9</v>
      </c>
      <c r="B40" s="223">
        <v>7677.9</v>
      </c>
      <c r="C40" s="224">
        <v>65</v>
      </c>
      <c r="D40" s="224">
        <v>65</v>
      </c>
      <c r="E40" s="225">
        <v>0.01</v>
      </c>
      <c r="F40" s="226">
        <f t="shared" si="0"/>
        <v>499063.5</v>
      </c>
      <c r="G40" s="226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3"/>
      <c r="S40" s="223"/>
      <c r="T40" s="1"/>
      <c r="U40" s="1"/>
      <c r="V40" s="1"/>
      <c r="W40" s="1"/>
      <c r="X40" s="1"/>
      <c r="Y40" s="1"/>
      <c r="Z40" s="1"/>
    </row>
    <row r="41" spans="1:37" ht="15.75" customHeight="1" x14ac:dyDescent="0.25">
      <c r="A41" s="223">
        <v>6452.8852623456996</v>
      </c>
      <c r="B41" s="223">
        <v>6505.9</v>
      </c>
      <c r="C41" s="224">
        <v>65</v>
      </c>
      <c r="D41" s="224">
        <v>65.709587912999993</v>
      </c>
      <c r="E41" s="225">
        <v>0.01</v>
      </c>
      <c r="F41" s="226">
        <f t="shared" si="0"/>
        <v>427500.00800318661</v>
      </c>
      <c r="G41" s="226"/>
      <c r="H41" s="226"/>
      <c r="I41" s="226"/>
      <c r="J41" s="226"/>
      <c r="K41" s="226"/>
      <c r="L41" s="226"/>
      <c r="M41" s="226"/>
      <c r="N41" s="226"/>
      <c r="O41" s="226"/>
      <c r="P41" s="226"/>
      <c r="Q41" s="226"/>
      <c r="R41" s="223"/>
      <c r="S41" s="223"/>
      <c r="T41" s="1"/>
      <c r="U41" s="1"/>
      <c r="V41" s="1"/>
      <c r="W41" s="1"/>
      <c r="X41" s="1"/>
      <c r="Y41" s="1"/>
      <c r="Z41" s="1"/>
    </row>
    <row r="42" spans="1:37" ht="15.75" customHeight="1" x14ac:dyDescent="0.25">
      <c r="A42" s="223">
        <v>1172</v>
      </c>
      <c r="B42" s="223">
        <v>1172</v>
      </c>
      <c r="C42" s="224">
        <v>61</v>
      </c>
      <c r="D42" s="224">
        <v>61.061</v>
      </c>
      <c r="E42" s="225">
        <v>0.01</v>
      </c>
      <c r="F42" s="226">
        <f t="shared" si="0"/>
        <v>71563.491999999998</v>
      </c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3"/>
      <c r="S42" s="223"/>
      <c r="T42" s="1"/>
      <c r="U42" s="1"/>
      <c r="V42" s="1"/>
      <c r="W42" s="1"/>
      <c r="X42" s="1"/>
      <c r="Y42" s="1"/>
      <c r="Z42" s="1"/>
    </row>
    <row r="43" spans="1:37" ht="15.75" customHeight="1" x14ac:dyDescent="0.25">
      <c r="A43" s="223">
        <v>1172</v>
      </c>
      <c r="B43" s="223">
        <v>1172</v>
      </c>
      <c r="C43" s="224">
        <v>61</v>
      </c>
      <c r="D43" s="224">
        <v>61.061</v>
      </c>
      <c r="E43" s="225">
        <v>0.01</v>
      </c>
      <c r="F43" s="226">
        <f t="shared" si="0"/>
        <v>71563.491999999998</v>
      </c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3"/>
      <c r="S43" s="223"/>
      <c r="T43" s="1"/>
      <c r="U43" s="1"/>
      <c r="V43" s="1"/>
      <c r="W43" s="1"/>
      <c r="X43" s="1"/>
      <c r="Y43" s="1"/>
      <c r="Z43" s="1"/>
    </row>
    <row r="44" spans="1:37" ht="15.75" customHeight="1" x14ac:dyDescent="0.25">
      <c r="A44" s="223">
        <v>0</v>
      </c>
      <c r="B44" s="223">
        <v>0</v>
      </c>
      <c r="C44" s="224">
        <v>0</v>
      </c>
      <c r="D44" s="224">
        <v>0</v>
      </c>
      <c r="E44" s="225">
        <v>0.01</v>
      </c>
      <c r="F44" s="226">
        <f t="shared" si="0"/>
        <v>0</v>
      </c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3"/>
      <c r="S44" s="223"/>
      <c r="T44" s="1"/>
      <c r="U44" s="1"/>
      <c r="V44" s="1"/>
      <c r="W44" s="1"/>
      <c r="X44" s="1"/>
      <c r="Y44" s="1"/>
      <c r="Z44" s="1"/>
    </row>
    <row r="45" spans="1:37" ht="15.75" customHeight="1" x14ac:dyDescent="0.25">
      <c r="A45" s="223">
        <v>4205.8649999999998</v>
      </c>
      <c r="B45" s="223">
        <v>1261.7594999999999</v>
      </c>
      <c r="C45" s="224">
        <v>65</v>
      </c>
      <c r="D45" s="224">
        <v>64.476981155999994</v>
      </c>
      <c r="E45" s="225">
        <v>0.01</v>
      </c>
      <c r="F45" s="226">
        <f t="shared" si="0"/>
        <v>81354.44350490396</v>
      </c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3"/>
      <c r="S45" s="22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5">
      <c r="A46" s="223">
        <v>1261.7594999999999</v>
      </c>
      <c r="B46" s="223">
        <v>1261.7594999999999</v>
      </c>
      <c r="C46" s="224">
        <v>65</v>
      </c>
      <c r="D46" s="224">
        <v>64.476981155999994</v>
      </c>
      <c r="E46" s="225">
        <v>0.01</v>
      </c>
      <c r="F46" s="226">
        <f t="shared" si="0"/>
        <v>81354.44350490396</v>
      </c>
      <c r="G46" s="226"/>
      <c r="H46" s="226"/>
      <c r="I46" s="226"/>
      <c r="J46" s="226"/>
      <c r="K46" s="226"/>
      <c r="L46" s="226"/>
      <c r="M46" s="226"/>
      <c r="N46" s="226"/>
      <c r="O46" s="226"/>
      <c r="P46" s="226"/>
      <c r="Q46" s="226"/>
      <c r="R46" s="223"/>
      <c r="S46" s="223"/>
      <c r="T46" s="1"/>
      <c r="U46" s="1"/>
      <c r="V46" s="1"/>
      <c r="W46" s="1"/>
      <c r="X46" s="1"/>
      <c r="Y46" s="1"/>
      <c r="Z46" s="1"/>
    </row>
    <row r="47" spans="1:37" ht="15.75" customHeight="1" x14ac:dyDescent="0.25">
      <c r="A47" s="223">
        <v>0</v>
      </c>
      <c r="B47" s="223">
        <v>0</v>
      </c>
      <c r="C47" s="224">
        <v>65</v>
      </c>
      <c r="D47" s="224">
        <v>64.999983181000005</v>
      </c>
      <c r="E47" s="225">
        <v>0.01</v>
      </c>
      <c r="F47" s="226">
        <f t="shared" si="0"/>
        <v>0</v>
      </c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26"/>
      <c r="R47" s="223"/>
      <c r="S47" s="22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5">
      <c r="A48" s="223">
        <v>0</v>
      </c>
      <c r="B48" s="223">
        <v>0</v>
      </c>
      <c r="C48" s="224">
        <v>65</v>
      </c>
      <c r="D48" s="224">
        <v>64.999983181000005</v>
      </c>
      <c r="E48" s="225">
        <v>0.01</v>
      </c>
      <c r="F48" s="226">
        <f t="shared" si="0"/>
        <v>0</v>
      </c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3"/>
      <c r="S48" s="22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5">
      <c r="A49" s="223">
        <v>27833</v>
      </c>
      <c r="B49" s="223">
        <v>27833</v>
      </c>
      <c r="C49" s="224">
        <v>66.27</v>
      </c>
      <c r="D49" s="224">
        <v>65.607299999999995</v>
      </c>
      <c r="E49" s="225">
        <v>0.01</v>
      </c>
      <c r="F49" s="226">
        <f t="shared" si="0"/>
        <v>1826047.9808999998</v>
      </c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3"/>
      <c r="S49" s="22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5">
      <c r="A50" s="223">
        <v>11816</v>
      </c>
      <c r="B50" s="223">
        <v>11816</v>
      </c>
      <c r="C50" s="224">
        <v>66.27</v>
      </c>
      <c r="D50" s="224">
        <v>63.420389999999998</v>
      </c>
      <c r="E50" s="225">
        <v>0.01</v>
      </c>
      <c r="F50" s="226">
        <f t="shared" si="0"/>
        <v>749375.32823999994</v>
      </c>
      <c r="G50" s="226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3"/>
      <c r="S50" s="223"/>
      <c r="T50" s="1"/>
      <c r="U50" s="1"/>
      <c r="V50" s="1"/>
      <c r="W50" s="1"/>
      <c r="X50" s="1"/>
      <c r="Y50" s="1"/>
      <c r="Z50" s="1"/>
    </row>
    <row r="51" spans="1:37" ht="15.75" customHeight="1" x14ac:dyDescent="0.25">
      <c r="A51" s="223">
        <v>0</v>
      </c>
      <c r="B51" s="223">
        <v>0</v>
      </c>
      <c r="C51" s="224">
        <v>0</v>
      </c>
      <c r="D51" s="224">
        <v>0</v>
      </c>
      <c r="E51" s="225">
        <v>0.01</v>
      </c>
      <c r="F51" s="226">
        <f t="shared" si="0"/>
        <v>0</v>
      </c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3"/>
      <c r="S51" s="223"/>
      <c r="T51" s="1"/>
      <c r="U51" s="1"/>
      <c r="V51" s="1"/>
      <c r="W51" s="1"/>
      <c r="X51" s="1"/>
      <c r="Y51" s="1"/>
      <c r="Z51" s="1"/>
    </row>
    <row r="52" spans="1:37" ht="15.75" customHeight="1" x14ac:dyDescent="0.25">
      <c r="A52" s="223">
        <v>19016</v>
      </c>
      <c r="B52" s="223">
        <v>16017</v>
      </c>
      <c r="C52" s="224">
        <v>66.27</v>
      </c>
      <c r="D52" s="224">
        <v>67.220618884000004</v>
      </c>
      <c r="E52" s="225">
        <v>0.01</v>
      </c>
      <c r="F52" s="226">
        <f t="shared" si="0"/>
        <v>1076672.6526650281</v>
      </c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3"/>
      <c r="S52" s="223"/>
      <c r="T52" s="1"/>
      <c r="U52" s="1"/>
      <c r="V52" s="1"/>
      <c r="W52" s="1"/>
      <c r="X52" s="1"/>
      <c r="Y52" s="1"/>
      <c r="Z52" s="1"/>
    </row>
    <row r="53" spans="1:37" ht="15.75" customHeight="1" x14ac:dyDescent="0.25">
      <c r="A53" s="223">
        <v>12594</v>
      </c>
      <c r="B53" s="223">
        <v>11462.60016</v>
      </c>
      <c r="C53" s="224">
        <v>61.51</v>
      </c>
      <c r="D53" s="224">
        <v>63.3553</v>
      </c>
      <c r="E53" s="225">
        <v>0.01</v>
      </c>
      <c r="F53" s="226">
        <f t="shared" si="0"/>
        <v>726216.47191684798</v>
      </c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3"/>
      <c r="S53" s="223"/>
      <c r="T53" s="1"/>
      <c r="U53" s="1"/>
      <c r="V53" s="1"/>
      <c r="W53" s="1"/>
      <c r="X53" s="1"/>
      <c r="Y53" s="1"/>
      <c r="Z53" s="1"/>
    </row>
    <row r="54" spans="1:37" ht="15.75" customHeight="1" x14ac:dyDescent="0.25">
      <c r="A54" s="223">
        <v>0</v>
      </c>
      <c r="B54" s="223">
        <v>0</v>
      </c>
      <c r="C54" s="224">
        <v>0</v>
      </c>
      <c r="D54" s="224">
        <v>0</v>
      </c>
      <c r="E54" s="225">
        <v>0.01</v>
      </c>
      <c r="F54" s="226">
        <f t="shared" si="0"/>
        <v>0</v>
      </c>
      <c r="G54" s="226"/>
      <c r="H54" s="226"/>
      <c r="I54" s="226"/>
      <c r="J54" s="226"/>
      <c r="K54" s="226"/>
      <c r="L54" s="226"/>
      <c r="M54" s="226"/>
      <c r="N54" s="226"/>
      <c r="O54" s="226"/>
      <c r="P54" s="226"/>
      <c r="Q54" s="226"/>
      <c r="R54" s="223"/>
      <c r="S54" s="223"/>
      <c r="T54" s="1"/>
      <c r="U54" s="1"/>
      <c r="V54" s="1"/>
      <c r="W54" s="1"/>
      <c r="X54" s="1"/>
      <c r="Y54" s="1"/>
      <c r="Z54" s="1"/>
    </row>
    <row r="55" spans="1:37" ht="15.75" customHeight="1" x14ac:dyDescent="0.25">
      <c r="A55" s="223">
        <v>1525.3998398781</v>
      </c>
      <c r="B55" s="223">
        <v>1525.3998399</v>
      </c>
      <c r="C55" s="224">
        <v>61.51</v>
      </c>
      <c r="D55" s="224">
        <v>62.096734140999999</v>
      </c>
      <c r="E55" s="225">
        <v>0.01</v>
      </c>
      <c r="F55" s="226">
        <f t="shared" si="0"/>
        <v>94722.348316994263</v>
      </c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3"/>
      <c r="S55" s="223"/>
      <c r="T55" s="1"/>
      <c r="U55" s="1"/>
      <c r="V55" s="1"/>
      <c r="W55" s="1"/>
      <c r="X55" s="1"/>
      <c r="Y55" s="1"/>
      <c r="Z55" s="1"/>
    </row>
    <row r="56" spans="1:37" ht="15.75" customHeight="1" x14ac:dyDescent="0.25">
      <c r="A56" s="223">
        <v>319149.63602673152</v>
      </c>
      <c r="B56" s="223">
        <v>319149.63602999999</v>
      </c>
      <c r="C56" s="224">
        <v>63.656399999999998</v>
      </c>
      <c r="D56" s="224">
        <v>63.656399999999998</v>
      </c>
      <c r="E56" s="225">
        <v>0.01</v>
      </c>
      <c r="F56" s="226">
        <f t="shared" si="0"/>
        <v>20315916.890980091</v>
      </c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3"/>
      <c r="S56" s="223"/>
      <c r="T56" s="1"/>
      <c r="U56" s="1"/>
      <c r="V56" s="1"/>
      <c r="W56" s="1"/>
      <c r="X56" s="1"/>
      <c r="Y56" s="1"/>
      <c r="Z56" s="1"/>
    </row>
    <row r="57" spans="1:37" ht="15.75" customHeight="1" x14ac:dyDescent="0.25">
      <c r="A57" s="223">
        <v>-138698.29006039389</v>
      </c>
      <c r="B57" s="223">
        <v>-101238.57047000001</v>
      </c>
      <c r="C57" s="224">
        <v>63.656399999999998</v>
      </c>
      <c r="D57" s="224">
        <v>62.221660624999998</v>
      </c>
      <c r="E57" s="225">
        <v>0.01</v>
      </c>
      <c r="F57" s="226">
        <f t="shared" si="0"/>
        <v>-6299231.9739444871</v>
      </c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3"/>
      <c r="S57" s="223"/>
      <c r="T57" s="1"/>
      <c r="U57" s="1"/>
      <c r="V57" s="1"/>
      <c r="W57" s="1"/>
      <c r="X57" s="1"/>
      <c r="Y57" s="1"/>
      <c r="Z57" s="1"/>
    </row>
    <row r="58" spans="1:37" ht="15.75" customHeight="1" x14ac:dyDescent="0.25">
      <c r="A58" s="223">
        <v>0</v>
      </c>
      <c r="B58" s="223">
        <v>0</v>
      </c>
      <c r="C58" s="224">
        <v>0</v>
      </c>
      <c r="D58" s="224">
        <v>0</v>
      </c>
      <c r="E58" s="225">
        <v>0.01</v>
      </c>
      <c r="F58" s="226">
        <f t="shared" si="0"/>
        <v>0</v>
      </c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3"/>
      <c r="S58" s="223"/>
      <c r="T58" s="1"/>
      <c r="U58" s="1"/>
      <c r="V58" s="1"/>
      <c r="W58" s="1"/>
      <c r="X58" s="1"/>
      <c r="Y58" s="1"/>
      <c r="Z58" s="1"/>
    </row>
    <row r="59" spans="1:37" ht="15.75" customHeight="1" x14ac:dyDescent="0.25">
      <c r="A59" s="223">
        <v>0</v>
      </c>
      <c r="B59" s="223">
        <v>0</v>
      </c>
      <c r="C59" s="224">
        <v>65.4756</v>
      </c>
      <c r="D59" s="224">
        <v>65.475582810000006</v>
      </c>
      <c r="E59" s="225">
        <v>0.01</v>
      </c>
      <c r="F59" s="226">
        <f t="shared" si="0"/>
        <v>0</v>
      </c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3"/>
      <c r="S59" s="22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9"/>
    </row>
    <row r="60" spans="1:37" ht="15.75" customHeight="1" x14ac:dyDescent="0.25">
      <c r="A60" s="223">
        <v>961571.28708582534</v>
      </c>
      <c r="B60" s="223">
        <v>1014741.2459</v>
      </c>
      <c r="C60" s="224">
        <v>65.373000000000005</v>
      </c>
      <c r="D60" s="224">
        <v>65.535782707999999</v>
      </c>
      <c r="E60" s="225">
        <v>0.01</v>
      </c>
      <c r="F60" s="226">
        <f t="shared" si="0"/>
        <v>66501861.796147592</v>
      </c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3"/>
      <c r="S60" s="22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9"/>
    </row>
    <row r="61" spans="1:37" ht="15.75" customHeight="1" x14ac:dyDescent="0.25">
      <c r="E61" s="225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3"/>
      <c r="S61" s="22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9"/>
      <c r="AK61" s="19"/>
    </row>
    <row r="62" spans="1:37" ht="15.75" customHeight="1" x14ac:dyDescent="0.25">
      <c r="A62" s="226"/>
      <c r="B62" s="230"/>
      <c r="C62" s="230"/>
      <c r="D62" s="226"/>
      <c r="E62" s="225"/>
      <c r="F62" s="226"/>
      <c r="G62" s="226"/>
      <c r="H62" s="226"/>
      <c r="I62" s="226"/>
      <c r="J62" s="226"/>
      <c r="K62" s="226"/>
      <c r="L62" s="226"/>
      <c r="M62" s="226"/>
      <c r="N62" s="231"/>
      <c r="O62" s="231"/>
      <c r="P62" s="231"/>
      <c r="Q62" s="23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9"/>
      <c r="AK62" s="19"/>
    </row>
    <row r="63" spans="1:37" ht="15.75" customHeight="1" x14ac:dyDescent="0.25">
      <c r="A63" s="226"/>
      <c r="B63" s="230"/>
      <c r="C63" s="230"/>
      <c r="D63" s="226"/>
      <c r="E63" s="225"/>
      <c r="F63" s="226"/>
      <c r="G63" s="226"/>
      <c r="H63" s="226"/>
      <c r="I63" s="226"/>
      <c r="J63" s="226"/>
      <c r="K63" s="226"/>
      <c r="L63" s="226"/>
      <c r="M63" s="226"/>
      <c r="N63" s="231"/>
      <c r="O63" s="231"/>
      <c r="P63" s="231"/>
      <c r="Q63" s="23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9"/>
      <c r="AK63" s="19"/>
    </row>
    <row r="64" spans="1:37" ht="15.75" customHeight="1" x14ac:dyDescent="0.25">
      <c r="A64" s="226"/>
      <c r="B64" s="226"/>
      <c r="C64" s="226"/>
      <c r="D64" s="226"/>
      <c r="E64" s="225"/>
      <c r="F64" s="226"/>
      <c r="G64" s="226"/>
      <c r="H64" s="226"/>
      <c r="I64" s="226"/>
      <c r="J64" s="226"/>
      <c r="K64" s="226"/>
      <c r="L64" s="226"/>
      <c r="M64" s="226"/>
      <c r="N64" s="231"/>
      <c r="O64" s="231"/>
      <c r="P64" s="231"/>
      <c r="Q64" s="23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9"/>
      <c r="AJ64" s="19"/>
      <c r="AK64" s="19"/>
    </row>
    <row r="65" spans="1:37" ht="15.75" customHeight="1" x14ac:dyDescent="0.3">
      <c r="A65" s="226"/>
      <c r="B65" s="226"/>
      <c r="C65" s="226"/>
      <c r="D65" s="226"/>
      <c r="E65" s="225"/>
      <c r="F65" s="226"/>
      <c r="G65" s="226"/>
      <c r="H65" s="226"/>
      <c r="I65" s="226"/>
      <c r="J65" s="226"/>
      <c r="K65" s="380"/>
      <c r="L65" s="378"/>
      <c r="M65" s="226"/>
      <c r="N65" s="381" t="s">
        <v>57</v>
      </c>
      <c r="O65" s="382"/>
      <c r="P65" s="378"/>
      <c r="Q65" s="231"/>
      <c r="R65" s="383"/>
      <c r="S65" s="363"/>
      <c r="T65" s="1"/>
      <c r="U65" s="1"/>
      <c r="V65" s="1"/>
      <c r="W65" s="232"/>
      <c r="X65" s="1"/>
      <c r="Y65" s="1"/>
      <c r="Z65" s="1"/>
      <c r="AA65" s="1"/>
      <c r="AB65" s="1"/>
      <c r="AC65" s="19"/>
      <c r="AD65" s="19"/>
      <c r="AE65" s="19"/>
      <c r="AF65" s="19"/>
      <c r="AG65" s="1"/>
      <c r="AH65" s="1"/>
      <c r="AI65" s="19"/>
      <c r="AJ65" s="19"/>
      <c r="AK65" s="19"/>
    </row>
    <row r="66" spans="1:37" ht="18.75" customHeight="1" x14ac:dyDescent="0.25">
      <c r="A66" s="226"/>
      <c r="B66" s="226"/>
      <c r="C66" s="226"/>
      <c r="D66" s="226"/>
      <c r="E66" s="225"/>
      <c r="F66" s="226"/>
      <c r="G66" s="226"/>
      <c r="H66" s="226"/>
      <c r="I66" s="226"/>
      <c r="J66" s="226"/>
      <c r="K66" s="233"/>
      <c r="L66" s="233"/>
      <c r="M66" s="226"/>
      <c r="N66" s="233" t="s">
        <v>51</v>
      </c>
      <c r="O66" s="233" t="s">
        <v>3</v>
      </c>
      <c r="P66" s="234" t="s">
        <v>61</v>
      </c>
      <c r="Q66" s="231" t="s">
        <v>183</v>
      </c>
      <c r="R66" s="235"/>
      <c r="S66" s="235"/>
      <c r="T66" s="1"/>
      <c r="U66" s="236"/>
      <c r="V66" s="1"/>
      <c r="W66" s="236"/>
      <c r="X66" s="1"/>
      <c r="Y66" s="1"/>
      <c r="Z66" s="1"/>
      <c r="AA66" s="1"/>
      <c r="AB66" s="235"/>
      <c r="AC66" s="29"/>
      <c r="AD66" s="19"/>
      <c r="AE66" s="19"/>
      <c r="AF66" s="19"/>
      <c r="AG66" s="1"/>
      <c r="AH66" s="1"/>
      <c r="AI66" s="1"/>
      <c r="AJ66" s="1"/>
      <c r="AK66" s="1"/>
    </row>
    <row r="67" spans="1:37" ht="15.75" customHeight="1" x14ac:dyDescent="0.25">
      <c r="A67" s="226"/>
      <c r="B67" s="226"/>
      <c r="C67" s="226"/>
      <c r="D67" s="226"/>
      <c r="E67" s="225"/>
      <c r="F67" s="226"/>
      <c r="G67" s="226"/>
      <c r="H67" s="226"/>
      <c r="I67" s="226"/>
      <c r="J67" s="226"/>
      <c r="K67" s="237"/>
      <c r="L67" s="238"/>
      <c r="M67" s="226"/>
      <c r="N67" s="231">
        <f t="shared" ref="N67:N68" si="1">B1</f>
        <v>808136.74450999999</v>
      </c>
      <c r="O67" s="225">
        <f t="shared" ref="O67:O126" si="2">IF(D$1&gt;1,D1/100,D1)</f>
        <v>0.61554367526999998</v>
      </c>
      <c r="P67" s="239">
        <f t="shared" ref="P67:P126" si="3">N67*O67</f>
        <v>497443.46183641837</v>
      </c>
      <c r="Q67" s="240">
        <f t="shared" ref="Q67:Q126" si="4">E1</f>
        <v>0.01</v>
      </c>
      <c r="R67" s="241"/>
      <c r="S67" s="241"/>
      <c r="T67" s="1"/>
      <c r="U67" s="51"/>
      <c r="V67" s="242"/>
      <c r="W67" s="51"/>
      <c r="X67" s="242"/>
      <c r="Y67" s="1"/>
      <c r="Z67" s="1"/>
      <c r="AA67" s="243"/>
      <c r="AB67" s="19"/>
      <c r="AC67" s="19"/>
      <c r="AD67" s="1"/>
      <c r="AE67" s="1"/>
      <c r="AF67" s="19"/>
      <c r="AG67" s="1"/>
      <c r="AH67" s="1"/>
      <c r="AI67" s="1"/>
      <c r="AJ67" s="1"/>
      <c r="AK67" s="1"/>
    </row>
    <row r="68" spans="1:37" ht="15.75" customHeight="1" x14ac:dyDescent="0.25">
      <c r="A68" s="226"/>
      <c r="B68" s="226"/>
      <c r="C68" s="226"/>
      <c r="D68" s="226"/>
      <c r="E68" s="225"/>
      <c r="F68" s="226"/>
      <c r="G68" s="226"/>
      <c r="H68" s="226"/>
      <c r="I68" s="226"/>
      <c r="J68" s="226"/>
      <c r="K68" s="244"/>
      <c r="L68" s="225"/>
      <c r="M68" s="245"/>
      <c r="N68" s="231">
        <f t="shared" si="1"/>
        <v>206448.46539999999</v>
      </c>
      <c r="O68" s="225">
        <f t="shared" si="2"/>
        <v>0.64376688000000004</v>
      </c>
      <c r="P68" s="239">
        <f t="shared" si="3"/>
        <v>132904.68445134597</v>
      </c>
      <c r="Q68" s="240">
        <f t="shared" si="4"/>
        <v>0.01</v>
      </c>
      <c r="R68" s="241"/>
      <c r="S68" s="241"/>
      <c r="T68" s="1"/>
      <c r="U68" s="51"/>
      <c r="V68" s="242"/>
      <c r="W68" s="51"/>
      <c r="X68" s="242"/>
      <c r="Y68" s="1"/>
      <c r="Z68" s="1"/>
      <c r="AA68" s="243"/>
      <c r="AB68" s="19"/>
      <c r="AC68" s="19"/>
      <c r="AD68" s="1"/>
      <c r="AE68" s="1"/>
      <c r="AF68" s="19"/>
      <c r="AG68" s="1"/>
      <c r="AH68" s="1"/>
      <c r="AI68" s="1"/>
      <c r="AJ68" s="1"/>
      <c r="AK68" s="1"/>
    </row>
    <row r="69" spans="1:37" ht="15.75" customHeight="1" x14ac:dyDescent="0.25">
      <c r="A69" s="226"/>
      <c r="B69" s="226"/>
      <c r="C69" s="226"/>
      <c r="D69" s="226"/>
      <c r="E69" s="225"/>
      <c r="F69" s="226"/>
      <c r="G69" s="226"/>
      <c r="H69" s="226"/>
      <c r="I69" s="226"/>
      <c r="J69" s="226"/>
      <c r="K69" s="244"/>
      <c r="L69" s="225"/>
      <c r="M69" s="226"/>
      <c r="N69" s="1">
        <v>642376.55039999995</v>
      </c>
      <c r="O69" s="225">
        <f t="shared" si="2"/>
        <v>0.60585986139000003</v>
      </c>
      <c r="P69" s="239">
        <f t="shared" si="3"/>
        <v>389190.16778553033</v>
      </c>
      <c r="Q69" s="240">
        <f t="shared" si="4"/>
        <v>0.01</v>
      </c>
      <c r="R69" s="241"/>
      <c r="S69" s="241"/>
      <c r="T69" s="1"/>
      <c r="U69" s="51"/>
      <c r="V69" s="242"/>
      <c r="W69" s="51"/>
      <c r="X69" s="242"/>
      <c r="Y69" s="1"/>
      <c r="Z69" s="1"/>
      <c r="AA69" s="243"/>
      <c r="AB69" s="19"/>
      <c r="AC69" s="19"/>
      <c r="AD69" s="1"/>
      <c r="AE69" s="1"/>
      <c r="AF69" s="19"/>
      <c r="AG69" s="1"/>
      <c r="AH69" s="1"/>
      <c r="AI69" s="1"/>
      <c r="AJ69" s="1"/>
      <c r="AK69" s="1"/>
    </row>
    <row r="70" spans="1:37" ht="15.75" customHeight="1" x14ac:dyDescent="0.25">
      <c r="A70" s="226"/>
      <c r="B70" s="226"/>
      <c r="C70" s="226"/>
      <c r="D70" s="245"/>
      <c r="E70" s="225"/>
      <c r="F70" s="246"/>
      <c r="G70" s="226"/>
      <c r="H70" s="226"/>
      <c r="I70" s="226"/>
      <c r="J70" s="226"/>
      <c r="K70" s="244"/>
      <c r="L70" s="225"/>
      <c r="M70" s="226"/>
      <c r="N70" s="231">
        <f t="shared" ref="N70:N126" si="5">B4</f>
        <v>-30921.023289000001</v>
      </c>
      <c r="O70" s="225">
        <f t="shared" si="2"/>
        <v>0.62086524500000007</v>
      </c>
      <c r="P70" s="239">
        <f t="shared" si="3"/>
        <v>-19197.788699975692</v>
      </c>
      <c r="Q70" s="240">
        <f t="shared" si="4"/>
        <v>0.01</v>
      </c>
      <c r="R70" s="241"/>
      <c r="S70" s="241"/>
      <c r="T70" s="1"/>
      <c r="U70" s="51"/>
      <c r="V70" s="242"/>
      <c r="W70" s="51"/>
      <c r="X70" s="242"/>
      <c r="Y70" s="1"/>
      <c r="Z70" s="1"/>
      <c r="AA70" s="243"/>
      <c r="AB70" s="19"/>
      <c r="AC70" s="19"/>
      <c r="AD70" s="1"/>
      <c r="AE70" s="1"/>
      <c r="AF70" s="19"/>
      <c r="AG70" s="1"/>
      <c r="AH70" s="1"/>
      <c r="AI70" s="1"/>
      <c r="AJ70" s="1"/>
      <c r="AK70" s="1"/>
    </row>
    <row r="71" spans="1:37" ht="15.75" customHeight="1" x14ac:dyDescent="0.25">
      <c r="A71" s="226"/>
      <c r="B71" s="226"/>
      <c r="C71" s="226"/>
      <c r="D71" s="226"/>
      <c r="E71" s="225"/>
      <c r="F71" s="226"/>
      <c r="G71" s="226"/>
      <c r="H71" s="226"/>
      <c r="I71" s="226"/>
      <c r="J71" s="226"/>
      <c r="K71" s="244"/>
      <c r="L71" s="225"/>
      <c r="M71" s="226"/>
      <c r="N71" s="231">
        <f t="shared" si="5"/>
        <v>632609.30240000004</v>
      </c>
      <c r="O71" s="225">
        <f t="shared" si="2"/>
        <v>0.60659330274000001</v>
      </c>
      <c r="P71" s="239">
        <f t="shared" si="3"/>
        <v>383736.56608686346</v>
      </c>
      <c r="Q71" s="240">
        <f t="shared" si="4"/>
        <v>0.01</v>
      </c>
      <c r="R71" s="241"/>
      <c r="S71" s="241"/>
      <c r="T71" s="1"/>
      <c r="U71" s="51"/>
      <c r="V71" s="242"/>
      <c r="W71" s="51"/>
      <c r="X71" s="242"/>
      <c r="Y71" s="1"/>
      <c r="Z71" s="1"/>
      <c r="AA71" s="243"/>
      <c r="AB71" s="19"/>
      <c r="AC71" s="19"/>
      <c r="AD71" s="1"/>
      <c r="AE71" s="1"/>
      <c r="AF71" s="19"/>
      <c r="AG71" s="1"/>
      <c r="AH71" s="1"/>
      <c r="AI71" s="1"/>
      <c r="AJ71" s="1"/>
      <c r="AK71" s="1"/>
    </row>
    <row r="72" spans="1:37" ht="15.75" customHeight="1" x14ac:dyDescent="0.25">
      <c r="A72" s="226"/>
      <c r="B72" s="226"/>
      <c r="C72" s="226"/>
      <c r="D72" s="245"/>
      <c r="E72" s="225"/>
      <c r="F72" s="246"/>
      <c r="G72" s="226"/>
      <c r="H72" s="226"/>
      <c r="I72" s="226"/>
      <c r="J72" s="226"/>
      <c r="K72" s="244"/>
      <c r="L72" s="225"/>
      <c r="M72" s="226"/>
      <c r="N72" s="231">
        <f t="shared" si="5"/>
        <v>-3702.9173034999999</v>
      </c>
      <c r="O72" s="225">
        <f t="shared" si="2"/>
        <v>0.60529438127000001</v>
      </c>
      <c r="P72" s="239">
        <f t="shared" si="3"/>
        <v>-2241.3550381160094</v>
      </c>
      <c r="Q72" s="240">
        <f t="shared" si="4"/>
        <v>0.01</v>
      </c>
      <c r="R72" s="241"/>
      <c r="S72" s="241"/>
      <c r="T72" s="1"/>
      <c r="U72" s="51"/>
      <c r="V72" s="242"/>
      <c r="W72" s="51"/>
      <c r="X72" s="242"/>
      <c r="Y72" s="1"/>
      <c r="Z72" s="1"/>
      <c r="AA72" s="243"/>
      <c r="AB72" s="19"/>
      <c r="AC72" s="19"/>
      <c r="AD72" s="1"/>
      <c r="AE72" s="1"/>
      <c r="AF72" s="19"/>
      <c r="AG72" s="1"/>
      <c r="AH72" s="1"/>
      <c r="AI72" s="1"/>
      <c r="AJ72" s="1"/>
      <c r="AK72" s="1"/>
    </row>
    <row r="73" spans="1:37" ht="15.75" customHeight="1" x14ac:dyDescent="0.25">
      <c r="A73" s="226"/>
      <c r="B73" s="226"/>
      <c r="C73" s="245"/>
      <c r="D73" s="226"/>
      <c r="E73" s="225"/>
      <c r="F73" s="226"/>
      <c r="G73" s="226"/>
      <c r="H73" s="226"/>
      <c r="I73" s="226"/>
      <c r="J73" s="226"/>
      <c r="K73" s="244"/>
      <c r="L73" s="225"/>
      <c r="M73" s="226"/>
      <c r="N73" s="231">
        <f t="shared" si="5"/>
        <v>636312.21970000002</v>
      </c>
      <c r="O73" s="225">
        <f t="shared" si="2"/>
        <v>0.60658574386999997</v>
      </c>
      <c r="P73" s="239">
        <f t="shared" si="3"/>
        <v>385977.92112029536</v>
      </c>
      <c r="Q73" s="240">
        <f t="shared" si="4"/>
        <v>0.01</v>
      </c>
      <c r="R73" s="241"/>
      <c r="S73" s="241"/>
      <c r="T73" s="1"/>
      <c r="U73" s="51"/>
      <c r="V73" s="242"/>
      <c r="W73" s="51"/>
      <c r="X73" s="242"/>
      <c r="Y73" s="1"/>
      <c r="Z73" s="1"/>
      <c r="AA73" s="243"/>
      <c r="AB73" s="19"/>
      <c r="AC73" s="19"/>
      <c r="AD73" s="1"/>
      <c r="AE73" s="1"/>
      <c r="AF73" s="19"/>
      <c r="AG73" s="1"/>
      <c r="AH73" s="1"/>
      <c r="AI73" s="1"/>
      <c r="AJ73" s="1"/>
      <c r="AK73" s="1"/>
    </row>
    <row r="74" spans="1:37" ht="15.75" customHeight="1" x14ac:dyDescent="0.25">
      <c r="A74" s="226"/>
      <c r="B74" s="226"/>
      <c r="C74" s="226"/>
      <c r="D74" s="245"/>
      <c r="E74" s="225"/>
      <c r="F74" s="247"/>
      <c r="G74" s="247"/>
      <c r="H74" s="230"/>
      <c r="I74" s="226"/>
      <c r="J74" s="226"/>
      <c r="K74" s="244"/>
      <c r="L74" s="225"/>
      <c r="M74" s="226"/>
      <c r="N74" s="231">
        <f t="shared" si="5"/>
        <v>0</v>
      </c>
      <c r="O74" s="225">
        <f t="shared" si="2"/>
        <v>0.62024485386999995</v>
      </c>
      <c r="P74" s="239">
        <f t="shared" si="3"/>
        <v>0</v>
      </c>
      <c r="Q74" s="240">
        <f t="shared" si="4"/>
        <v>0.01</v>
      </c>
      <c r="R74" s="241"/>
      <c r="S74" s="241"/>
      <c r="T74" s="1"/>
      <c r="U74" s="51"/>
      <c r="V74" s="242"/>
      <c r="W74" s="51"/>
      <c r="X74" s="242"/>
      <c r="Y74" s="1"/>
      <c r="Z74" s="1"/>
      <c r="AA74" s="243"/>
      <c r="AB74" s="19"/>
      <c r="AC74" s="19"/>
      <c r="AD74" s="1"/>
      <c r="AE74" s="1"/>
      <c r="AF74" s="19"/>
      <c r="AG74" s="1"/>
      <c r="AH74" s="1"/>
      <c r="AI74" s="1"/>
      <c r="AJ74" s="1"/>
      <c r="AK74" s="1"/>
    </row>
    <row r="75" spans="1:37" ht="15.75" customHeight="1" x14ac:dyDescent="0.25">
      <c r="A75" s="226"/>
      <c r="B75" s="226"/>
      <c r="C75" s="226"/>
      <c r="D75" s="226"/>
      <c r="E75" s="225"/>
      <c r="F75" s="226"/>
      <c r="G75" s="226"/>
      <c r="H75" s="226"/>
      <c r="I75" s="226"/>
      <c r="J75" s="226"/>
      <c r="K75" s="244"/>
      <c r="L75" s="225"/>
      <c r="M75" s="226"/>
      <c r="N75" s="231">
        <f t="shared" si="5"/>
        <v>89824.393987999996</v>
      </c>
      <c r="O75" s="225">
        <f t="shared" si="2"/>
        <v>8.2393310999999997E-2</v>
      </c>
      <c r="P75" s="239">
        <f t="shared" si="3"/>
        <v>7400.929229239814</v>
      </c>
      <c r="Q75" s="240">
        <f t="shared" si="4"/>
        <v>0.01</v>
      </c>
      <c r="R75" s="241"/>
      <c r="S75" s="241"/>
      <c r="T75" s="1"/>
      <c r="U75" s="51"/>
      <c r="V75" s="242"/>
      <c r="W75" s="51"/>
      <c r="X75" s="242"/>
      <c r="Y75" s="1"/>
      <c r="Z75" s="1"/>
      <c r="AA75" s="243"/>
      <c r="AB75" s="19"/>
      <c r="AC75" s="19"/>
      <c r="AD75" s="1"/>
      <c r="AE75" s="1"/>
      <c r="AF75" s="19"/>
      <c r="AG75" s="1"/>
      <c r="AH75" s="1"/>
      <c r="AI75" s="1"/>
      <c r="AJ75" s="1"/>
      <c r="AK75" s="1"/>
    </row>
    <row r="76" spans="1:37" ht="15.75" customHeight="1" x14ac:dyDescent="0.25">
      <c r="A76" s="226"/>
      <c r="B76" s="226"/>
      <c r="C76" s="226"/>
      <c r="D76" s="226"/>
      <c r="E76" s="225"/>
      <c r="F76" s="226"/>
      <c r="G76" s="226"/>
      <c r="H76" s="226"/>
      <c r="I76" s="226"/>
      <c r="J76" s="226"/>
      <c r="K76" s="244"/>
      <c r="L76" s="225"/>
      <c r="M76" s="226"/>
      <c r="N76" s="231">
        <f t="shared" si="5"/>
        <v>546487.82571999996</v>
      </c>
      <c r="O76" s="225">
        <f t="shared" si="2"/>
        <v>0.69274551798000006</v>
      </c>
      <c r="P76" s="239">
        <f t="shared" si="3"/>
        <v>378576.99189816538</v>
      </c>
      <c r="Q76" s="240">
        <f t="shared" si="4"/>
        <v>0.01</v>
      </c>
      <c r="R76" s="241"/>
      <c r="S76" s="241"/>
      <c r="T76" s="1"/>
      <c r="U76" s="51"/>
      <c r="V76" s="242"/>
      <c r="W76" s="51"/>
      <c r="X76" s="242"/>
      <c r="Y76" s="1"/>
      <c r="Z76" s="1"/>
      <c r="AA76" s="243"/>
      <c r="AB76" s="19"/>
      <c r="AC76" s="19"/>
      <c r="AD76" s="1"/>
      <c r="AE76" s="1"/>
      <c r="AF76" s="19"/>
      <c r="AG76" s="1"/>
      <c r="AH76" s="1"/>
      <c r="AI76" s="1"/>
      <c r="AJ76" s="1"/>
      <c r="AK76" s="1"/>
    </row>
    <row r="77" spans="1:37" ht="15.75" customHeight="1" x14ac:dyDescent="0.25">
      <c r="A77" s="226"/>
      <c r="B77" s="226"/>
      <c r="C77" s="226"/>
      <c r="D77" s="245"/>
      <c r="E77" s="225"/>
      <c r="F77" s="246"/>
      <c r="G77" s="226"/>
      <c r="H77" s="226"/>
      <c r="I77" s="226"/>
      <c r="J77" s="226"/>
      <c r="K77" s="244"/>
      <c r="L77" s="225"/>
      <c r="M77" s="226"/>
      <c r="N77" s="231">
        <f t="shared" si="5"/>
        <v>-3420</v>
      </c>
      <c r="O77" s="225">
        <f t="shared" si="2"/>
        <v>0.6864267409999999</v>
      </c>
      <c r="P77" s="239">
        <f t="shared" si="3"/>
        <v>-2347.5794542199997</v>
      </c>
      <c r="Q77" s="240">
        <f t="shared" si="4"/>
        <v>0.01</v>
      </c>
      <c r="R77" s="241"/>
      <c r="S77" s="241"/>
      <c r="T77" s="1"/>
      <c r="U77" s="51"/>
      <c r="V77" s="242"/>
      <c r="W77" s="51"/>
      <c r="X77" s="242"/>
      <c r="Y77" s="1"/>
      <c r="Z77" s="1"/>
      <c r="AA77" s="243"/>
      <c r="AB77" s="19"/>
      <c r="AC77" s="19"/>
      <c r="AD77" s="1"/>
      <c r="AE77" s="1"/>
      <c r="AF77" s="19"/>
      <c r="AG77" s="1"/>
      <c r="AH77" s="1"/>
      <c r="AI77" s="1"/>
      <c r="AJ77" s="1"/>
      <c r="AK77" s="1"/>
    </row>
    <row r="78" spans="1:37" ht="15.75" customHeight="1" x14ac:dyDescent="0.25">
      <c r="A78" s="226"/>
      <c r="B78" s="226"/>
      <c r="C78" s="226"/>
      <c r="D78" s="226"/>
      <c r="E78" s="225"/>
      <c r="F78" s="226"/>
      <c r="G78" s="226"/>
      <c r="H78" s="226"/>
      <c r="I78" s="226"/>
      <c r="J78" s="226"/>
      <c r="K78" s="244"/>
      <c r="L78" s="225"/>
      <c r="M78" s="226"/>
      <c r="N78" s="231">
        <f t="shared" si="5"/>
        <v>0</v>
      </c>
      <c r="O78" s="225">
        <f t="shared" si="2"/>
        <v>0</v>
      </c>
      <c r="P78" s="239">
        <f t="shared" si="3"/>
        <v>0</v>
      </c>
      <c r="Q78" s="240">
        <f t="shared" si="4"/>
        <v>0.01</v>
      </c>
      <c r="R78" s="241"/>
      <c r="S78" s="241"/>
      <c r="T78" s="1"/>
      <c r="U78" s="51"/>
      <c r="V78" s="242"/>
      <c r="W78" s="51"/>
      <c r="X78" s="242"/>
      <c r="Y78" s="1"/>
      <c r="Z78" s="1"/>
      <c r="AA78" s="243"/>
      <c r="AB78" s="19"/>
      <c r="AC78" s="19"/>
      <c r="AD78" s="1"/>
      <c r="AE78" s="1"/>
      <c r="AF78" s="19"/>
      <c r="AG78" s="1"/>
      <c r="AH78" s="1"/>
      <c r="AI78" s="1"/>
      <c r="AJ78" s="1"/>
      <c r="AK78" s="1"/>
    </row>
    <row r="79" spans="1:37" ht="15.75" customHeight="1" x14ac:dyDescent="0.25">
      <c r="A79" s="226"/>
      <c r="B79" s="226"/>
      <c r="C79" s="226"/>
      <c r="D79" s="226"/>
      <c r="E79" s="225"/>
      <c r="F79" s="226"/>
      <c r="G79" s="226"/>
      <c r="H79" s="226"/>
      <c r="I79" s="226"/>
      <c r="J79" s="226"/>
      <c r="K79" s="244"/>
      <c r="L79" s="225"/>
      <c r="M79" s="226"/>
      <c r="N79" s="231">
        <f t="shared" si="5"/>
        <v>549907.82571999996</v>
      </c>
      <c r="O79" s="225">
        <f t="shared" si="2"/>
        <v>0.69270622008999994</v>
      </c>
      <c r="P79" s="239">
        <f t="shared" si="3"/>
        <v>380924.57135241164</v>
      </c>
      <c r="Q79" s="240">
        <f t="shared" si="4"/>
        <v>0.01</v>
      </c>
      <c r="R79" s="241"/>
      <c r="S79" s="241"/>
      <c r="T79" s="1"/>
      <c r="U79" s="51"/>
      <c r="V79" s="242"/>
      <c r="W79" s="51"/>
      <c r="X79" s="242"/>
      <c r="Y79" s="1"/>
      <c r="Z79" s="1"/>
      <c r="AA79" s="243"/>
      <c r="AB79" s="19"/>
      <c r="AC79" s="19"/>
      <c r="AD79" s="1"/>
      <c r="AE79" s="1"/>
      <c r="AF79" s="19"/>
      <c r="AG79" s="1"/>
      <c r="AH79" s="1"/>
      <c r="AI79" s="1"/>
      <c r="AJ79" s="1"/>
      <c r="AK79" s="1"/>
    </row>
    <row r="80" spans="1:37" ht="15.75" customHeight="1" x14ac:dyDescent="0.25">
      <c r="A80" s="226"/>
      <c r="B80" s="226"/>
      <c r="C80" s="226"/>
      <c r="D80" s="226"/>
      <c r="E80" s="225"/>
      <c r="F80" s="245"/>
      <c r="G80" s="245"/>
      <c r="H80" s="226"/>
      <c r="I80" s="226"/>
      <c r="J80" s="226"/>
      <c r="K80" s="244"/>
      <c r="L80" s="225"/>
      <c r="M80" s="226"/>
      <c r="N80" s="231">
        <f t="shared" si="5"/>
        <v>227579.15859000001</v>
      </c>
      <c r="O80" s="225">
        <f t="shared" si="2"/>
        <v>0.68464692613</v>
      </c>
      <c r="P80" s="239">
        <f t="shared" si="3"/>
        <v>155811.37137989528</v>
      </c>
      <c r="Q80" s="240">
        <f t="shared" si="4"/>
        <v>0.01</v>
      </c>
      <c r="R80" s="241"/>
      <c r="S80" s="241"/>
      <c r="T80" s="1"/>
      <c r="U80" s="51"/>
      <c r="V80" s="242"/>
      <c r="W80" s="51"/>
      <c r="X80" s="242"/>
      <c r="Y80" s="1"/>
      <c r="Z80" s="1"/>
      <c r="AA80" s="243"/>
      <c r="AB80" s="19"/>
      <c r="AC80" s="19"/>
      <c r="AD80" s="1"/>
      <c r="AE80" s="1"/>
      <c r="AF80" s="19"/>
      <c r="AG80" s="1"/>
      <c r="AH80" s="1"/>
      <c r="AI80" s="1"/>
      <c r="AJ80" s="1"/>
      <c r="AK80" s="1"/>
    </row>
    <row r="81" spans="1:37" ht="15.75" customHeight="1" x14ac:dyDescent="0.25">
      <c r="A81" s="226"/>
      <c r="B81" s="226"/>
      <c r="C81" s="226"/>
      <c r="D81" s="226"/>
      <c r="E81" s="225"/>
      <c r="F81" s="226"/>
      <c r="G81" s="226"/>
      <c r="H81" s="226"/>
      <c r="I81" s="226"/>
      <c r="J81" s="226"/>
      <c r="K81" s="244"/>
      <c r="L81" s="225"/>
      <c r="M81" s="226"/>
      <c r="N81" s="231">
        <f t="shared" si="5"/>
        <v>322328.66713000002</v>
      </c>
      <c r="O81" s="225">
        <f t="shared" si="2"/>
        <v>0.69839645966000008</v>
      </c>
      <c r="P81" s="239">
        <f t="shared" si="3"/>
        <v>225113.19997051865</v>
      </c>
      <c r="Q81" s="240">
        <f t="shared" si="4"/>
        <v>0.01</v>
      </c>
      <c r="R81" s="241"/>
      <c r="S81" s="241"/>
      <c r="T81" s="1"/>
      <c r="U81" s="51"/>
      <c r="V81" s="242"/>
      <c r="W81" s="51"/>
      <c r="X81" s="242"/>
      <c r="Y81" s="1"/>
      <c r="Z81" s="1"/>
      <c r="AA81" s="243"/>
      <c r="AB81" s="19"/>
      <c r="AC81" s="19"/>
      <c r="AD81" s="1"/>
      <c r="AE81" s="1"/>
      <c r="AF81" s="19"/>
      <c r="AG81" s="1"/>
      <c r="AH81" s="1"/>
      <c r="AI81" s="1"/>
      <c r="AJ81" s="1"/>
      <c r="AK81" s="1"/>
    </row>
    <row r="82" spans="1:37" ht="15.75" customHeight="1" x14ac:dyDescent="0.25">
      <c r="A82" s="226"/>
      <c r="B82" s="226"/>
      <c r="C82" s="226"/>
      <c r="D82" s="245"/>
      <c r="E82" s="225"/>
      <c r="F82" s="226"/>
      <c r="G82" s="226"/>
      <c r="H82" s="226"/>
      <c r="I82" s="226"/>
      <c r="J82" s="226"/>
      <c r="K82" s="244"/>
      <c r="L82" s="225"/>
      <c r="M82" s="226"/>
      <c r="N82" s="231">
        <f t="shared" si="5"/>
        <v>0</v>
      </c>
      <c r="O82" s="225">
        <f t="shared" si="2"/>
        <v>0.68799980055999999</v>
      </c>
      <c r="P82" s="239">
        <f t="shared" si="3"/>
        <v>0</v>
      </c>
      <c r="Q82" s="240">
        <f t="shared" si="4"/>
        <v>0.01</v>
      </c>
      <c r="R82" s="241"/>
      <c r="S82" s="241"/>
      <c r="T82" s="1"/>
      <c r="U82" s="51"/>
      <c r="V82" s="242"/>
      <c r="W82" s="51"/>
      <c r="X82" s="242"/>
      <c r="Y82" s="1"/>
      <c r="Z82" s="1"/>
      <c r="AA82" s="243"/>
      <c r="AB82" s="19"/>
      <c r="AC82" s="19"/>
      <c r="AD82" s="1"/>
      <c r="AE82" s="1"/>
      <c r="AF82" s="19"/>
      <c r="AG82" s="1"/>
      <c r="AH82" s="1"/>
      <c r="AI82" s="1"/>
      <c r="AJ82" s="1"/>
      <c r="AK82" s="1"/>
    </row>
    <row r="83" spans="1:37" ht="15.75" customHeight="1" x14ac:dyDescent="0.25">
      <c r="A83" s="226"/>
      <c r="B83" s="226"/>
      <c r="C83" s="226"/>
      <c r="D83" s="226"/>
      <c r="E83" s="225"/>
      <c r="F83" s="226"/>
      <c r="G83" s="226"/>
      <c r="H83" s="226"/>
      <c r="I83" s="226"/>
      <c r="J83" s="226"/>
      <c r="K83" s="244"/>
      <c r="L83" s="225"/>
      <c r="M83" s="226"/>
      <c r="N83" s="231">
        <f t="shared" si="5"/>
        <v>4483.2769841999998</v>
      </c>
      <c r="O83" s="225">
        <f t="shared" si="2"/>
        <v>0.67356722755999998</v>
      </c>
      <c r="P83" s="239">
        <f t="shared" si="3"/>
        <v>3019.7884486311518</v>
      </c>
      <c r="Q83" s="240">
        <f t="shared" si="4"/>
        <v>0.01</v>
      </c>
      <c r="R83" s="241"/>
      <c r="S83" s="241"/>
      <c r="T83" s="1"/>
      <c r="U83" s="51"/>
      <c r="V83" s="242"/>
      <c r="W83" s="51"/>
      <c r="X83" s="242"/>
      <c r="Y83" s="1"/>
      <c r="Z83" s="1"/>
      <c r="AA83" s="243"/>
      <c r="AB83" s="19"/>
      <c r="AC83" s="19"/>
      <c r="AD83" s="1"/>
      <c r="AE83" s="1"/>
      <c r="AF83" s="19"/>
      <c r="AG83" s="1"/>
      <c r="AH83" s="1"/>
      <c r="AI83" s="1"/>
      <c r="AJ83" s="1"/>
      <c r="AK83" s="1"/>
    </row>
    <row r="84" spans="1:37" ht="15.75" customHeight="1" x14ac:dyDescent="0.25">
      <c r="A84" s="226"/>
      <c r="B84" s="226"/>
      <c r="C84" s="226"/>
      <c r="D84" s="245"/>
      <c r="E84" s="225"/>
      <c r="F84" s="246"/>
      <c r="G84" s="246"/>
      <c r="H84" s="226"/>
      <c r="I84" s="226"/>
      <c r="J84" s="226"/>
      <c r="K84" s="244"/>
      <c r="L84" s="225"/>
      <c r="M84" s="226"/>
      <c r="N84" s="231">
        <f t="shared" si="5"/>
        <v>0</v>
      </c>
      <c r="O84" s="225">
        <f t="shared" si="2"/>
        <v>0</v>
      </c>
      <c r="P84" s="239">
        <f t="shared" si="3"/>
        <v>0</v>
      </c>
      <c r="Q84" s="240">
        <f t="shared" si="4"/>
        <v>0.01</v>
      </c>
      <c r="R84" s="241"/>
      <c r="S84" s="241"/>
      <c r="T84" s="1"/>
      <c r="U84" s="51"/>
      <c r="V84" s="242"/>
      <c r="W84" s="51"/>
      <c r="X84" s="242"/>
      <c r="Y84" s="1"/>
      <c r="Z84" s="1"/>
      <c r="AA84" s="243"/>
      <c r="AB84" s="19"/>
      <c r="AC84" s="19"/>
      <c r="AD84" s="1"/>
      <c r="AE84" s="1"/>
      <c r="AF84" s="19"/>
      <c r="AG84" s="1"/>
      <c r="AH84" s="1"/>
      <c r="AI84" s="1"/>
      <c r="AJ84" s="1"/>
      <c r="AK84" s="1"/>
    </row>
    <row r="85" spans="1:37" ht="15.75" customHeight="1" x14ac:dyDescent="0.25">
      <c r="A85" s="226"/>
      <c r="B85" s="226"/>
      <c r="C85" s="226"/>
      <c r="D85" s="226"/>
      <c r="E85" s="225"/>
      <c r="F85" s="226"/>
      <c r="G85" s="226"/>
      <c r="H85" s="226"/>
      <c r="I85" s="226"/>
      <c r="J85" s="226"/>
      <c r="K85" s="244"/>
      <c r="L85" s="225"/>
      <c r="M85" s="226"/>
      <c r="N85" s="231">
        <f t="shared" si="5"/>
        <v>0</v>
      </c>
      <c r="O85" s="225">
        <f t="shared" si="2"/>
        <v>0</v>
      </c>
      <c r="P85" s="239">
        <f t="shared" si="3"/>
        <v>0</v>
      </c>
      <c r="Q85" s="240">
        <f t="shared" si="4"/>
        <v>0.01</v>
      </c>
      <c r="R85" s="241"/>
      <c r="S85" s="241"/>
      <c r="T85" s="1"/>
      <c r="U85" s="51"/>
      <c r="V85" s="242"/>
      <c r="W85" s="51"/>
      <c r="X85" s="242"/>
      <c r="Y85" s="1"/>
      <c r="Z85" s="1"/>
      <c r="AA85" s="243"/>
      <c r="AB85" s="19"/>
      <c r="AC85" s="19"/>
      <c r="AD85" s="1"/>
      <c r="AE85" s="1"/>
      <c r="AF85" s="19"/>
      <c r="AG85" s="1"/>
      <c r="AH85" s="1"/>
      <c r="AI85" s="1"/>
      <c r="AJ85" s="1"/>
      <c r="AK85" s="1"/>
    </row>
    <row r="86" spans="1:37" ht="15.75" customHeight="1" x14ac:dyDescent="0.25">
      <c r="A86" s="226"/>
      <c r="B86" s="226"/>
      <c r="C86" s="226"/>
      <c r="D86" s="226"/>
      <c r="E86" s="225"/>
      <c r="F86" s="226"/>
      <c r="G86" s="226"/>
      <c r="H86" s="226"/>
      <c r="I86" s="226"/>
      <c r="J86" s="226"/>
      <c r="K86" s="244"/>
      <c r="L86" s="225"/>
      <c r="M86" s="226"/>
      <c r="N86" s="231">
        <f t="shared" si="5"/>
        <v>4483.2769841999998</v>
      </c>
      <c r="O86" s="225">
        <f t="shared" si="2"/>
        <v>0.67356722755999998</v>
      </c>
      <c r="P86" s="239">
        <f t="shared" si="3"/>
        <v>3019.7884486311518</v>
      </c>
      <c r="Q86" s="240">
        <f t="shared" si="4"/>
        <v>0.01</v>
      </c>
      <c r="R86" s="241"/>
      <c r="S86" s="241"/>
      <c r="T86" s="1"/>
      <c r="U86" s="51"/>
      <c r="V86" s="242"/>
      <c r="W86" s="51"/>
      <c r="X86" s="242"/>
      <c r="Y86" s="1"/>
      <c r="Z86" s="1"/>
      <c r="AA86" s="243"/>
      <c r="AB86" s="19"/>
      <c r="AC86" s="19"/>
      <c r="AD86" s="1"/>
      <c r="AE86" s="1"/>
      <c r="AF86" s="19"/>
      <c r="AG86" s="1"/>
      <c r="AH86" s="1"/>
      <c r="AI86" s="1"/>
      <c r="AJ86" s="1"/>
      <c r="AK86" s="1"/>
    </row>
    <row r="87" spans="1:37" ht="15.75" customHeight="1" x14ac:dyDescent="0.25">
      <c r="A87" s="226"/>
      <c r="B87" s="226"/>
      <c r="C87" s="226"/>
      <c r="D87" s="226"/>
      <c r="E87" s="225"/>
      <c r="F87" s="226"/>
      <c r="G87" s="226"/>
      <c r="H87" s="226"/>
      <c r="I87" s="226"/>
      <c r="J87" s="226"/>
      <c r="K87" s="244"/>
      <c r="L87" s="225"/>
      <c r="M87" s="245"/>
      <c r="N87" s="231">
        <f t="shared" si="5"/>
        <v>223095.88159999999</v>
      </c>
      <c r="O87" s="225">
        <f t="shared" si="2"/>
        <v>0.68486958087999994</v>
      </c>
      <c r="P87" s="239">
        <f t="shared" si="3"/>
        <v>152791.58292744608</v>
      </c>
      <c r="Q87" s="240">
        <f t="shared" si="4"/>
        <v>0.01</v>
      </c>
      <c r="R87" s="241"/>
      <c r="S87" s="241"/>
      <c r="T87" s="1"/>
      <c r="U87" s="51"/>
      <c r="V87" s="242"/>
      <c r="W87" s="51"/>
      <c r="X87" s="242"/>
      <c r="Y87" s="1"/>
      <c r="Z87" s="1"/>
      <c r="AA87" s="243"/>
      <c r="AB87" s="19"/>
      <c r="AC87" s="19"/>
      <c r="AD87" s="1"/>
      <c r="AE87" s="1"/>
      <c r="AF87" s="19"/>
      <c r="AG87" s="1"/>
      <c r="AH87" s="1"/>
      <c r="AI87" s="1"/>
      <c r="AJ87" s="1"/>
      <c r="AK87" s="1"/>
    </row>
    <row r="88" spans="1:37" ht="15.75" customHeight="1" x14ac:dyDescent="0.25">
      <c r="A88" s="226"/>
      <c r="B88" s="226"/>
      <c r="C88" s="226"/>
      <c r="D88" s="245"/>
      <c r="E88" s="225"/>
      <c r="F88" s="246"/>
      <c r="G88" s="246"/>
      <c r="H88" s="226"/>
      <c r="I88" s="226"/>
      <c r="J88" s="226"/>
      <c r="K88" s="244"/>
      <c r="L88" s="225"/>
      <c r="M88" s="226"/>
      <c r="N88" s="231">
        <f t="shared" si="5"/>
        <v>14003.438187</v>
      </c>
      <c r="O88" s="225">
        <f t="shared" si="2"/>
        <v>0.68231229500000001</v>
      </c>
      <c r="P88" s="239">
        <f t="shared" si="3"/>
        <v>9554.7180472626096</v>
      </c>
      <c r="Q88" s="240">
        <f t="shared" si="4"/>
        <v>0.01</v>
      </c>
      <c r="R88" s="241"/>
      <c r="S88" s="241"/>
      <c r="T88" s="1"/>
      <c r="U88" s="51"/>
      <c r="V88" s="242"/>
      <c r="W88" s="51"/>
      <c r="X88" s="242"/>
      <c r="Y88" s="1"/>
      <c r="Z88" s="1"/>
      <c r="AA88" s="243"/>
      <c r="AB88" s="19"/>
      <c r="AC88" s="19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5">
      <c r="A89" s="226"/>
      <c r="B89" s="226"/>
      <c r="C89" s="226"/>
      <c r="D89" s="226"/>
      <c r="E89" s="225"/>
      <c r="F89" s="226"/>
      <c r="G89" s="226"/>
      <c r="H89" s="226"/>
      <c r="I89" s="226"/>
      <c r="J89" s="226"/>
      <c r="K89" s="244"/>
      <c r="L89" s="225"/>
      <c r="M89" s="226"/>
      <c r="N89" s="231">
        <f t="shared" si="5"/>
        <v>213575.72039999999</v>
      </c>
      <c r="O89" s="225">
        <f t="shared" si="2"/>
        <v>0.68480000000000008</v>
      </c>
      <c r="P89" s="239">
        <f t="shared" si="3"/>
        <v>146256.65332992002</v>
      </c>
      <c r="Q89" s="240">
        <f t="shared" si="4"/>
        <v>0.01</v>
      </c>
      <c r="R89" s="241"/>
      <c r="S89" s="241"/>
      <c r="T89" s="1"/>
      <c r="U89" s="51"/>
      <c r="V89" s="242"/>
      <c r="W89" s="51"/>
      <c r="X89" s="242"/>
      <c r="Y89" s="1"/>
      <c r="Z89" s="1"/>
      <c r="AA89" s="243"/>
      <c r="AB89" s="19"/>
      <c r="AC89" s="19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5">
      <c r="A90" s="226"/>
      <c r="B90" s="226"/>
      <c r="C90" s="226"/>
      <c r="D90" s="226"/>
      <c r="E90" s="225"/>
      <c r="F90" s="226"/>
      <c r="G90" s="226"/>
      <c r="H90" s="226"/>
      <c r="I90" s="226"/>
      <c r="J90" s="226"/>
      <c r="K90" s="244"/>
      <c r="L90" s="225"/>
      <c r="M90" s="226"/>
      <c r="N90" s="231">
        <f t="shared" si="5"/>
        <v>19778.259667999999</v>
      </c>
      <c r="O90" s="225">
        <f t="shared" si="2"/>
        <v>0</v>
      </c>
      <c r="P90" s="239">
        <f t="shared" si="3"/>
        <v>0</v>
      </c>
      <c r="Q90" s="240">
        <f t="shared" si="4"/>
        <v>0.01</v>
      </c>
      <c r="R90" s="241"/>
      <c r="S90" s="241"/>
      <c r="T90" s="1"/>
      <c r="U90" s="51"/>
      <c r="V90" s="242"/>
      <c r="W90" s="51"/>
      <c r="X90" s="242"/>
      <c r="Y90" s="1"/>
      <c r="Z90" s="1"/>
      <c r="AA90" s="243"/>
      <c r="AB90" s="19"/>
      <c r="AC90" s="19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5">
      <c r="A91" s="226"/>
      <c r="B91" s="226"/>
      <c r="C91" s="226"/>
      <c r="D91" s="226"/>
      <c r="E91" s="225"/>
      <c r="F91" s="245"/>
      <c r="G91" s="245"/>
      <c r="H91" s="245"/>
      <c r="I91" s="226"/>
      <c r="J91" s="226"/>
      <c r="K91" s="244"/>
      <c r="L91" s="225"/>
      <c r="M91" s="226"/>
      <c r="N91" s="231">
        <f t="shared" si="5"/>
        <v>342106.92680000002</v>
      </c>
      <c r="O91" s="225">
        <f t="shared" si="2"/>
        <v>0.65802000000000005</v>
      </c>
      <c r="P91" s="239">
        <f t="shared" si="3"/>
        <v>225113.19997293604</v>
      </c>
      <c r="Q91" s="240">
        <f t="shared" si="4"/>
        <v>0.01</v>
      </c>
      <c r="R91" s="241"/>
      <c r="S91" s="241"/>
      <c r="T91" s="1"/>
      <c r="U91" s="51"/>
      <c r="V91" s="242"/>
      <c r="W91" s="51"/>
      <c r="X91" s="24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5">
      <c r="A92" s="226"/>
      <c r="B92" s="226"/>
      <c r="C92" s="226"/>
      <c r="D92" s="226"/>
      <c r="E92" s="225"/>
      <c r="F92" s="226"/>
      <c r="G92" s="226"/>
      <c r="H92" s="226"/>
      <c r="I92" s="226"/>
      <c r="J92" s="226"/>
      <c r="K92" s="244"/>
      <c r="L92" s="225"/>
      <c r="M92" s="226"/>
      <c r="N92" s="231">
        <f t="shared" si="5"/>
        <v>2947.0469229</v>
      </c>
      <c r="O92" s="225">
        <f t="shared" si="2"/>
        <v>0.65064999999999995</v>
      </c>
      <c r="P92" s="239">
        <f t="shared" si="3"/>
        <v>1917.4960803848849</v>
      </c>
      <c r="Q92" s="240">
        <f t="shared" si="4"/>
        <v>0.01</v>
      </c>
      <c r="R92" s="241"/>
      <c r="S92" s="241"/>
      <c r="T92" s="1"/>
      <c r="U92" s="51"/>
      <c r="V92" s="242"/>
      <c r="W92" s="51"/>
      <c r="X92" s="242"/>
      <c r="Y92" s="1"/>
      <c r="Z92" s="1"/>
      <c r="AA92" s="1"/>
      <c r="AB92" s="1"/>
      <c r="AC92" s="19"/>
      <c r="AD92" s="51"/>
      <c r="AE92" s="1"/>
      <c r="AF92" s="1"/>
      <c r="AG92" s="1"/>
      <c r="AH92" s="1"/>
      <c r="AI92" s="1"/>
      <c r="AJ92" s="1"/>
      <c r="AK92" s="1"/>
    </row>
    <row r="93" spans="1:37" ht="15.75" customHeight="1" x14ac:dyDescent="0.35">
      <c r="A93" s="226"/>
      <c r="B93" s="226"/>
      <c r="C93" s="226"/>
      <c r="D93" s="245"/>
      <c r="E93" s="225"/>
      <c r="F93" s="246"/>
      <c r="G93" s="246"/>
      <c r="H93" s="226"/>
      <c r="I93" s="226"/>
      <c r="J93" s="226"/>
      <c r="K93" s="244"/>
      <c r="L93" s="225"/>
      <c r="M93" s="226"/>
      <c r="N93" s="231">
        <f t="shared" si="5"/>
        <v>1775.0469229</v>
      </c>
      <c r="O93" s="225">
        <f t="shared" si="2"/>
        <v>0.67708698</v>
      </c>
      <c r="P93" s="239">
        <f t="shared" si="3"/>
        <v>1201.8611603846539</v>
      </c>
      <c r="Q93" s="240">
        <f t="shared" si="4"/>
        <v>0.01</v>
      </c>
      <c r="R93" s="241"/>
      <c r="S93" s="241"/>
      <c r="T93" s="1"/>
      <c r="U93" s="51"/>
      <c r="V93" s="242"/>
      <c r="W93" s="51"/>
      <c r="X93" s="242"/>
      <c r="Y93" s="1"/>
      <c r="Z93" s="1"/>
      <c r="AA93" s="248"/>
      <c r="AB93" s="248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5">
      <c r="A94" s="226"/>
      <c r="B94" s="226"/>
      <c r="C94" s="226"/>
      <c r="D94" s="245"/>
      <c r="E94" s="225"/>
      <c r="F94" s="246"/>
      <c r="G94" s="246"/>
      <c r="H94" s="226"/>
      <c r="I94" s="226"/>
      <c r="J94" s="226"/>
      <c r="K94" s="244"/>
      <c r="L94" s="225"/>
      <c r="M94" s="226"/>
      <c r="N94" s="231">
        <f t="shared" si="5"/>
        <v>1471.68</v>
      </c>
      <c r="O94" s="225">
        <f t="shared" si="2"/>
        <v>0.65064999999999995</v>
      </c>
      <c r="P94" s="239">
        <f t="shared" si="3"/>
        <v>957.54859199999999</v>
      </c>
      <c r="Q94" s="240">
        <f t="shared" si="4"/>
        <v>0.01</v>
      </c>
      <c r="R94" s="241"/>
      <c r="S94" s="241"/>
      <c r="T94" s="1"/>
      <c r="U94" s="51"/>
      <c r="V94" s="242"/>
      <c r="W94" s="51"/>
      <c r="X94" s="24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5">
      <c r="A95" s="226"/>
      <c r="B95" s="226"/>
      <c r="C95" s="226"/>
      <c r="D95" s="245"/>
      <c r="E95" s="225"/>
      <c r="F95" s="246"/>
      <c r="G95" s="226"/>
      <c r="H95" s="226"/>
      <c r="I95" s="226"/>
      <c r="J95" s="226"/>
      <c r="K95" s="244"/>
      <c r="L95" s="225"/>
      <c r="M95" s="226"/>
      <c r="N95" s="231">
        <f t="shared" si="5"/>
        <v>1471.68</v>
      </c>
      <c r="O95" s="225">
        <f t="shared" si="2"/>
        <v>0.65064999999999995</v>
      </c>
      <c r="P95" s="239">
        <f t="shared" si="3"/>
        <v>957.54859199999999</v>
      </c>
      <c r="Q95" s="240">
        <f t="shared" si="4"/>
        <v>0.01</v>
      </c>
      <c r="R95" s="241"/>
      <c r="S95" s="241"/>
      <c r="T95" s="1"/>
      <c r="U95" s="51"/>
      <c r="V95" s="242"/>
      <c r="W95" s="51"/>
      <c r="X95" s="24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5">
      <c r="A96" s="226"/>
      <c r="B96" s="226"/>
      <c r="C96" s="226"/>
      <c r="D96" s="226"/>
      <c r="E96" s="225"/>
      <c r="F96" s="226"/>
      <c r="G96" s="226"/>
      <c r="H96" s="226"/>
      <c r="I96" s="226"/>
      <c r="J96" s="226"/>
      <c r="K96" s="244"/>
      <c r="L96" s="225"/>
      <c r="M96" s="226"/>
      <c r="N96" s="231">
        <f t="shared" si="5"/>
        <v>1183.9251262</v>
      </c>
      <c r="O96" s="225">
        <f t="shared" si="2"/>
        <v>0</v>
      </c>
      <c r="P96" s="239">
        <f t="shared" si="3"/>
        <v>0</v>
      </c>
      <c r="Q96" s="240">
        <f t="shared" si="4"/>
        <v>0.01</v>
      </c>
      <c r="R96" s="241"/>
      <c r="S96" s="241"/>
      <c r="T96" s="1"/>
      <c r="U96" s="51"/>
      <c r="V96" s="242"/>
      <c r="W96" s="51"/>
      <c r="X96" s="24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5">
      <c r="A97" s="226"/>
      <c r="B97" s="226"/>
      <c r="C97" s="226"/>
      <c r="D97" s="245"/>
      <c r="E97" s="225"/>
      <c r="F97" s="226"/>
      <c r="G97" s="226"/>
      <c r="H97" s="226"/>
      <c r="I97" s="226"/>
      <c r="J97" s="226"/>
      <c r="K97" s="244"/>
      <c r="L97" s="225"/>
      <c r="M97" s="226"/>
      <c r="N97" s="231">
        <f t="shared" si="5"/>
        <v>0</v>
      </c>
      <c r="O97" s="225">
        <f t="shared" si="2"/>
        <v>0.64999997253999997</v>
      </c>
      <c r="P97" s="239">
        <f t="shared" si="3"/>
        <v>0</v>
      </c>
      <c r="Q97" s="240">
        <f t="shared" si="4"/>
        <v>0.01</v>
      </c>
      <c r="R97" s="241"/>
      <c r="S97" s="241"/>
      <c r="T97" s="1"/>
      <c r="U97" s="51"/>
      <c r="V97" s="242"/>
      <c r="W97" s="51"/>
      <c r="X97" s="24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5">
      <c r="A98" s="226"/>
      <c r="B98" s="226"/>
      <c r="C98" s="226"/>
      <c r="D98" s="226"/>
      <c r="E98" s="225"/>
      <c r="F98" s="226"/>
      <c r="G98" s="226"/>
      <c r="H98" s="226"/>
      <c r="I98" s="226"/>
      <c r="J98" s="226"/>
      <c r="K98" s="244"/>
      <c r="L98" s="225"/>
      <c r="M98" s="226"/>
      <c r="N98" s="231">
        <f t="shared" si="5"/>
        <v>338872.125</v>
      </c>
      <c r="O98" s="225">
        <f t="shared" si="2"/>
        <v>0.65581716200000006</v>
      </c>
      <c r="P98" s="239">
        <f t="shared" si="3"/>
        <v>222238.15529840929</v>
      </c>
      <c r="Q98" s="240">
        <f t="shared" si="4"/>
        <v>0.01</v>
      </c>
      <c r="R98" s="241"/>
      <c r="S98" s="241"/>
      <c r="T98" s="1"/>
      <c r="U98" s="51"/>
      <c r="V98" s="242"/>
      <c r="W98" s="51"/>
      <c r="X98" s="24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5">
      <c r="A99" s="226"/>
      <c r="B99" s="226"/>
      <c r="C99" s="226"/>
      <c r="D99" s="226"/>
      <c r="E99" s="225"/>
      <c r="F99" s="226"/>
      <c r="G99" s="226"/>
      <c r="H99" s="226"/>
      <c r="I99" s="226"/>
      <c r="J99" s="226"/>
      <c r="K99" s="244"/>
      <c r="L99" s="225"/>
      <c r="M99" s="226"/>
      <c r="N99" s="231">
        <f t="shared" si="5"/>
        <v>0</v>
      </c>
      <c r="O99" s="225">
        <f t="shared" si="2"/>
        <v>0</v>
      </c>
      <c r="P99" s="239">
        <f t="shared" si="3"/>
        <v>0</v>
      </c>
      <c r="Q99" s="240">
        <f t="shared" si="4"/>
        <v>0.01</v>
      </c>
      <c r="R99" s="241"/>
      <c r="S99" s="241"/>
      <c r="T99" s="1"/>
      <c r="U99" s="51"/>
      <c r="V99" s="242"/>
      <c r="W99" s="51"/>
      <c r="X99" s="24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5">
      <c r="A100" s="226"/>
      <c r="B100" s="226"/>
      <c r="C100" s="226"/>
      <c r="D100" s="245"/>
      <c r="E100" s="225"/>
      <c r="F100" s="246"/>
      <c r="G100" s="246"/>
      <c r="H100" s="226"/>
      <c r="I100" s="226"/>
      <c r="J100" s="226"/>
      <c r="K100" s="244"/>
      <c r="L100" s="225"/>
      <c r="M100" s="226"/>
      <c r="N100" s="231">
        <f t="shared" si="5"/>
        <v>0</v>
      </c>
      <c r="O100" s="225">
        <f t="shared" si="2"/>
        <v>0.6547558281000001</v>
      </c>
      <c r="P100" s="239">
        <f t="shared" si="3"/>
        <v>0</v>
      </c>
      <c r="Q100" s="240">
        <f t="shared" si="4"/>
        <v>0.01</v>
      </c>
      <c r="R100" s="241"/>
      <c r="S100" s="241"/>
      <c r="T100" s="1"/>
      <c r="U100" s="51"/>
      <c r="V100" s="242"/>
      <c r="W100" s="51"/>
      <c r="X100" s="24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5">
      <c r="A101" s="226"/>
      <c r="B101" s="226"/>
      <c r="C101" s="226"/>
      <c r="D101" s="245"/>
      <c r="E101" s="225"/>
      <c r="F101" s="247"/>
      <c r="G101" s="247"/>
      <c r="H101" s="230"/>
      <c r="I101" s="226"/>
      <c r="J101" s="226"/>
      <c r="K101" s="244"/>
      <c r="L101" s="225"/>
      <c r="M101" s="226"/>
      <c r="N101" s="231">
        <f t="shared" si="5"/>
        <v>15298.125</v>
      </c>
      <c r="O101" s="225">
        <f t="shared" si="2"/>
        <v>0.65581716200000006</v>
      </c>
      <c r="P101" s="239">
        <f t="shared" si="3"/>
        <v>10032.77292142125</v>
      </c>
      <c r="Q101" s="240">
        <f t="shared" si="4"/>
        <v>0.01</v>
      </c>
      <c r="R101" s="241"/>
      <c r="S101" s="241"/>
      <c r="T101" s="1"/>
      <c r="U101" s="51"/>
      <c r="V101" s="242"/>
      <c r="W101" s="51"/>
      <c r="X101" s="24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5">
      <c r="A102" s="226"/>
      <c r="B102" s="226"/>
      <c r="C102" s="226"/>
      <c r="D102" s="245"/>
      <c r="E102" s="225"/>
      <c r="F102" s="246"/>
      <c r="G102" s="246"/>
      <c r="H102" s="226"/>
      <c r="I102" s="226"/>
      <c r="J102" s="226"/>
      <c r="K102" s="244"/>
      <c r="L102" s="225"/>
      <c r="M102" s="226"/>
      <c r="N102" s="231">
        <f t="shared" si="5"/>
        <v>-12534.875</v>
      </c>
      <c r="O102" s="225">
        <f t="shared" si="2"/>
        <v>0.6563852362</v>
      </c>
      <c r="P102" s="239">
        <f t="shared" si="3"/>
        <v>-8227.7068876124758</v>
      </c>
      <c r="Q102" s="240">
        <f t="shared" si="4"/>
        <v>0.01</v>
      </c>
      <c r="R102" s="241"/>
      <c r="S102" s="241"/>
      <c r="T102" s="1"/>
      <c r="U102" s="51"/>
      <c r="V102" s="242"/>
      <c r="W102" s="51"/>
      <c r="X102" s="24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5">
      <c r="A103" s="226"/>
      <c r="B103" s="226"/>
      <c r="C103" s="226"/>
      <c r="D103" s="226"/>
      <c r="E103" s="225"/>
      <c r="F103" s="226"/>
      <c r="G103" s="226"/>
      <c r="H103" s="226"/>
      <c r="I103" s="226"/>
      <c r="J103" s="226"/>
      <c r="K103" s="244"/>
      <c r="L103" s="225"/>
      <c r="M103" s="226"/>
      <c r="N103" s="231">
        <f t="shared" si="5"/>
        <v>323574</v>
      </c>
      <c r="O103" s="225">
        <f t="shared" si="2"/>
        <v>0.65581716200000006</v>
      </c>
      <c r="P103" s="239">
        <f t="shared" si="3"/>
        <v>212205.38237698801</v>
      </c>
      <c r="Q103" s="240">
        <f t="shared" si="4"/>
        <v>0.01</v>
      </c>
      <c r="R103" s="241"/>
      <c r="S103" s="241"/>
      <c r="T103" s="1"/>
      <c r="U103" s="51"/>
      <c r="V103" s="242"/>
      <c r="W103" s="51"/>
      <c r="X103" s="24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5">
      <c r="A104" s="226"/>
      <c r="B104" s="226"/>
      <c r="C104" s="226"/>
      <c r="D104" s="245"/>
      <c r="E104" s="225"/>
      <c r="F104" s="246"/>
      <c r="G104" s="246"/>
      <c r="H104" s="226"/>
      <c r="I104" s="226"/>
      <c r="J104" s="226"/>
      <c r="K104" s="244"/>
      <c r="L104" s="225"/>
      <c r="M104" s="226"/>
      <c r="N104" s="231">
        <f t="shared" si="5"/>
        <v>-142424.88946000001</v>
      </c>
      <c r="O104" s="225">
        <f t="shared" si="2"/>
        <v>0.65038271868999997</v>
      </c>
      <c r="P104" s="239">
        <f t="shared" si="3"/>
        <v>-92630.686816117523</v>
      </c>
      <c r="Q104" s="240">
        <f t="shared" si="4"/>
        <v>0.01</v>
      </c>
      <c r="R104" s="241"/>
      <c r="S104" s="241"/>
      <c r="T104" s="1"/>
      <c r="U104" s="51"/>
      <c r="V104" s="242"/>
      <c r="W104" s="51"/>
      <c r="X104" s="24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5">
      <c r="A105" s="226"/>
      <c r="B105" s="226"/>
      <c r="C105" s="226"/>
      <c r="D105" s="226"/>
      <c r="E105" s="225"/>
      <c r="F105" s="226"/>
      <c r="G105" s="226"/>
      <c r="H105" s="226"/>
      <c r="I105" s="226"/>
      <c r="J105" s="226"/>
      <c r="K105" s="244"/>
      <c r="L105" s="225"/>
      <c r="M105" s="226"/>
      <c r="N105" s="231">
        <f t="shared" si="5"/>
        <v>482015.88945999998</v>
      </c>
      <c r="O105" s="225">
        <f t="shared" si="2"/>
        <v>0.654756</v>
      </c>
      <c r="P105" s="239">
        <f t="shared" si="3"/>
        <v>315602.79571927176</v>
      </c>
      <c r="Q105" s="240">
        <f t="shared" si="4"/>
        <v>0.01</v>
      </c>
      <c r="R105" s="241"/>
      <c r="S105" s="241"/>
      <c r="T105" s="1"/>
      <c r="U105" s="51"/>
      <c r="V105" s="242"/>
      <c r="W105" s="51"/>
      <c r="X105" s="24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5">
      <c r="A106" s="226"/>
      <c r="B106" s="226"/>
      <c r="C106" s="226"/>
      <c r="D106" s="226"/>
      <c r="E106" s="225"/>
      <c r="F106" s="226"/>
      <c r="G106" s="226"/>
      <c r="H106" s="226"/>
      <c r="I106" s="226"/>
      <c r="J106" s="226"/>
      <c r="K106" s="244"/>
      <c r="L106" s="225"/>
      <c r="M106" s="226"/>
      <c r="N106" s="231">
        <f t="shared" si="5"/>
        <v>7677.9</v>
      </c>
      <c r="O106" s="225">
        <f t="shared" si="2"/>
        <v>0.65</v>
      </c>
      <c r="P106" s="239">
        <f t="shared" si="3"/>
        <v>4990.6350000000002</v>
      </c>
      <c r="Q106" s="240">
        <f t="shared" si="4"/>
        <v>0.01</v>
      </c>
      <c r="R106" s="241"/>
      <c r="S106" s="241"/>
      <c r="T106" s="1"/>
      <c r="U106" s="51"/>
      <c r="V106" s="242"/>
      <c r="W106" s="51"/>
      <c r="X106" s="24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5">
      <c r="A107" s="226"/>
      <c r="B107" s="226"/>
      <c r="C107" s="226"/>
      <c r="D107" s="226"/>
      <c r="E107" s="225"/>
      <c r="F107" s="226"/>
      <c r="G107" s="226"/>
      <c r="H107" s="226"/>
      <c r="I107" s="226"/>
      <c r="J107" s="226"/>
      <c r="K107" s="244"/>
      <c r="L107" s="225"/>
      <c r="M107" s="226"/>
      <c r="N107" s="231">
        <f t="shared" si="5"/>
        <v>6505.9</v>
      </c>
      <c r="O107" s="225">
        <f t="shared" si="2"/>
        <v>0.65709587912999989</v>
      </c>
      <c r="P107" s="239">
        <f t="shared" si="3"/>
        <v>4275.0000800318658</v>
      </c>
      <c r="Q107" s="240">
        <f t="shared" si="4"/>
        <v>0.01</v>
      </c>
      <c r="R107" s="241"/>
      <c r="S107" s="241"/>
      <c r="T107" s="1"/>
      <c r="U107" s="51"/>
      <c r="V107" s="242"/>
      <c r="W107" s="51"/>
      <c r="X107" s="24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5">
      <c r="A108" s="226"/>
      <c r="B108" s="226"/>
      <c r="C108" s="226"/>
      <c r="D108" s="226"/>
      <c r="E108" s="225"/>
      <c r="F108" s="226"/>
      <c r="G108" s="226"/>
      <c r="H108" s="226"/>
      <c r="I108" s="226"/>
      <c r="J108" s="226"/>
      <c r="K108" s="244"/>
      <c r="L108" s="225"/>
      <c r="M108" s="226"/>
      <c r="N108" s="231">
        <f t="shared" si="5"/>
        <v>1172</v>
      </c>
      <c r="O108" s="225">
        <f t="shared" si="2"/>
        <v>0.61060999999999999</v>
      </c>
      <c r="P108" s="239">
        <f t="shared" si="3"/>
        <v>715.63491999999997</v>
      </c>
      <c r="Q108" s="240">
        <f t="shared" si="4"/>
        <v>0.01</v>
      </c>
      <c r="R108" s="241"/>
      <c r="S108" s="241"/>
      <c r="T108" s="1"/>
      <c r="U108" s="51"/>
      <c r="V108" s="242"/>
      <c r="W108" s="51"/>
      <c r="X108" s="24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5">
      <c r="A109" s="226"/>
      <c r="B109" s="226"/>
      <c r="C109" s="226"/>
      <c r="D109" s="226"/>
      <c r="E109" s="225"/>
      <c r="F109" s="226"/>
      <c r="G109" s="226"/>
      <c r="H109" s="226"/>
      <c r="I109" s="226"/>
      <c r="J109" s="226"/>
      <c r="K109" s="244"/>
      <c r="L109" s="225"/>
      <c r="M109" s="226"/>
      <c r="N109" s="231">
        <f t="shared" si="5"/>
        <v>1172</v>
      </c>
      <c r="O109" s="225">
        <f t="shared" si="2"/>
        <v>0.61060999999999999</v>
      </c>
      <c r="P109" s="239">
        <f t="shared" si="3"/>
        <v>715.63491999999997</v>
      </c>
      <c r="Q109" s="240">
        <f t="shared" si="4"/>
        <v>0.01</v>
      </c>
      <c r="R109" s="241"/>
      <c r="S109" s="241"/>
      <c r="T109" s="1"/>
      <c r="U109" s="51"/>
      <c r="V109" s="242"/>
      <c r="W109" s="51"/>
      <c r="X109" s="24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5">
      <c r="A110" s="226"/>
      <c r="B110" s="226"/>
      <c r="C110" s="226"/>
      <c r="D110" s="226"/>
      <c r="E110" s="225"/>
      <c r="F110" s="226"/>
      <c r="G110" s="226"/>
      <c r="H110" s="226"/>
      <c r="I110" s="226"/>
      <c r="J110" s="226"/>
      <c r="K110" s="244"/>
      <c r="L110" s="225"/>
      <c r="M110" s="226"/>
      <c r="N110" s="231">
        <f t="shared" si="5"/>
        <v>0</v>
      </c>
      <c r="O110" s="225">
        <f t="shared" si="2"/>
        <v>0</v>
      </c>
      <c r="P110" s="239">
        <f t="shared" si="3"/>
        <v>0</v>
      </c>
      <c r="Q110" s="240">
        <f t="shared" si="4"/>
        <v>0.01</v>
      </c>
      <c r="R110" s="241"/>
      <c r="S110" s="241"/>
      <c r="T110" s="1"/>
      <c r="U110" s="51"/>
      <c r="V110" s="242"/>
      <c r="W110" s="51"/>
      <c r="X110" s="24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5">
      <c r="A111" s="226"/>
      <c r="B111" s="226"/>
      <c r="C111" s="226"/>
      <c r="D111" s="245"/>
      <c r="E111" s="225"/>
      <c r="F111" s="247"/>
      <c r="G111" s="247"/>
      <c r="H111" s="230"/>
      <c r="I111" s="226"/>
      <c r="J111" s="226"/>
      <c r="K111" s="244"/>
      <c r="L111" s="225"/>
      <c r="M111" s="226"/>
      <c r="N111" s="231">
        <f t="shared" si="5"/>
        <v>1261.7594999999999</v>
      </c>
      <c r="O111" s="225">
        <f t="shared" si="2"/>
        <v>0.64476981155999991</v>
      </c>
      <c r="P111" s="239">
        <f t="shared" si="3"/>
        <v>813.54443504903963</v>
      </c>
      <c r="Q111" s="240">
        <f t="shared" si="4"/>
        <v>0.01</v>
      </c>
      <c r="R111" s="241"/>
      <c r="S111" s="241"/>
      <c r="T111" s="1"/>
      <c r="U111" s="51"/>
      <c r="V111" s="242"/>
      <c r="W111" s="51"/>
      <c r="X111" s="24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5">
      <c r="A112" s="226"/>
      <c r="B112" s="226"/>
      <c r="C112" s="226"/>
      <c r="D112" s="226"/>
      <c r="E112" s="225"/>
      <c r="F112" s="226"/>
      <c r="G112" s="226"/>
      <c r="H112" s="226"/>
      <c r="I112" s="226"/>
      <c r="J112" s="226"/>
      <c r="K112" s="244"/>
      <c r="L112" s="225"/>
      <c r="M112" s="226"/>
      <c r="N112" s="231">
        <f t="shared" si="5"/>
        <v>1261.7594999999999</v>
      </c>
      <c r="O112" s="225">
        <f t="shared" si="2"/>
        <v>0.64476981155999991</v>
      </c>
      <c r="P112" s="239">
        <f t="shared" si="3"/>
        <v>813.54443504903963</v>
      </c>
      <c r="Q112" s="240">
        <f t="shared" si="4"/>
        <v>0.01</v>
      </c>
      <c r="R112" s="241"/>
      <c r="S112" s="241"/>
      <c r="T112" s="1"/>
      <c r="U112" s="51"/>
      <c r="V112" s="242"/>
      <c r="W112" s="51"/>
      <c r="X112" s="24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5">
      <c r="A113" s="226"/>
      <c r="B113" s="226"/>
      <c r="C113" s="226"/>
      <c r="D113" s="226"/>
      <c r="E113" s="225"/>
      <c r="F113" s="226"/>
      <c r="G113" s="226"/>
      <c r="H113" s="226"/>
      <c r="I113" s="226"/>
      <c r="J113" s="226"/>
      <c r="K113" s="244"/>
      <c r="L113" s="225"/>
      <c r="M113" s="226"/>
      <c r="N113" s="231">
        <f t="shared" si="5"/>
        <v>0</v>
      </c>
      <c r="O113" s="225">
        <f t="shared" si="2"/>
        <v>0.64999983181000009</v>
      </c>
      <c r="P113" s="239">
        <f t="shared" si="3"/>
        <v>0</v>
      </c>
      <c r="Q113" s="240">
        <f t="shared" si="4"/>
        <v>0.01</v>
      </c>
      <c r="R113" s="241"/>
      <c r="S113" s="241"/>
      <c r="T113" s="1"/>
      <c r="U113" s="51"/>
      <c r="V113" s="242"/>
      <c r="W113" s="51"/>
      <c r="X113" s="24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5">
      <c r="A114" s="226"/>
      <c r="B114" s="226"/>
      <c r="C114" s="226"/>
      <c r="D114" s="245"/>
      <c r="E114" s="225"/>
      <c r="F114" s="247"/>
      <c r="G114" s="247"/>
      <c r="H114" s="230"/>
      <c r="I114" s="226"/>
      <c r="J114" s="226"/>
      <c r="K114" s="244"/>
      <c r="L114" s="225"/>
      <c r="M114" s="226"/>
      <c r="N114" s="231">
        <f t="shared" si="5"/>
        <v>0</v>
      </c>
      <c r="O114" s="225">
        <f t="shared" si="2"/>
        <v>0.64999983181000009</v>
      </c>
      <c r="P114" s="239">
        <f t="shared" si="3"/>
        <v>0</v>
      </c>
      <c r="Q114" s="240">
        <f t="shared" si="4"/>
        <v>0.01</v>
      </c>
      <c r="R114" s="241"/>
      <c r="S114" s="241"/>
      <c r="T114" s="1"/>
      <c r="U114" s="51"/>
      <c r="V114" s="242"/>
      <c r="W114" s="51"/>
      <c r="X114" s="24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5">
      <c r="A115" s="226"/>
      <c r="B115" s="226"/>
      <c r="C115" s="226"/>
      <c r="D115" s="226"/>
      <c r="E115" s="225"/>
      <c r="F115" s="226"/>
      <c r="G115" s="226"/>
      <c r="H115" s="226"/>
      <c r="I115" s="226"/>
      <c r="J115" s="226"/>
      <c r="K115" s="245"/>
      <c r="L115" s="230"/>
      <c r="M115" s="226"/>
      <c r="N115" s="231">
        <f t="shared" si="5"/>
        <v>27833</v>
      </c>
      <c r="O115" s="225">
        <f t="shared" si="2"/>
        <v>0.65607299999999991</v>
      </c>
      <c r="P115" s="239">
        <f t="shared" si="3"/>
        <v>18260.479808999997</v>
      </c>
      <c r="Q115" s="240">
        <f t="shared" si="4"/>
        <v>0.01</v>
      </c>
      <c r="R115" s="241"/>
      <c r="S115" s="241"/>
      <c r="T115" s="1"/>
      <c r="U115" s="51"/>
      <c r="V115" s="242"/>
      <c r="W115" s="51"/>
      <c r="X115" s="24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5">
      <c r="A116" s="226"/>
      <c r="B116" s="226"/>
      <c r="C116" s="226"/>
      <c r="D116" s="245"/>
      <c r="E116" s="225"/>
      <c r="F116" s="247"/>
      <c r="G116" s="247"/>
      <c r="H116" s="230"/>
      <c r="I116" s="226"/>
      <c r="J116" s="226"/>
      <c r="K116" s="245"/>
      <c r="L116" s="230"/>
      <c r="M116" s="226"/>
      <c r="N116" s="231">
        <f t="shared" si="5"/>
        <v>11816</v>
      </c>
      <c r="O116" s="225">
        <f t="shared" si="2"/>
        <v>0.63420389999999993</v>
      </c>
      <c r="P116" s="239">
        <f t="shared" si="3"/>
        <v>7493.7532823999991</v>
      </c>
      <c r="Q116" s="240">
        <f t="shared" si="4"/>
        <v>0.01</v>
      </c>
      <c r="R116" s="241"/>
      <c r="S116" s="241"/>
      <c r="T116" s="1"/>
      <c r="U116" s="51"/>
      <c r="V116" s="242"/>
      <c r="W116" s="51"/>
      <c r="X116" s="24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5">
      <c r="A117" s="226"/>
      <c r="B117" s="226"/>
      <c r="C117" s="226"/>
      <c r="D117" s="245"/>
      <c r="E117" s="225"/>
      <c r="F117" s="246"/>
      <c r="G117" s="246"/>
      <c r="H117" s="226"/>
      <c r="I117" s="226"/>
      <c r="J117" s="226"/>
      <c r="K117" s="245"/>
      <c r="L117" s="230"/>
      <c r="M117" s="226"/>
      <c r="N117" s="231">
        <f t="shared" si="5"/>
        <v>0</v>
      </c>
      <c r="O117" s="225">
        <f t="shared" si="2"/>
        <v>0</v>
      </c>
      <c r="P117" s="239">
        <f t="shared" si="3"/>
        <v>0</v>
      </c>
      <c r="Q117" s="240">
        <f t="shared" si="4"/>
        <v>0.01</v>
      </c>
      <c r="R117" s="241"/>
      <c r="S117" s="241"/>
      <c r="T117" s="1"/>
      <c r="U117" s="51"/>
      <c r="V117" s="242"/>
      <c r="W117" s="51"/>
      <c r="X117" s="24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5">
      <c r="A118" s="226"/>
      <c r="B118" s="226"/>
      <c r="C118" s="226"/>
      <c r="D118" s="226"/>
      <c r="E118" s="225"/>
      <c r="F118" s="226"/>
      <c r="G118" s="226"/>
      <c r="H118" s="226"/>
      <c r="I118" s="226"/>
      <c r="J118" s="226"/>
      <c r="K118" s="245"/>
      <c r="L118" s="230"/>
      <c r="M118" s="226"/>
      <c r="N118" s="231">
        <f t="shared" si="5"/>
        <v>16017</v>
      </c>
      <c r="O118" s="225">
        <f t="shared" si="2"/>
        <v>0.67220618884000005</v>
      </c>
      <c r="P118" s="239">
        <f t="shared" si="3"/>
        <v>10766.72652665028</v>
      </c>
      <c r="Q118" s="240">
        <f t="shared" si="4"/>
        <v>0.01</v>
      </c>
      <c r="R118" s="241"/>
      <c r="S118" s="241"/>
      <c r="T118" s="1"/>
      <c r="U118" s="51"/>
      <c r="V118" s="242"/>
      <c r="W118" s="51"/>
      <c r="X118" s="24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5">
      <c r="A119" s="226"/>
      <c r="B119" s="226"/>
      <c r="C119" s="226"/>
      <c r="D119" s="226"/>
      <c r="E119" s="225"/>
      <c r="F119" s="226"/>
      <c r="G119" s="226"/>
      <c r="H119" s="226"/>
      <c r="I119" s="226"/>
      <c r="J119" s="226"/>
      <c r="K119" s="245"/>
      <c r="L119" s="230"/>
      <c r="M119" s="226"/>
      <c r="N119" s="231">
        <f t="shared" si="5"/>
        <v>11462.60016</v>
      </c>
      <c r="O119" s="225">
        <f t="shared" si="2"/>
        <v>0.63355300000000003</v>
      </c>
      <c r="P119" s="239">
        <f t="shared" si="3"/>
        <v>7262.1647191684806</v>
      </c>
      <c r="Q119" s="240">
        <f t="shared" si="4"/>
        <v>0.01</v>
      </c>
      <c r="R119" s="241"/>
      <c r="S119" s="241"/>
      <c r="T119" s="1"/>
      <c r="U119" s="51"/>
      <c r="V119" s="242"/>
      <c r="W119" s="51"/>
      <c r="X119" s="24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5">
      <c r="A120" s="226"/>
      <c r="B120" s="226"/>
      <c r="C120" s="226"/>
      <c r="D120" s="226"/>
      <c r="E120" s="225"/>
      <c r="F120" s="226"/>
      <c r="G120" s="226"/>
      <c r="H120" s="226"/>
      <c r="I120" s="226"/>
      <c r="J120" s="226"/>
      <c r="K120" s="245"/>
      <c r="L120" s="230"/>
      <c r="M120" s="226"/>
      <c r="N120" s="231">
        <f t="shared" si="5"/>
        <v>0</v>
      </c>
      <c r="O120" s="225">
        <f t="shared" si="2"/>
        <v>0</v>
      </c>
      <c r="P120" s="239">
        <f t="shared" si="3"/>
        <v>0</v>
      </c>
      <c r="Q120" s="240">
        <f t="shared" si="4"/>
        <v>0.01</v>
      </c>
      <c r="R120" s="241"/>
      <c r="S120" s="241"/>
      <c r="T120" s="1"/>
      <c r="U120" s="51"/>
      <c r="V120" s="242"/>
      <c r="W120" s="51"/>
      <c r="X120" s="24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5">
      <c r="A121" s="226"/>
      <c r="B121" s="226"/>
      <c r="C121" s="226"/>
      <c r="D121" s="245"/>
      <c r="E121" s="225"/>
      <c r="F121" s="246"/>
      <c r="G121" s="246"/>
      <c r="H121" s="226"/>
      <c r="I121" s="226"/>
      <c r="J121" s="226"/>
      <c r="K121" s="245"/>
      <c r="L121" s="230"/>
      <c r="M121" s="226"/>
      <c r="N121" s="231">
        <f t="shared" si="5"/>
        <v>1525.3998399</v>
      </c>
      <c r="O121" s="225">
        <f t="shared" si="2"/>
        <v>0.62096734140999998</v>
      </c>
      <c r="P121" s="239">
        <f t="shared" si="3"/>
        <v>947.2234831699426</v>
      </c>
      <c r="Q121" s="240">
        <f t="shared" si="4"/>
        <v>0.01</v>
      </c>
      <c r="R121" s="241"/>
      <c r="S121" s="241"/>
      <c r="T121" s="1"/>
      <c r="U121" s="51"/>
      <c r="V121" s="242"/>
      <c r="W121" s="51"/>
      <c r="X121" s="24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5">
      <c r="A122" s="226"/>
      <c r="B122" s="226"/>
      <c r="C122" s="226"/>
      <c r="D122" s="226"/>
      <c r="E122" s="225"/>
      <c r="F122" s="226"/>
      <c r="G122" s="226"/>
      <c r="H122" s="226"/>
      <c r="I122" s="226"/>
      <c r="J122" s="226"/>
      <c r="K122" s="245"/>
      <c r="L122" s="230"/>
      <c r="M122" s="226"/>
      <c r="N122" s="231">
        <f t="shared" si="5"/>
        <v>319149.63602999999</v>
      </c>
      <c r="O122" s="225">
        <f t="shared" si="2"/>
        <v>0.63656400000000002</v>
      </c>
      <c r="P122" s="239">
        <f t="shared" si="3"/>
        <v>203159.16890980091</v>
      </c>
      <c r="Q122" s="240">
        <f t="shared" si="4"/>
        <v>0.01</v>
      </c>
      <c r="R122" s="241"/>
      <c r="S122" s="241"/>
      <c r="T122" s="1"/>
      <c r="U122" s="51"/>
      <c r="V122" s="242"/>
      <c r="W122" s="51"/>
      <c r="X122" s="24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5">
      <c r="A123" s="226"/>
      <c r="B123" s="226"/>
      <c r="C123" s="226"/>
      <c r="D123" s="245"/>
      <c r="E123" s="225"/>
      <c r="F123" s="246"/>
      <c r="G123" s="245"/>
      <c r="H123" s="226"/>
      <c r="I123" s="226"/>
      <c r="J123" s="226"/>
      <c r="K123" s="245"/>
      <c r="L123" s="230"/>
      <c r="M123" s="226"/>
      <c r="N123" s="231">
        <f t="shared" si="5"/>
        <v>-101238.57047000001</v>
      </c>
      <c r="O123" s="225">
        <f t="shared" si="2"/>
        <v>0.62221660624999997</v>
      </c>
      <c r="P123" s="239">
        <f t="shared" si="3"/>
        <v>-62992.319739444865</v>
      </c>
      <c r="Q123" s="240">
        <f t="shared" si="4"/>
        <v>0.01</v>
      </c>
      <c r="R123" s="241"/>
      <c r="S123" s="241"/>
      <c r="T123" s="1"/>
      <c r="U123" s="51"/>
      <c r="V123" s="242"/>
      <c r="W123" s="51"/>
      <c r="X123" s="24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5">
      <c r="A124" s="226"/>
      <c r="B124" s="226"/>
      <c r="C124" s="226"/>
      <c r="D124" s="226"/>
      <c r="E124" s="225"/>
      <c r="F124" s="226"/>
      <c r="G124" s="226"/>
      <c r="H124" s="226"/>
      <c r="I124" s="226"/>
      <c r="J124" s="226"/>
      <c r="K124" s="245"/>
      <c r="L124" s="230"/>
      <c r="M124" s="226"/>
      <c r="N124" s="231">
        <f t="shared" si="5"/>
        <v>0</v>
      </c>
      <c r="O124" s="225">
        <f t="shared" si="2"/>
        <v>0</v>
      </c>
      <c r="P124" s="239">
        <f t="shared" si="3"/>
        <v>0</v>
      </c>
      <c r="Q124" s="240">
        <f t="shared" si="4"/>
        <v>0.01</v>
      </c>
      <c r="R124" s="241"/>
      <c r="S124" s="241"/>
      <c r="T124" s="1"/>
      <c r="U124" s="51"/>
      <c r="V124" s="242"/>
      <c r="W124" s="51"/>
      <c r="X124" s="24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5">
      <c r="A125" s="226"/>
      <c r="B125" s="226"/>
      <c r="C125" s="226"/>
      <c r="D125" s="245"/>
      <c r="E125" s="225"/>
      <c r="F125" s="246"/>
      <c r="G125" s="226"/>
      <c r="H125" s="226"/>
      <c r="I125" s="226"/>
      <c r="J125" s="226"/>
      <c r="K125" s="245"/>
      <c r="L125" s="230"/>
      <c r="M125" s="226"/>
      <c r="N125" s="231">
        <f t="shared" si="5"/>
        <v>0</v>
      </c>
      <c r="O125" s="225">
        <f t="shared" si="2"/>
        <v>0.6547558281000001</v>
      </c>
      <c r="P125" s="239">
        <f t="shared" si="3"/>
        <v>0</v>
      </c>
      <c r="Q125" s="240">
        <f t="shared" si="4"/>
        <v>0.01</v>
      </c>
      <c r="R125" s="241"/>
      <c r="S125" s="241"/>
      <c r="T125" s="1"/>
      <c r="U125" s="51"/>
      <c r="V125" s="242"/>
      <c r="W125" s="51"/>
      <c r="X125" s="24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5">
      <c r="A126" s="226"/>
      <c r="B126" s="226"/>
      <c r="C126" s="226"/>
      <c r="D126" s="226"/>
      <c r="E126" s="225"/>
      <c r="F126" s="226"/>
      <c r="G126" s="226"/>
      <c r="H126" s="226"/>
      <c r="I126" s="226"/>
      <c r="J126" s="226"/>
      <c r="K126" s="245"/>
      <c r="L126" s="230"/>
      <c r="M126" s="226"/>
      <c r="N126" s="231">
        <f t="shared" si="5"/>
        <v>1014741.2459</v>
      </c>
      <c r="O126" s="225">
        <f t="shared" si="2"/>
        <v>0.65535782708000001</v>
      </c>
      <c r="P126" s="239">
        <f t="shared" si="3"/>
        <v>665018.61796147597</v>
      </c>
      <c r="Q126" s="240">
        <f t="shared" si="4"/>
        <v>0.01</v>
      </c>
      <c r="R126" s="241"/>
      <c r="S126" s="241"/>
      <c r="T126" s="1"/>
      <c r="U126" s="51"/>
      <c r="V126" s="242"/>
      <c r="W126" s="51"/>
      <c r="X126" s="24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5">
      <c r="A127" s="226"/>
      <c r="B127" s="226"/>
      <c r="C127" s="226"/>
      <c r="D127" s="226"/>
      <c r="E127" s="225"/>
      <c r="F127" s="226"/>
      <c r="G127" s="226"/>
      <c r="H127" s="226"/>
      <c r="I127" s="226"/>
      <c r="J127" s="226"/>
      <c r="K127" s="226"/>
      <c r="L127" s="226"/>
      <c r="M127" s="226"/>
      <c r="N127" s="231"/>
      <c r="O127" s="225"/>
      <c r="P127" s="225"/>
      <c r="Q127" s="23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5">
      <c r="A128" s="226"/>
      <c r="B128" s="226"/>
      <c r="C128" s="226"/>
      <c r="D128" s="226"/>
      <c r="E128" s="225"/>
      <c r="F128" s="226"/>
      <c r="G128" s="226"/>
      <c r="H128" s="226"/>
      <c r="I128" s="226"/>
      <c r="J128" s="226"/>
      <c r="K128" s="226"/>
      <c r="L128" s="226"/>
      <c r="M128" s="226"/>
      <c r="N128" s="231"/>
      <c r="O128" s="225"/>
      <c r="P128" s="225"/>
      <c r="Q128" s="23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5">
      <c r="A129" s="226"/>
      <c r="B129" s="226"/>
      <c r="C129" s="226"/>
      <c r="D129" s="226"/>
      <c r="E129" s="225"/>
      <c r="F129" s="226"/>
      <c r="G129" s="226"/>
      <c r="H129" s="226"/>
      <c r="I129" s="226"/>
      <c r="J129" s="226"/>
      <c r="K129" s="384"/>
      <c r="L129" s="378"/>
      <c r="M129" s="226"/>
      <c r="N129" s="233"/>
      <c r="O129" s="249"/>
      <c r="P129" s="225"/>
      <c r="Q129" s="231"/>
      <c r="R129" s="250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5">
      <c r="A130" s="226"/>
      <c r="B130" s="226"/>
      <c r="C130" s="226"/>
      <c r="D130" s="226"/>
      <c r="E130" s="225"/>
      <c r="F130" s="226"/>
      <c r="G130" s="226"/>
      <c r="H130" s="226"/>
      <c r="I130" s="226"/>
      <c r="J130" s="226"/>
      <c r="K130" s="251"/>
      <c r="L130" s="251"/>
      <c r="M130" s="226"/>
      <c r="N130" s="233"/>
      <c r="O130" s="249"/>
      <c r="P130" s="225"/>
      <c r="Q130" s="231"/>
      <c r="R130" s="250"/>
      <c r="S130" s="250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5">
      <c r="A131" s="226"/>
      <c r="B131" s="226"/>
      <c r="C131" s="226"/>
      <c r="D131" s="226"/>
      <c r="E131" s="225"/>
      <c r="F131" s="226"/>
      <c r="G131" s="226"/>
      <c r="H131" s="226"/>
      <c r="I131" s="226"/>
      <c r="J131" s="226"/>
      <c r="K131" s="226"/>
      <c r="L131" s="226"/>
      <c r="M131" s="226"/>
      <c r="N131" s="244"/>
      <c r="O131" s="225"/>
      <c r="P131" s="225"/>
      <c r="Q131" s="23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5">
      <c r="A132" s="226"/>
      <c r="B132" s="226"/>
      <c r="C132" s="226"/>
      <c r="D132" s="226"/>
      <c r="E132" s="225"/>
      <c r="F132" s="226"/>
      <c r="G132" s="226"/>
      <c r="H132" s="226"/>
      <c r="I132" s="226"/>
      <c r="J132" s="226"/>
      <c r="K132" s="226"/>
      <c r="L132" s="226"/>
      <c r="M132" s="226"/>
      <c r="N132" s="244"/>
      <c r="O132" s="225"/>
      <c r="P132" s="231"/>
      <c r="Q132" s="23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5">
      <c r="A133" s="226"/>
      <c r="B133" s="226"/>
      <c r="C133" s="226"/>
      <c r="D133" s="226"/>
      <c r="E133" s="225"/>
      <c r="F133" s="226"/>
      <c r="G133" s="226"/>
      <c r="H133" s="226"/>
      <c r="I133" s="226"/>
      <c r="J133" s="226"/>
      <c r="K133" s="226"/>
      <c r="L133" s="226"/>
      <c r="M133" s="226"/>
      <c r="N133" s="244"/>
      <c r="O133" s="225"/>
      <c r="P133" s="231"/>
      <c r="Q133" s="23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5">
      <c r="A134" s="231"/>
      <c r="B134" s="231"/>
      <c r="C134" s="231"/>
      <c r="D134" s="231"/>
      <c r="E134" s="225"/>
      <c r="F134" s="231"/>
      <c r="G134" s="231"/>
      <c r="H134" s="231"/>
      <c r="I134" s="231"/>
      <c r="J134" s="231"/>
      <c r="K134" s="231"/>
      <c r="L134" s="231"/>
      <c r="M134" s="231"/>
      <c r="N134" s="244"/>
      <c r="O134" s="225"/>
      <c r="P134" s="231"/>
      <c r="Q134" s="23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5">
      <c r="A135" s="231"/>
      <c r="B135" s="231"/>
      <c r="C135" s="231"/>
      <c r="D135" s="231"/>
      <c r="E135" s="225"/>
      <c r="F135" s="231"/>
      <c r="G135" s="231"/>
      <c r="H135" s="231"/>
      <c r="I135" s="231"/>
      <c r="J135" s="231"/>
      <c r="K135" s="231"/>
      <c r="L135" s="231"/>
      <c r="M135" s="231"/>
      <c r="N135" s="244"/>
      <c r="O135" s="225"/>
      <c r="P135" s="231"/>
      <c r="Q135" s="23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5">
      <c r="A136" s="231"/>
      <c r="B136" s="231"/>
      <c r="C136" s="231"/>
      <c r="D136" s="231"/>
      <c r="E136" s="225"/>
      <c r="F136" s="231"/>
      <c r="G136" s="231"/>
      <c r="H136" s="231"/>
      <c r="I136" s="231"/>
      <c r="J136" s="231"/>
      <c r="K136" s="231"/>
      <c r="L136" s="231"/>
      <c r="M136" s="231"/>
      <c r="N136" s="244"/>
      <c r="O136" s="225"/>
      <c r="P136" s="231"/>
      <c r="Q136" s="23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5">
      <c r="A137" s="231"/>
      <c r="B137" s="231"/>
      <c r="C137" s="231"/>
      <c r="D137" s="231"/>
      <c r="E137" s="225"/>
      <c r="F137" s="231"/>
      <c r="G137" s="231"/>
      <c r="H137" s="231"/>
      <c r="I137" s="231"/>
      <c r="J137" s="231"/>
      <c r="K137" s="231"/>
      <c r="L137" s="231"/>
      <c r="M137" s="231"/>
      <c r="N137" s="244"/>
      <c r="O137" s="225"/>
      <c r="P137" s="231"/>
      <c r="Q137" s="23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5">
      <c r="A138" s="231"/>
      <c r="B138" s="231"/>
      <c r="C138" s="231"/>
      <c r="D138" s="231"/>
      <c r="E138" s="225"/>
      <c r="F138" s="231"/>
      <c r="G138" s="231"/>
      <c r="H138" s="231"/>
      <c r="I138" s="231"/>
      <c r="J138" s="231"/>
      <c r="K138" s="231"/>
      <c r="L138" s="231"/>
      <c r="M138" s="231"/>
      <c r="N138" s="244"/>
      <c r="O138" s="225"/>
      <c r="P138" s="231"/>
      <c r="Q138" s="23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5">
      <c r="A139" s="231"/>
      <c r="B139" s="231"/>
      <c r="C139" s="231"/>
      <c r="D139" s="231"/>
      <c r="E139" s="225"/>
      <c r="F139" s="231"/>
      <c r="G139" s="231"/>
      <c r="H139" s="231"/>
      <c r="I139" s="231"/>
      <c r="J139" s="231"/>
      <c r="K139" s="231"/>
      <c r="L139" s="231"/>
      <c r="M139" s="231"/>
      <c r="N139" s="244"/>
      <c r="O139" s="225"/>
      <c r="P139" s="231"/>
      <c r="Q139" s="23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5">
      <c r="A140" s="231"/>
      <c r="B140" s="231"/>
      <c r="C140" s="231"/>
      <c r="D140" s="231"/>
      <c r="E140" s="225"/>
      <c r="F140" s="231"/>
      <c r="G140" s="231"/>
      <c r="H140" s="231"/>
      <c r="I140" s="231"/>
      <c r="J140" s="231"/>
      <c r="K140" s="231"/>
      <c r="L140" s="231"/>
      <c r="M140" s="231"/>
      <c r="N140" s="244"/>
      <c r="O140" s="225"/>
      <c r="P140" s="231"/>
      <c r="Q140" s="23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5">
      <c r="A141" s="231"/>
      <c r="B141" s="231"/>
      <c r="C141" s="231"/>
      <c r="D141" s="231"/>
      <c r="E141" s="225"/>
      <c r="F141" s="231"/>
      <c r="G141" s="231"/>
      <c r="H141" s="231"/>
      <c r="I141" s="231"/>
      <c r="J141" s="231"/>
      <c r="K141" s="231"/>
      <c r="L141" s="231"/>
      <c r="M141" s="231"/>
      <c r="N141" s="244"/>
      <c r="O141" s="225"/>
      <c r="P141" s="231"/>
      <c r="Q141" s="23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5">
      <c r="A142" s="231"/>
      <c r="B142" s="231"/>
      <c r="C142" s="231"/>
      <c r="D142" s="231"/>
      <c r="E142" s="225"/>
      <c r="F142" s="231"/>
      <c r="G142" s="231"/>
      <c r="H142" s="231"/>
      <c r="I142" s="231"/>
      <c r="J142" s="231"/>
      <c r="K142" s="231"/>
      <c r="L142" s="231"/>
      <c r="M142" s="231"/>
      <c r="N142" s="244"/>
      <c r="O142" s="225"/>
      <c r="P142" s="231"/>
      <c r="Q142" s="23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5">
      <c r="A143" s="231"/>
      <c r="B143" s="231"/>
      <c r="C143" s="231"/>
      <c r="D143" s="231"/>
      <c r="E143" s="225"/>
      <c r="F143" s="231"/>
      <c r="G143" s="231"/>
      <c r="H143" s="231"/>
      <c r="I143" s="231"/>
      <c r="J143" s="231"/>
      <c r="K143" s="231"/>
      <c r="L143" s="231"/>
      <c r="M143" s="231"/>
      <c r="N143" s="244"/>
      <c r="O143" s="225"/>
      <c r="P143" s="231"/>
      <c r="Q143" s="23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5">
      <c r="A144" s="231"/>
      <c r="B144" s="231"/>
      <c r="C144" s="231"/>
      <c r="D144" s="231"/>
      <c r="E144" s="225"/>
      <c r="F144" s="231"/>
      <c r="G144" s="231"/>
      <c r="H144" s="231"/>
      <c r="I144" s="231"/>
      <c r="J144" s="231"/>
      <c r="K144" s="231"/>
      <c r="L144" s="231"/>
      <c r="M144" s="231"/>
      <c r="N144" s="244"/>
      <c r="O144" s="225"/>
      <c r="P144" s="231"/>
      <c r="Q144" s="23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5">
      <c r="A145" s="231"/>
      <c r="B145" s="231"/>
      <c r="C145" s="231"/>
      <c r="D145" s="231"/>
      <c r="E145" s="225"/>
      <c r="F145" s="231"/>
      <c r="G145" s="231"/>
      <c r="H145" s="231"/>
      <c r="I145" s="231"/>
      <c r="J145" s="231"/>
      <c r="K145" s="231"/>
      <c r="L145" s="231"/>
      <c r="M145" s="231"/>
      <c r="N145" s="244"/>
      <c r="O145" s="225"/>
      <c r="P145" s="231"/>
      <c r="Q145" s="23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5">
      <c r="A146" s="231"/>
      <c r="B146" s="231"/>
      <c r="C146" s="231"/>
      <c r="D146" s="231"/>
      <c r="E146" s="225"/>
      <c r="F146" s="231"/>
      <c r="G146" s="231"/>
      <c r="H146" s="231"/>
      <c r="I146" s="231"/>
      <c r="J146" s="231"/>
      <c r="K146" s="231"/>
      <c r="L146" s="231"/>
      <c r="M146" s="231"/>
      <c r="N146" s="244"/>
      <c r="O146" s="225"/>
      <c r="P146" s="231"/>
      <c r="Q146" s="23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5">
      <c r="A147" s="231"/>
      <c r="B147" s="231"/>
      <c r="C147" s="231"/>
      <c r="D147" s="231"/>
      <c r="E147" s="225"/>
      <c r="F147" s="231"/>
      <c r="G147" s="231"/>
      <c r="H147" s="231"/>
      <c r="I147" s="231"/>
      <c r="J147" s="231"/>
      <c r="K147" s="231"/>
      <c r="L147" s="231"/>
      <c r="M147" s="231"/>
      <c r="N147" s="244"/>
      <c r="O147" s="225"/>
      <c r="P147" s="231"/>
      <c r="Q147" s="23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5">
      <c r="A148" s="231"/>
      <c r="B148" s="231"/>
      <c r="C148" s="231"/>
      <c r="D148" s="231"/>
      <c r="E148" s="225"/>
      <c r="F148" s="231"/>
      <c r="G148" s="231"/>
      <c r="H148" s="231"/>
      <c r="I148" s="231"/>
      <c r="J148" s="231"/>
      <c r="K148" s="231"/>
      <c r="L148" s="231"/>
      <c r="M148" s="231"/>
      <c r="N148" s="244"/>
      <c r="O148" s="225"/>
      <c r="P148" s="231"/>
      <c r="Q148" s="23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5">
      <c r="A149" s="231"/>
      <c r="B149" s="231"/>
      <c r="C149" s="231"/>
      <c r="D149" s="231"/>
      <c r="E149" s="225"/>
      <c r="F149" s="231"/>
      <c r="G149" s="231"/>
      <c r="H149" s="231"/>
      <c r="I149" s="231"/>
      <c r="J149" s="231"/>
      <c r="K149" s="231"/>
      <c r="L149" s="231"/>
      <c r="M149" s="231"/>
      <c r="N149" s="244"/>
      <c r="O149" s="225"/>
      <c r="P149" s="231"/>
      <c r="Q149" s="23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5">
      <c r="A150" s="231"/>
      <c r="B150" s="231"/>
      <c r="C150" s="231"/>
      <c r="D150" s="231"/>
      <c r="E150" s="225"/>
      <c r="F150" s="231"/>
      <c r="G150" s="231"/>
      <c r="H150" s="231"/>
      <c r="I150" s="231"/>
      <c r="J150" s="231"/>
      <c r="K150" s="231"/>
      <c r="L150" s="231"/>
      <c r="M150" s="231"/>
      <c r="N150" s="244"/>
      <c r="O150" s="225"/>
      <c r="P150" s="231"/>
      <c r="Q150" s="23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5">
      <c r="A151" s="231"/>
      <c r="B151" s="231"/>
      <c r="C151" s="231"/>
      <c r="D151" s="231"/>
      <c r="E151" s="225"/>
      <c r="F151" s="231"/>
      <c r="G151" s="231"/>
      <c r="H151" s="231"/>
      <c r="I151" s="231"/>
      <c r="J151" s="231"/>
      <c r="K151" s="231"/>
      <c r="L151" s="231"/>
      <c r="M151" s="231"/>
      <c r="N151" s="244"/>
      <c r="O151" s="225"/>
      <c r="P151" s="231"/>
      <c r="Q151" s="23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5">
      <c r="A152" s="231"/>
      <c r="B152" s="231"/>
      <c r="C152" s="231"/>
      <c r="D152" s="231"/>
      <c r="E152" s="225"/>
      <c r="F152" s="231"/>
      <c r="G152" s="231"/>
      <c r="H152" s="231"/>
      <c r="I152" s="231"/>
      <c r="J152" s="231"/>
      <c r="K152" s="231"/>
      <c r="L152" s="231"/>
      <c r="M152" s="231"/>
      <c r="N152" s="244"/>
      <c r="O152" s="225"/>
      <c r="P152" s="231"/>
      <c r="Q152" s="23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5">
      <c r="A153" s="231"/>
      <c r="B153" s="231"/>
      <c r="C153" s="231"/>
      <c r="D153" s="231"/>
      <c r="E153" s="225"/>
      <c r="F153" s="231"/>
      <c r="G153" s="231"/>
      <c r="H153" s="231"/>
      <c r="I153" s="231"/>
      <c r="J153" s="231"/>
      <c r="K153" s="231"/>
      <c r="L153" s="231"/>
      <c r="M153" s="231"/>
      <c r="N153" s="244"/>
      <c r="O153" s="225"/>
      <c r="P153" s="231"/>
      <c r="Q153" s="23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5">
      <c r="A154" s="231"/>
      <c r="B154" s="231"/>
      <c r="C154" s="231"/>
      <c r="D154" s="231"/>
      <c r="E154" s="225"/>
      <c r="F154" s="231"/>
      <c r="G154" s="231"/>
      <c r="H154" s="231"/>
      <c r="I154" s="231"/>
      <c r="J154" s="231"/>
      <c r="K154" s="231"/>
      <c r="L154" s="231"/>
      <c r="M154" s="231"/>
      <c r="N154" s="244"/>
      <c r="O154" s="225"/>
      <c r="P154" s="231"/>
      <c r="Q154" s="23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5">
      <c r="A155" s="231"/>
      <c r="B155" s="231"/>
      <c r="C155" s="231"/>
      <c r="D155" s="231"/>
      <c r="E155" s="225"/>
      <c r="F155" s="231"/>
      <c r="G155" s="231"/>
      <c r="H155" s="231"/>
      <c r="I155" s="231"/>
      <c r="J155" s="231"/>
      <c r="K155" s="231"/>
      <c r="L155" s="231"/>
      <c r="M155" s="231"/>
      <c r="N155" s="244"/>
      <c r="O155" s="225"/>
      <c r="P155" s="231"/>
      <c r="Q155" s="23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5">
      <c r="A156" s="231"/>
      <c r="B156" s="231"/>
      <c r="C156" s="231"/>
      <c r="D156" s="231"/>
      <c r="E156" s="225"/>
      <c r="F156" s="231"/>
      <c r="G156" s="231"/>
      <c r="H156" s="231"/>
      <c r="I156" s="231"/>
      <c r="J156" s="231"/>
      <c r="K156" s="231"/>
      <c r="L156" s="231"/>
      <c r="M156" s="231"/>
      <c r="N156" s="244"/>
      <c r="O156" s="225"/>
      <c r="P156" s="231"/>
      <c r="Q156" s="23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5">
      <c r="A157" s="231"/>
      <c r="B157" s="231"/>
      <c r="C157" s="231"/>
      <c r="D157" s="231"/>
      <c r="E157" s="225"/>
      <c r="F157" s="231"/>
      <c r="G157" s="231"/>
      <c r="H157" s="231"/>
      <c r="I157" s="231"/>
      <c r="J157" s="231"/>
      <c r="K157" s="231"/>
      <c r="L157" s="231"/>
      <c r="M157" s="231"/>
      <c r="N157" s="244"/>
      <c r="O157" s="225"/>
      <c r="P157" s="231"/>
      <c r="Q157" s="23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5">
      <c r="A158" s="231"/>
      <c r="B158" s="231"/>
      <c r="C158" s="231"/>
      <c r="D158" s="231"/>
      <c r="E158" s="225"/>
      <c r="F158" s="231"/>
      <c r="G158" s="231"/>
      <c r="H158" s="231"/>
      <c r="I158" s="231"/>
      <c r="J158" s="231"/>
      <c r="K158" s="231"/>
      <c r="L158" s="231"/>
      <c r="M158" s="231"/>
      <c r="N158" s="244"/>
      <c r="O158" s="225"/>
      <c r="P158" s="231"/>
      <c r="Q158" s="23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5">
      <c r="A159" s="231"/>
      <c r="B159" s="231"/>
      <c r="C159" s="231"/>
      <c r="D159" s="231"/>
      <c r="E159" s="225"/>
      <c r="F159" s="231"/>
      <c r="G159" s="231"/>
      <c r="H159" s="231"/>
      <c r="I159" s="231"/>
      <c r="J159" s="231"/>
      <c r="K159" s="231"/>
      <c r="L159" s="231"/>
      <c r="M159" s="231"/>
      <c r="N159" s="244"/>
      <c r="O159" s="225"/>
      <c r="P159" s="231"/>
      <c r="Q159" s="23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5">
      <c r="A160" s="231"/>
      <c r="B160" s="231"/>
      <c r="C160" s="231"/>
      <c r="D160" s="231"/>
      <c r="E160" s="225"/>
      <c r="F160" s="231"/>
      <c r="G160" s="231"/>
      <c r="H160" s="231"/>
      <c r="I160" s="231"/>
      <c r="J160" s="231"/>
      <c r="K160" s="231"/>
      <c r="L160" s="231"/>
      <c r="M160" s="231"/>
      <c r="N160" s="244"/>
      <c r="O160" s="225"/>
      <c r="P160" s="231"/>
      <c r="Q160" s="23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5">
      <c r="A161" s="231"/>
      <c r="B161" s="231"/>
      <c r="C161" s="231"/>
      <c r="D161" s="231"/>
      <c r="E161" s="225"/>
      <c r="F161" s="231"/>
      <c r="G161" s="231"/>
      <c r="H161" s="231"/>
      <c r="I161" s="231"/>
      <c r="J161" s="231"/>
      <c r="K161" s="231"/>
      <c r="L161" s="231"/>
      <c r="M161" s="231"/>
      <c r="N161" s="244"/>
      <c r="O161" s="225"/>
      <c r="P161" s="231"/>
      <c r="Q161" s="23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5">
      <c r="A162" s="231"/>
      <c r="B162" s="231"/>
      <c r="C162" s="231"/>
      <c r="D162" s="231"/>
      <c r="E162" s="225"/>
      <c r="F162" s="231"/>
      <c r="G162" s="231"/>
      <c r="H162" s="231"/>
      <c r="I162" s="231"/>
      <c r="J162" s="231"/>
      <c r="K162" s="231"/>
      <c r="L162" s="231"/>
      <c r="M162" s="231"/>
      <c r="N162" s="244"/>
      <c r="O162" s="225"/>
      <c r="P162" s="231"/>
      <c r="Q162" s="23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5">
      <c r="A163" s="231"/>
      <c r="B163" s="231"/>
      <c r="C163" s="231"/>
      <c r="D163" s="231"/>
      <c r="E163" s="225"/>
      <c r="F163" s="231"/>
      <c r="G163" s="231"/>
      <c r="H163" s="231"/>
      <c r="I163" s="231"/>
      <c r="J163" s="231"/>
      <c r="K163" s="231"/>
      <c r="L163" s="231"/>
      <c r="M163" s="231"/>
      <c r="N163" s="244"/>
      <c r="O163" s="225"/>
      <c r="P163" s="231"/>
      <c r="Q163" s="23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5">
      <c r="A164" s="231"/>
      <c r="B164" s="231"/>
      <c r="C164" s="231"/>
      <c r="D164" s="231"/>
      <c r="E164" s="225"/>
      <c r="F164" s="231"/>
      <c r="G164" s="231"/>
      <c r="H164" s="231"/>
      <c r="I164" s="231"/>
      <c r="J164" s="231"/>
      <c r="K164" s="231"/>
      <c r="L164" s="231"/>
      <c r="M164" s="231"/>
      <c r="N164" s="244"/>
      <c r="O164" s="225"/>
      <c r="P164" s="231"/>
      <c r="Q164" s="23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5">
      <c r="A165" s="231"/>
      <c r="B165" s="231"/>
      <c r="C165" s="231"/>
      <c r="D165" s="231"/>
      <c r="E165" s="225"/>
      <c r="F165" s="231"/>
      <c r="G165" s="231"/>
      <c r="H165" s="231"/>
      <c r="I165" s="231"/>
      <c r="J165" s="231"/>
      <c r="K165" s="231"/>
      <c r="L165" s="231"/>
      <c r="M165" s="231"/>
      <c r="N165" s="244"/>
      <c r="O165" s="225"/>
      <c r="P165" s="231"/>
      <c r="Q165" s="23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5">
      <c r="A166" s="231"/>
      <c r="B166" s="231"/>
      <c r="C166" s="231"/>
      <c r="D166" s="231"/>
      <c r="E166" s="225"/>
      <c r="F166" s="231"/>
      <c r="G166" s="231"/>
      <c r="H166" s="231"/>
      <c r="I166" s="231"/>
      <c r="J166" s="231"/>
      <c r="K166" s="231"/>
      <c r="L166" s="231"/>
      <c r="M166" s="231"/>
      <c r="N166" s="244"/>
      <c r="O166" s="225"/>
      <c r="P166" s="231"/>
      <c r="Q166" s="23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5">
      <c r="A167" s="231"/>
      <c r="B167" s="231"/>
      <c r="C167" s="231"/>
      <c r="D167" s="231"/>
      <c r="E167" s="225"/>
      <c r="F167" s="231"/>
      <c r="G167" s="231"/>
      <c r="H167" s="231"/>
      <c r="I167" s="231"/>
      <c r="J167" s="231"/>
      <c r="K167" s="231"/>
      <c r="L167" s="231"/>
      <c r="M167" s="231"/>
      <c r="N167" s="244"/>
      <c r="O167" s="225"/>
      <c r="P167" s="231"/>
      <c r="Q167" s="23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5">
      <c r="A168" s="231"/>
      <c r="B168" s="231"/>
      <c r="C168" s="231"/>
      <c r="D168" s="231"/>
      <c r="E168" s="225"/>
      <c r="F168" s="231"/>
      <c r="G168" s="231"/>
      <c r="H168" s="231"/>
      <c r="I168" s="231"/>
      <c r="J168" s="231"/>
      <c r="K168" s="231"/>
      <c r="L168" s="231"/>
      <c r="M168" s="231"/>
      <c r="N168" s="244"/>
      <c r="O168" s="225"/>
      <c r="P168" s="231"/>
      <c r="Q168" s="23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5">
      <c r="A169" s="231"/>
      <c r="B169" s="231"/>
      <c r="C169" s="231"/>
      <c r="D169" s="231"/>
      <c r="E169" s="225"/>
      <c r="F169" s="231"/>
      <c r="G169" s="231"/>
      <c r="H169" s="231"/>
      <c r="I169" s="231"/>
      <c r="J169" s="231"/>
      <c r="K169" s="231"/>
      <c r="L169" s="231"/>
      <c r="M169" s="231"/>
      <c r="N169" s="244"/>
      <c r="O169" s="225"/>
      <c r="P169" s="231"/>
      <c r="Q169" s="23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5">
      <c r="A170" s="231"/>
      <c r="B170" s="231"/>
      <c r="C170" s="231"/>
      <c r="D170" s="231"/>
      <c r="E170" s="225"/>
      <c r="F170" s="231"/>
      <c r="G170" s="231"/>
      <c r="H170" s="231"/>
      <c r="I170" s="231"/>
      <c r="J170" s="231"/>
      <c r="K170" s="231"/>
      <c r="L170" s="231"/>
      <c r="M170" s="231"/>
      <c r="N170" s="244"/>
      <c r="O170" s="225"/>
      <c r="P170" s="231"/>
      <c r="Q170" s="23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5">
      <c r="A171" s="231"/>
      <c r="B171" s="231"/>
      <c r="C171" s="231"/>
      <c r="D171" s="231"/>
      <c r="E171" s="225"/>
      <c r="F171" s="231"/>
      <c r="G171" s="231"/>
      <c r="H171" s="231"/>
      <c r="I171" s="231"/>
      <c r="J171" s="231"/>
      <c r="K171" s="231"/>
      <c r="L171" s="231"/>
      <c r="M171" s="231"/>
      <c r="N171" s="244"/>
      <c r="O171" s="225"/>
      <c r="P171" s="231"/>
      <c r="Q171" s="23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5">
      <c r="A172" s="231"/>
      <c r="B172" s="231"/>
      <c r="C172" s="231"/>
      <c r="D172" s="231"/>
      <c r="E172" s="225"/>
      <c r="F172" s="231"/>
      <c r="G172" s="231"/>
      <c r="H172" s="231"/>
      <c r="I172" s="231"/>
      <c r="J172" s="231"/>
      <c r="K172" s="231"/>
      <c r="L172" s="231"/>
      <c r="M172" s="231"/>
      <c r="N172" s="244"/>
      <c r="O172" s="225"/>
      <c r="P172" s="231"/>
      <c r="Q172" s="23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5">
      <c r="A173" s="231"/>
      <c r="B173" s="231"/>
      <c r="C173" s="231"/>
      <c r="D173" s="231"/>
      <c r="E173" s="225"/>
      <c r="F173" s="231"/>
      <c r="G173" s="231"/>
      <c r="H173" s="231"/>
      <c r="I173" s="231"/>
      <c r="J173" s="231"/>
      <c r="K173" s="231"/>
      <c r="L173" s="231"/>
      <c r="M173" s="231"/>
      <c r="N173" s="244"/>
      <c r="O173" s="225"/>
      <c r="P173" s="231"/>
      <c r="Q173" s="23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5">
      <c r="A174" s="231"/>
      <c r="B174" s="231"/>
      <c r="C174" s="231"/>
      <c r="D174" s="231"/>
      <c r="E174" s="225"/>
      <c r="F174" s="231"/>
      <c r="G174" s="231"/>
      <c r="H174" s="231"/>
      <c r="I174" s="231"/>
      <c r="J174" s="231"/>
      <c r="K174" s="231"/>
      <c r="L174" s="231"/>
      <c r="M174" s="231"/>
      <c r="N174" s="244"/>
      <c r="O174" s="225"/>
      <c r="P174" s="231"/>
      <c r="Q174" s="23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5">
      <c r="A175" s="231"/>
      <c r="B175" s="231"/>
      <c r="C175" s="231"/>
      <c r="D175" s="231"/>
      <c r="E175" s="225"/>
      <c r="F175" s="231"/>
      <c r="G175" s="231"/>
      <c r="H175" s="231"/>
      <c r="I175" s="231"/>
      <c r="J175" s="231"/>
      <c r="K175" s="231"/>
      <c r="L175" s="231"/>
      <c r="M175" s="231"/>
      <c r="N175" s="244"/>
      <c r="O175" s="225"/>
      <c r="P175" s="231"/>
      <c r="Q175" s="23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5">
      <c r="A176" s="231"/>
      <c r="B176" s="231"/>
      <c r="C176" s="231"/>
      <c r="D176" s="231"/>
      <c r="E176" s="225"/>
      <c r="F176" s="231"/>
      <c r="G176" s="231"/>
      <c r="H176" s="231"/>
      <c r="I176" s="231"/>
      <c r="J176" s="231"/>
      <c r="K176" s="231"/>
      <c r="L176" s="231"/>
      <c r="M176" s="231"/>
      <c r="N176" s="244"/>
      <c r="O176" s="225"/>
      <c r="P176" s="231"/>
      <c r="Q176" s="23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5">
      <c r="A177" s="231"/>
      <c r="B177" s="231"/>
      <c r="C177" s="231"/>
      <c r="D177" s="231"/>
      <c r="E177" s="225"/>
      <c r="F177" s="231"/>
      <c r="G177" s="231"/>
      <c r="H177" s="231"/>
      <c r="I177" s="231"/>
      <c r="J177" s="231"/>
      <c r="K177" s="231"/>
      <c r="L177" s="231"/>
      <c r="M177" s="231"/>
      <c r="N177" s="244"/>
      <c r="O177" s="225"/>
      <c r="P177" s="231"/>
      <c r="Q177" s="23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5">
      <c r="A178" s="231"/>
      <c r="B178" s="231"/>
      <c r="C178" s="231"/>
      <c r="D178" s="231"/>
      <c r="E178" s="225"/>
      <c r="F178" s="231"/>
      <c r="G178" s="231"/>
      <c r="H178" s="231"/>
      <c r="I178" s="231"/>
      <c r="J178" s="231"/>
      <c r="K178" s="231"/>
      <c r="L178" s="231"/>
      <c r="M178" s="231"/>
      <c r="N178" s="244"/>
      <c r="O178" s="225"/>
      <c r="P178" s="231"/>
      <c r="Q178" s="23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5">
      <c r="A179" s="231"/>
      <c r="B179" s="231"/>
      <c r="C179" s="231"/>
      <c r="D179" s="231"/>
      <c r="E179" s="225"/>
      <c r="F179" s="231"/>
      <c r="G179" s="231"/>
      <c r="H179" s="231"/>
      <c r="I179" s="231"/>
      <c r="J179" s="231"/>
      <c r="K179" s="231"/>
      <c r="L179" s="231"/>
      <c r="M179" s="231"/>
      <c r="N179" s="244"/>
      <c r="O179" s="225"/>
      <c r="P179" s="231"/>
      <c r="Q179" s="23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5">
      <c r="A180" s="231"/>
      <c r="B180" s="231"/>
      <c r="C180" s="231"/>
      <c r="D180" s="231"/>
      <c r="E180" s="225"/>
      <c r="F180" s="231"/>
      <c r="G180" s="231"/>
      <c r="H180" s="231"/>
      <c r="I180" s="231"/>
      <c r="J180" s="231"/>
      <c r="K180" s="231"/>
      <c r="L180" s="231"/>
      <c r="M180" s="231"/>
      <c r="N180" s="244"/>
      <c r="O180" s="225"/>
      <c r="P180" s="231"/>
      <c r="Q180" s="23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5">
      <c r="A181" s="231"/>
      <c r="B181" s="231"/>
      <c r="C181" s="231"/>
      <c r="D181" s="231"/>
      <c r="E181" s="225"/>
      <c r="F181" s="231"/>
      <c r="G181" s="231"/>
      <c r="H181" s="231"/>
      <c r="I181" s="231"/>
      <c r="J181" s="231"/>
      <c r="K181" s="231"/>
      <c r="L181" s="231"/>
      <c r="M181" s="231"/>
      <c r="N181" s="244"/>
      <c r="O181" s="225"/>
      <c r="P181" s="231"/>
      <c r="Q181" s="23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5">
      <c r="A182" s="231"/>
      <c r="B182" s="231"/>
      <c r="C182" s="231"/>
      <c r="D182" s="231"/>
      <c r="E182" s="225"/>
      <c r="F182" s="231"/>
      <c r="G182" s="231"/>
      <c r="H182" s="231"/>
      <c r="I182" s="231"/>
      <c r="J182" s="231"/>
      <c r="K182" s="231"/>
      <c r="L182" s="231"/>
      <c r="M182" s="231"/>
      <c r="N182" s="244"/>
      <c r="O182" s="225"/>
      <c r="P182" s="231"/>
      <c r="Q182" s="23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5">
      <c r="A183" s="231"/>
      <c r="B183" s="231"/>
      <c r="C183" s="231"/>
      <c r="D183" s="231"/>
      <c r="E183" s="225"/>
      <c r="F183" s="231"/>
      <c r="G183" s="231"/>
      <c r="H183" s="231"/>
      <c r="I183" s="231"/>
      <c r="J183" s="231"/>
      <c r="K183" s="231"/>
      <c r="L183" s="231"/>
      <c r="M183" s="231"/>
      <c r="N183" s="244"/>
      <c r="O183" s="225"/>
      <c r="P183" s="231"/>
      <c r="Q183" s="23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5">
      <c r="A184" s="231"/>
      <c r="B184" s="231"/>
      <c r="C184" s="231"/>
      <c r="D184" s="231"/>
      <c r="E184" s="225"/>
      <c r="F184" s="231"/>
      <c r="G184" s="231"/>
      <c r="H184" s="231"/>
      <c r="I184" s="231"/>
      <c r="J184" s="231"/>
      <c r="K184" s="231"/>
      <c r="L184" s="231"/>
      <c r="M184" s="231"/>
      <c r="N184" s="244"/>
      <c r="O184" s="225"/>
      <c r="P184" s="231"/>
      <c r="Q184" s="23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5">
      <c r="A185" s="231"/>
      <c r="B185" s="231"/>
      <c r="C185" s="231"/>
      <c r="D185" s="231"/>
      <c r="E185" s="225"/>
      <c r="F185" s="231"/>
      <c r="G185" s="231"/>
      <c r="H185" s="231"/>
      <c r="I185" s="231"/>
      <c r="J185" s="231"/>
      <c r="K185" s="231"/>
      <c r="L185" s="231"/>
      <c r="M185" s="231"/>
      <c r="N185" s="244"/>
      <c r="O185" s="225"/>
      <c r="P185" s="231"/>
      <c r="Q185" s="23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5">
      <c r="A186" s="231"/>
      <c r="B186" s="231"/>
      <c r="C186" s="231"/>
      <c r="D186" s="231"/>
      <c r="E186" s="225"/>
      <c r="F186" s="231"/>
      <c r="G186" s="231"/>
      <c r="H186" s="231"/>
      <c r="I186" s="231"/>
      <c r="J186" s="231"/>
      <c r="K186" s="231"/>
      <c r="L186" s="231"/>
      <c r="M186" s="231"/>
      <c r="N186" s="244"/>
      <c r="O186" s="225"/>
      <c r="P186" s="231"/>
      <c r="Q186" s="23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5">
      <c r="A187" s="231"/>
      <c r="B187" s="231"/>
      <c r="C187" s="231"/>
      <c r="D187" s="231"/>
      <c r="E187" s="225"/>
      <c r="F187" s="231"/>
      <c r="G187" s="231"/>
      <c r="H187" s="231"/>
      <c r="I187" s="231"/>
      <c r="J187" s="231"/>
      <c r="K187" s="231"/>
      <c r="L187" s="231"/>
      <c r="M187" s="231"/>
      <c r="N187" s="244"/>
      <c r="O187" s="225"/>
      <c r="P187" s="231"/>
      <c r="Q187" s="23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5">
      <c r="A188" s="231"/>
      <c r="B188" s="231"/>
      <c r="C188" s="231"/>
      <c r="D188" s="231"/>
      <c r="E188" s="225"/>
      <c r="F188" s="231"/>
      <c r="G188" s="231"/>
      <c r="H188" s="231"/>
      <c r="I188" s="231"/>
      <c r="J188" s="231"/>
      <c r="K188" s="231"/>
      <c r="L188" s="231"/>
      <c r="M188" s="231"/>
      <c r="N188" s="244"/>
      <c r="O188" s="225"/>
      <c r="P188" s="231"/>
      <c r="Q188" s="23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5">
      <c r="A189" s="231"/>
      <c r="B189" s="231"/>
      <c r="C189" s="231"/>
      <c r="D189" s="231"/>
      <c r="E189" s="225"/>
      <c r="F189" s="231"/>
      <c r="G189" s="231"/>
      <c r="H189" s="231"/>
      <c r="I189" s="231"/>
      <c r="J189" s="231"/>
      <c r="K189" s="231"/>
      <c r="L189" s="231"/>
      <c r="M189" s="231"/>
      <c r="N189" s="244"/>
      <c r="O189" s="225"/>
      <c r="P189" s="231"/>
      <c r="Q189" s="23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5">
      <c r="A190" s="231"/>
      <c r="B190" s="231"/>
      <c r="C190" s="231"/>
      <c r="D190" s="231"/>
      <c r="E190" s="225"/>
      <c r="F190" s="231"/>
      <c r="G190" s="231"/>
      <c r="H190" s="231"/>
      <c r="I190" s="231"/>
      <c r="J190" s="231"/>
      <c r="K190" s="231"/>
      <c r="L190" s="231"/>
      <c r="M190" s="231"/>
      <c r="N190" s="244"/>
      <c r="O190" s="225"/>
      <c r="P190" s="231"/>
      <c r="Q190" s="23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5">
      <c r="A191" s="231"/>
      <c r="B191" s="231"/>
      <c r="C191" s="231"/>
      <c r="D191" s="231"/>
      <c r="E191" s="225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5">
      <c r="A192" s="231"/>
      <c r="B192" s="231"/>
      <c r="C192" s="231"/>
      <c r="D192" s="231"/>
      <c r="E192" s="225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5">
      <c r="A193" s="231"/>
      <c r="B193" s="231"/>
      <c r="C193" s="231"/>
      <c r="D193" s="231"/>
      <c r="E193" s="225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5">
      <c r="A194" s="231"/>
      <c r="B194" s="231"/>
      <c r="C194" s="231"/>
      <c r="D194" s="231"/>
      <c r="E194" s="225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5">
      <c r="A195" s="231"/>
      <c r="B195" s="231"/>
      <c r="C195" s="231"/>
      <c r="D195" s="231"/>
      <c r="E195" s="225"/>
      <c r="F195" s="231"/>
      <c r="G195" s="231"/>
      <c r="H195" s="231"/>
      <c r="I195" s="231"/>
      <c r="J195" s="231"/>
      <c r="K195" s="233"/>
      <c r="L195" s="233"/>
      <c r="M195" s="231"/>
      <c r="N195" s="231"/>
      <c r="O195" s="231"/>
      <c r="P195" s="231"/>
      <c r="Q195" s="23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5">
      <c r="A196" s="231"/>
      <c r="B196" s="231"/>
      <c r="C196" s="231"/>
      <c r="D196" s="231"/>
      <c r="E196" s="225"/>
      <c r="F196" s="231"/>
      <c r="G196" s="231"/>
      <c r="H196" s="231"/>
      <c r="I196" s="231"/>
      <c r="J196" s="231"/>
      <c r="K196" s="233"/>
      <c r="L196" s="233"/>
      <c r="M196" s="231"/>
      <c r="N196" s="231"/>
      <c r="O196" s="231"/>
      <c r="P196" s="231"/>
      <c r="Q196" s="23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5">
      <c r="A197" s="231"/>
      <c r="B197" s="231"/>
      <c r="C197" s="231"/>
      <c r="D197" s="231"/>
      <c r="E197" s="225"/>
      <c r="F197" s="231"/>
      <c r="G197" s="231"/>
      <c r="H197" s="231"/>
      <c r="I197" s="231"/>
      <c r="J197" s="231"/>
      <c r="K197" s="231"/>
      <c r="L197" s="231"/>
      <c r="M197" s="231"/>
      <c r="N197" s="231"/>
      <c r="O197" s="231"/>
      <c r="P197" s="231"/>
      <c r="Q197" s="23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5">
      <c r="A198" s="231"/>
      <c r="B198" s="231"/>
      <c r="C198" s="231"/>
      <c r="D198" s="231"/>
      <c r="E198" s="225"/>
      <c r="F198" s="231"/>
      <c r="G198" s="231"/>
      <c r="H198" s="231"/>
      <c r="I198" s="231"/>
      <c r="J198" s="231"/>
      <c r="K198" s="231"/>
      <c r="L198" s="231"/>
      <c r="M198" s="231"/>
      <c r="N198" s="231"/>
      <c r="O198" s="231"/>
      <c r="P198" s="231"/>
      <c r="Q198" s="23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5">
      <c r="A199" s="231"/>
      <c r="B199" s="231"/>
      <c r="C199" s="231"/>
      <c r="D199" s="231"/>
      <c r="E199" s="225"/>
      <c r="F199" s="231"/>
      <c r="G199" s="231"/>
      <c r="H199" s="231"/>
      <c r="I199" s="231"/>
      <c r="J199" s="231"/>
      <c r="K199" s="231"/>
      <c r="L199" s="231"/>
      <c r="M199" s="231"/>
      <c r="N199" s="231"/>
      <c r="O199" s="231"/>
      <c r="P199" s="231"/>
      <c r="Q199" s="23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5">
      <c r="A200" s="231"/>
      <c r="B200" s="231"/>
      <c r="C200" s="231"/>
      <c r="D200" s="231"/>
      <c r="E200" s="225"/>
      <c r="F200" s="231"/>
      <c r="G200" s="231"/>
      <c r="H200" s="231"/>
      <c r="I200" s="231"/>
      <c r="J200" s="231"/>
      <c r="K200" s="231"/>
      <c r="L200" s="231"/>
      <c r="M200" s="231"/>
      <c r="N200" s="231"/>
      <c r="O200" s="231"/>
      <c r="P200" s="231"/>
      <c r="Q200" s="23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5">
      <c r="A201" s="231"/>
      <c r="B201" s="231"/>
      <c r="C201" s="231"/>
      <c r="D201" s="231"/>
      <c r="E201" s="225"/>
      <c r="F201" s="231"/>
      <c r="G201" s="231"/>
      <c r="H201" s="231"/>
      <c r="I201" s="231"/>
      <c r="J201" s="231"/>
      <c r="K201" s="231"/>
      <c r="L201" s="231"/>
      <c r="M201" s="231"/>
      <c r="N201" s="231"/>
      <c r="O201" s="231"/>
      <c r="P201" s="231"/>
      <c r="Q201" s="23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5">
      <c r="A202" s="231"/>
      <c r="B202" s="231"/>
      <c r="C202" s="231"/>
      <c r="D202" s="231"/>
      <c r="E202" s="225"/>
      <c r="F202" s="231"/>
      <c r="G202" s="231"/>
      <c r="H202" s="231"/>
      <c r="I202" s="231"/>
      <c r="J202" s="231"/>
      <c r="K202" s="231"/>
      <c r="L202" s="231"/>
      <c r="M202" s="231"/>
      <c r="N202" s="231"/>
      <c r="O202" s="231"/>
      <c r="P202" s="231"/>
      <c r="Q202" s="23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5">
      <c r="A203" s="231"/>
      <c r="B203" s="231"/>
      <c r="C203" s="231"/>
      <c r="D203" s="231"/>
      <c r="E203" s="225"/>
      <c r="F203" s="231"/>
      <c r="G203" s="231"/>
      <c r="H203" s="231"/>
      <c r="I203" s="231"/>
      <c r="J203" s="231"/>
      <c r="K203" s="231"/>
      <c r="L203" s="231"/>
      <c r="M203" s="231"/>
      <c r="N203" s="231"/>
      <c r="O203" s="231"/>
      <c r="P203" s="231"/>
      <c r="Q203" s="23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5">
      <c r="A204" s="231"/>
      <c r="B204" s="231"/>
      <c r="C204" s="231"/>
      <c r="D204" s="231"/>
      <c r="E204" s="225"/>
      <c r="F204" s="231"/>
      <c r="G204" s="231"/>
      <c r="H204" s="231"/>
      <c r="I204" s="231"/>
      <c r="J204" s="231"/>
      <c r="K204" s="231"/>
      <c r="L204" s="231"/>
      <c r="M204" s="231"/>
      <c r="N204" s="231"/>
      <c r="O204" s="231"/>
      <c r="P204" s="231"/>
      <c r="Q204" s="23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5">
      <c r="A205" s="231"/>
      <c r="B205" s="231"/>
      <c r="C205" s="231"/>
      <c r="D205" s="231"/>
      <c r="E205" s="225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5">
      <c r="A206" s="231"/>
      <c r="B206" s="231"/>
      <c r="C206" s="231"/>
      <c r="D206" s="231"/>
      <c r="E206" s="225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5">
      <c r="A207" s="231"/>
      <c r="B207" s="231"/>
      <c r="C207" s="231"/>
      <c r="D207" s="231"/>
      <c r="E207" s="225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5">
      <c r="A208" s="231"/>
      <c r="B208" s="231"/>
      <c r="C208" s="231"/>
      <c r="D208" s="231"/>
      <c r="E208" s="225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5">
      <c r="A209" s="231"/>
      <c r="B209" s="231"/>
      <c r="C209" s="231"/>
      <c r="D209" s="231"/>
      <c r="E209" s="225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5">
      <c r="A210" s="231"/>
      <c r="B210" s="231"/>
      <c r="C210" s="231"/>
      <c r="D210" s="231"/>
      <c r="E210" s="225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5">
      <c r="A211" s="231"/>
      <c r="B211" s="231"/>
      <c r="C211" s="231"/>
      <c r="D211" s="231"/>
      <c r="E211" s="225"/>
      <c r="F211" s="231"/>
      <c r="G211" s="231"/>
      <c r="H211" s="231"/>
      <c r="I211" s="231"/>
      <c r="J211" s="231"/>
      <c r="K211" s="231"/>
      <c r="L211" s="231"/>
      <c r="M211" s="231"/>
      <c r="N211" s="231"/>
      <c r="O211" s="231"/>
      <c r="P211" s="231"/>
      <c r="Q211" s="23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5">
      <c r="A212" s="231"/>
      <c r="B212" s="231"/>
      <c r="C212" s="231"/>
      <c r="D212" s="231"/>
      <c r="E212" s="225"/>
      <c r="F212" s="231"/>
      <c r="G212" s="231"/>
      <c r="H212" s="231"/>
      <c r="I212" s="231"/>
      <c r="J212" s="231"/>
      <c r="K212" s="231"/>
      <c r="L212" s="231"/>
      <c r="M212" s="231"/>
      <c r="N212" s="231"/>
      <c r="O212" s="231"/>
      <c r="P212" s="231"/>
      <c r="Q212" s="23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5">
      <c r="A213" s="231"/>
      <c r="B213" s="231"/>
      <c r="C213" s="231"/>
      <c r="D213" s="231"/>
      <c r="E213" s="225"/>
      <c r="F213" s="231"/>
      <c r="G213" s="231"/>
      <c r="H213" s="231"/>
      <c r="I213" s="231"/>
      <c r="J213" s="231"/>
      <c r="K213" s="231"/>
      <c r="L213" s="231"/>
      <c r="M213" s="231"/>
      <c r="N213" s="231"/>
      <c r="O213" s="231"/>
      <c r="P213" s="231"/>
      <c r="Q213" s="23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5">
      <c r="A214" s="231"/>
      <c r="B214" s="231"/>
      <c r="C214" s="231"/>
      <c r="D214" s="231"/>
      <c r="E214" s="225"/>
      <c r="F214" s="231"/>
      <c r="G214" s="231"/>
      <c r="H214" s="231"/>
      <c r="I214" s="231"/>
      <c r="J214" s="231"/>
      <c r="K214" s="231"/>
      <c r="L214" s="231"/>
      <c r="M214" s="231"/>
      <c r="N214" s="231"/>
      <c r="O214" s="231"/>
      <c r="P214" s="231"/>
      <c r="Q214" s="23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5">
      <c r="A215" s="231"/>
      <c r="B215" s="231"/>
      <c r="C215" s="231"/>
      <c r="D215" s="231"/>
      <c r="E215" s="225"/>
      <c r="F215" s="231"/>
      <c r="G215" s="231"/>
      <c r="H215" s="231"/>
      <c r="I215" s="231"/>
      <c r="J215" s="231"/>
      <c r="K215" s="231"/>
      <c r="L215" s="231"/>
      <c r="M215" s="231"/>
      <c r="N215" s="231"/>
      <c r="O215" s="231"/>
      <c r="P215" s="231"/>
      <c r="Q215" s="23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5">
      <c r="A216" s="231"/>
      <c r="B216" s="231"/>
      <c r="C216" s="231"/>
      <c r="D216" s="231"/>
      <c r="E216" s="225"/>
      <c r="F216" s="231"/>
      <c r="G216" s="231"/>
      <c r="H216" s="231"/>
      <c r="I216" s="231"/>
      <c r="J216" s="231"/>
      <c r="K216" s="231"/>
      <c r="L216" s="231"/>
      <c r="M216" s="231"/>
      <c r="N216" s="231"/>
      <c r="O216" s="231"/>
      <c r="P216" s="231"/>
      <c r="Q216" s="23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5">
      <c r="A217" s="231"/>
      <c r="B217" s="231"/>
      <c r="C217" s="231"/>
      <c r="D217" s="231"/>
      <c r="E217" s="225"/>
      <c r="F217" s="231"/>
      <c r="G217" s="231"/>
      <c r="H217" s="231"/>
      <c r="I217" s="231"/>
      <c r="J217" s="231"/>
      <c r="K217" s="231"/>
      <c r="L217" s="231"/>
      <c r="M217" s="231"/>
      <c r="N217" s="231"/>
      <c r="O217" s="231"/>
      <c r="P217" s="231"/>
      <c r="Q217" s="23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5">
      <c r="A218" s="231"/>
      <c r="B218" s="231"/>
      <c r="C218" s="231"/>
      <c r="D218" s="231"/>
      <c r="E218" s="225"/>
      <c r="F218" s="231"/>
      <c r="G218" s="231"/>
      <c r="H218" s="231"/>
      <c r="I218" s="231"/>
      <c r="J218" s="231"/>
      <c r="K218" s="231"/>
      <c r="L218" s="231"/>
      <c r="M218" s="231"/>
      <c r="N218" s="231"/>
      <c r="O218" s="231"/>
      <c r="P218" s="231"/>
      <c r="Q218" s="23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5">
      <c r="A219" s="231"/>
      <c r="B219" s="231"/>
      <c r="C219" s="231"/>
      <c r="D219" s="231"/>
      <c r="E219" s="225"/>
      <c r="F219" s="231"/>
      <c r="G219" s="231"/>
      <c r="H219" s="231"/>
      <c r="I219" s="231"/>
      <c r="J219" s="231"/>
      <c r="K219" s="231"/>
      <c r="L219" s="231"/>
      <c r="M219" s="231"/>
      <c r="N219" s="231"/>
      <c r="O219" s="231"/>
      <c r="P219" s="231"/>
      <c r="Q219" s="23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5">
      <c r="A220" s="231"/>
      <c r="B220" s="231"/>
      <c r="C220" s="231"/>
      <c r="D220" s="231"/>
      <c r="E220" s="225"/>
      <c r="F220" s="231"/>
      <c r="G220" s="231"/>
      <c r="H220" s="231"/>
      <c r="I220" s="231"/>
      <c r="J220" s="231"/>
      <c r="K220" s="231"/>
      <c r="L220" s="231"/>
      <c r="M220" s="231"/>
      <c r="N220" s="231"/>
      <c r="O220" s="231"/>
      <c r="P220" s="231"/>
      <c r="Q220" s="23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5">
      <c r="A221" s="231"/>
      <c r="B221" s="231"/>
      <c r="C221" s="231"/>
      <c r="D221" s="231"/>
      <c r="E221" s="225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5">
      <c r="A222" s="231"/>
      <c r="B222" s="231"/>
      <c r="C222" s="231"/>
      <c r="D222" s="231"/>
      <c r="E222" s="225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5">
      <c r="A223" s="231"/>
      <c r="B223" s="231"/>
      <c r="C223" s="231"/>
      <c r="D223" s="231"/>
      <c r="E223" s="225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5">
      <c r="A224" s="231"/>
      <c r="B224" s="231"/>
      <c r="C224" s="231"/>
      <c r="D224" s="231"/>
      <c r="E224" s="225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5">
      <c r="A225" s="231"/>
      <c r="B225" s="231"/>
      <c r="C225" s="231"/>
      <c r="D225" s="231"/>
      <c r="E225" s="225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5">
      <c r="A226" s="231"/>
      <c r="B226" s="231"/>
      <c r="C226" s="231"/>
      <c r="D226" s="231"/>
      <c r="E226" s="225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5">
      <c r="A227" s="231"/>
      <c r="B227" s="231"/>
      <c r="C227" s="231"/>
      <c r="D227" s="231"/>
      <c r="E227" s="225"/>
      <c r="F227" s="231"/>
      <c r="G227" s="231"/>
      <c r="H227" s="231"/>
      <c r="I227" s="231"/>
      <c r="J227" s="231"/>
      <c r="K227" s="231"/>
      <c r="L227" s="231"/>
      <c r="M227" s="231"/>
      <c r="N227" s="231"/>
      <c r="O227" s="231"/>
      <c r="P227" s="231"/>
      <c r="Q227" s="23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5">
      <c r="A228" s="231"/>
      <c r="B228" s="231"/>
      <c r="C228" s="231"/>
      <c r="D228" s="231"/>
      <c r="E228" s="225"/>
      <c r="F228" s="231"/>
      <c r="G228" s="231"/>
      <c r="H228" s="231"/>
      <c r="I228" s="231"/>
      <c r="J228" s="231"/>
      <c r="K228" s="231"/>
      <c r="L228" s="231"/>
      <c r="M228" s="231"/>
      <c r="N228" s="231"/>
      <c r="O228" s="231"/>
      <c r="P228" s="231"/>
      <c r="Q228" s="23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5">
      <c r="A229" s="231"/>
      <c r="B229" s="231"/>
      <c r="C229" s="231"/>
      <c r="D229" s="231"/>
      <c r="E229" s="225"/>
      <c r="F229" s="231"/>
      <c r="G229" s="231"/>
      <c r="H229" s="231"/>
      <c r="I229" s="231"/>
      <c r="J229" s="231"/>
      <c r="K229" s="231"/>
      <c r="L229" s="231"/>
      <c r="M229" s="231"/>
      <c r="N229" s="231"/>
      <c r="O229" s="231"/>
      <c r="P229" s="231"/>
      <c r="Q229" s="23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5">
      <c r="A230" s="231"/>
      <c r="B230" s="231"/>
      <c r="C230" s="231"/>
      <c r="D230" s="231"/>
      <c r="E230" s="225"/>
      <c r="F230" s="231"/>
      <c r="G230" s="231"/>
      <c r="H230" s="231"/>
      <c r="I230" s="231"/>
      <c r="J230" s="231"/>
      <c r="K230" s="231"/>
      <c r="L230" s="231"/>
      <c r="M230" s="231"/>
      <c r="N230" s="231"/>
      <c r="O230" s="231"/>
      <c r="P230" s="231"/>
      <c r="Q230" s="23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5">
      <c r="A231" s="231"/>
      <c r="B231" s="231"/>
      <c r="C231" s="231"/>
      <c r="D231" s="231"/>
      <c r="E231" s="225"/>
      <c r="F231" s="231"/>
      <c r="G231" s="231"/>
      <c r="H231" s="231"/>
      <c r="I231" s="231"/>
      <c r="J231" s="231"/>
      <c r="K231" s="231"/>
      <c r="L231" s="231"/>
      <c r="M231" s="231"/>
      <c r="N231" s="231"/>
      <c r="O231" s="231"/>
      <c r="P231" s="231"/>
      <c r="Q231" s="23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5">
      <c r="A232" s="231"/>
      <c r="B232" s="231"/>
      <c r="C232" s="231"/>
      <c r="D232" s="231"/>
      <c r="E232" s="225"/>
      <c r="F232" s="231"/>
      <c r="G232" s="231"/>
      <c r="H232" s="231"/>
      <c r="I232" s="231"/>
      <c r="J232" s="231"/>
      <c r="K232" s="231"/>
      <c r="L232" s="231"/>
      <c r="M232" s="231"/>
      <c r="N232" s="231"/>
      <c r="O232" s="231"/>
      <c r="P232" s="231"/>
      <c r="Q232" s="23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5">
      <c r="A233" s="231"/>
      <c r="B233" s="231"/>
      <c r="C233" s="231"/>
      <c r="D233" s="231"/>
      <c r="E233" s="225"/>
      <c r="F233" s="231"/>
      <c r="G233" s="231"/>
      <c r="H233" s="231"/>
      <c r="I233" s="231"/>
      <c r="J233" s="231"/>
      <c r="K233" s="231"/>
      <c r="L233" s="231"/>
      <c r="M233" s="231"/>
      <c r="N233" s="231"/>
      <c r="O233" s="231"/>
      <c r="P233" s="231"/>
      <c r="Q233" s="23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5">
      <c r="A234" s="231"/>
      <c r="B234" s="231"/>
      <c r="C234" s="231"/>
      <c r="D234" s="231"/>
      <c r="E234" s="225"/>
      <c r="F234" s="231"/>
      <c r="G234" s="231"/>
      <c r="H234" s="231"/>
      <c r="I234" s="231"/>
      <c r="J234" s="231"/>
      <c r="K234" s="231"/>
      <c r="L234" s="231"/>
      <c r="M234" s="231"/>
      <c r="N234" s="231"/>
      <c r="O234" s="231"/>
      <c r="P234" s="231"/>
      <c r="Q234" s="23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5">
      <c r="A235" s="231"/>
      <c r="B235" s="231"/>
      <c r="C235" s="231"/>
      <c r="D235" s="231"/>
      <c r="E235" s="225"/>
      <c r="F235" s="231"/>
      <c r="G235" s="231"/>
      <c r="H235" s="231"/>
      <c r="I235" s="231"/>
      <c r="J235" s="231"/>
      <c r="K235" s="231"/>
      <c r="L235" s="231"/>
      <c r="M235" s="231"/>
      <c r="N235" s="231"/>
      <c r="O235" s="231"/>
      <c r="P235" s="231"/>
      <c r="Q235" s="23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5">
      <c r="A236" s="1"/>
      <c r="B236" s="1"/>
      <c r="C236" s="1"/>
      <c r="D236" s="1"/>
      <c r="E236" s="5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5">
      <c r="A237" s="1"/>
      <c r="B237" s="1"/>
      <c r="C237" s="1"/>
      <c r="D237" s="1"/>
      <c r="E237" s="5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5">
      <c r="A238" s="1"/>
      <c r="B238" s="1"/>
      <c r="C238" s="1"/>
      <c r="D238" s="1"/>
      <c r="E238" s="5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5">
      <c r="A239" s="1"/>
      <c r="B239" s="1"/>
      <c r="C239" s="1"/>
      <c r="D239" s="1"/>
      <c r="E239" s="5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5">
      <c r="A240" s="1"/>
      <c r="B240" s="1"/>
      <c r="C240" s="1"/>
      <c r="D240" s="1"/>
      <c r="E240" s="5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5">
      <c r="A241" s="1"/>
      <c r="B241" s="1"/>
      <c r="C241" s="1"/>
      <c r="D241" s="1"/>
      <c r="E241" s="5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5">
      <c r="A242" s="1"/>
      <c r="B242" s="1"/>
      <c r="C242" s="1"/>
      <c r="D242" s="1"/>
      <c r="E242" s="5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5">
      <c r="A243" s="1"/>
      <c r="B243" s="1"/>
      <c r="C243" s="1"/>
      <c r="D243" s="1"/>
      <c r="E243" s="5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5">
      <c r="A244" s="1"/>
      <c r="B244" s="1"/>
      <c r="C244" s="1"/>
      <c r="D244" s="1"/>
      <c r="E244" s="5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5">
      <c r="A245" s="1"/>
      <c r="B245" s="1"/>
      <c r="C245" s="1"/>
      <c r="D245" s="1"/>
      <c r="E245" s="5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5">
      <c r="A246" s="1"/>
      <c r="B246" s="1"/>
      <c r="C246" s="1"/>
      <c r="D246" s="1"/>
      <c r="E246" s="5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5">
      <c r="A247" s="1"/>
      <c r="B247" s="1"/>
      <c r="C247" s="1"/>
      <c r="D247" s="1"/>
      <c r="E247" s="5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5">
      <c r="A248" s="1"/>
      <c r="B248" s="1"/>
      <c r="C248" s="1"/>
      <c r="D248" s="1"/>
      <c r="E248" s="5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5">
      <c r="A249" s="1"/>
      <c r="B249" s="1"/>
      <c r="C249" s="1"/>
      <c r="D249" s="1"/>
      <c r="E249" s="5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5">
      <c r="A250" s="1"/>
      <c r="B250" s="1"/>
      <c r="C250" s="1"/>
      <c r="D250" s="1"/>
      <c r="E250" s="5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5">
      <c r="A251" s="1"/>
      <c r="B251" s="1"/>
      <c r="C251" s="1"/>
      <c r="D251" s="1"/>
      <c r="E251" s="5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5">
      <c r="A252" s="1"/>
      <c r="B252" s="1"/>
      <c r="C252" s="1"/>
      <c r="D252" s="1"/>
      <c r="E252" s="5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5">
      <c r="A253" s="1"/>
      <c r="B253" s="1"/>
      <c r="C253" s="1"/>
      <c r="D253" s="1"/>
      <c r="E253" s="5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5">
      <c r="A254" s="1"/>
      <c r="B254" s="1"/>
      <c r="C254" s="1"/>
      <c r="D254" s="1"/>
      <c r="E254" s="5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5">
      <c r="A255" s="1"/>
      <c r="B255" s="1"/>
      <c r="C255" s="1"/>
      <c r="D255" s="1"/>
      <c r="E255" s="5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5">
      <c r="A256" s="1"/>
      <c r="B256" s="1"/>
      <c r="C256" s="1"/>
      <c r="D256" s="1"/>
      <c r="E256" s="5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5">
      <c r="D257" s="1"/>
      <c r="E257" s="51"/>
      <c r="F257" s="1"/>
      <c r="G257" s="1"/>
      <c r="H257" s="1"/>
      <c r="I257" s="1"/>
      <c r="J257" s="1"/>
      <c r="K257" s="1"/>
      <c r="L257" s="1"/>
    </row>
    <row r="258" spans="4:12" ht="15.75" customHeight="1" x14ac:dyDescent="0.25">
      <c r="D258" s="1"/>
      <c r="E258" s="51"/>
      <c r="F258" s="1"/>
      <c r="G258" s="1"/>
      <c r="H258" s="1"/>
      <c r="I258" s="1"/>
      <c r="J258" s="1"/>
      <c r="K258" s="1"/>
      <c r="L258" s="1"/>
    </row>
    <row r="259" spans="4:12" ht="15.75" customHeight="1" x14ac:dyDescent="0.25">
      <c r="D259" s="1"/>
      <c r="E259" s="51"/>
      <c r="F259" s="1"/>
      <c r="G259" s="1"/>
      <c r="H259" s="1"/>
      <c r="I259" s="1"/>
      <c r="J259" s="1"/>
      <c r="K259" s="1"/>
      <c r="L259" s="1"/>
    </row>
    <row r="260" spans="4:12" ht="15.75" customHeight="1" x14ac:dyDescent="0.25">
      <c r="D260" s="1"/>
      <c r="E260" s="51"/>
      <c r="F260" s="1"/>
      <c r="G260" s="1"/>
      <c r="H260" s="1"/>
      <c r="I260" s="1"/>
      <c r="J260" s="1"/>
      <c r="K260" s="1"/>
      <c r="L260" s="1"/>
    </row>
    <row r="261" spans="4:12" ht="15.75" customHeight="1" x14ac:dyDescent="0.25">
      <c r="E261" s="51"/>
    </row>
    <row r="262" spans="4:12" ht="15.75" customHeight="1" x14ac:dyDescent="0.25">
      <c r="E262" s="51"/>
    </row>
    <row r="263" spans="4:12" ht="15.75" customHeight="1" x14ac:dyDescent="0.25">
      <c r="E263" s="51"/>
    </row>
    <row r="264" spans="4:12" ht="15.75" customHeight="1" x14ac:dyDescent="0.25">
      <c r="E264" s="51"/>
    </row>
    <row r="265" spans="4:12" ht="15.75" customHeight="1" x14ac:dyDescent="0.25">
      <c r="E265" s="51"/>
    </row>
    <row r="266" spans="4:12" ht="15.75" customHeight="1" x14ac:dyDescent="0.25">
      <c r="E266" s="51"/>
    </row>
    <row r="267" spans="4:12" ht="15.75" customHeight="1" x14ac:dyDescent="0.25">
      <c r="E267" s="51"/>
    </row>
    <row r="268" spans="4:12" ht="15.75" customHeight="1" x14ac:dyDescent="0.25">
      <c r="E268" s="51"/>
    </row>
    <row r="269" spans="4:12" ht="15.75" customHeight="1" x14ac:dyDescent="0.25">
      <c r="E269" s="51"/>
    </row>
    <row r="270" spans="4:12" ht="15.75" customHeight="1" x14ac:dyDescent="0.25">
      <c r="E270" s="51"/>
    </row>
    <row r="271" spans="4:12" ht="15.75" customHeight="1" x14ac:dyDescent="0.25">
      <c r="E271" s="51"/>
    </row>
    <row r="272" spans="4:12" ht="15.75" customHeight="1" x14ac:dyDescent="0.25">
      <c r="E272" s="51"/>
    </row>
    <row r="273" spans="5:5" ht="15.75" customHeight="1" x14ac:dyDescent="0.25">
      <c r="E273" s="51"/>
    </row>
    <row r="274" spans="5:5" ht="15.75" customHeight="1" x14ac:dyDescent="0.25">
      <c r="E274" s="51"/>
    </row>
    <row r="275" spans="5:5" ht="15.75" customHeight="1" x14ac:dyDescent="0.25">
      <c r="E275" s="51"/>
    </row>
    <row r="276" spans="5:5" ht="15.75" customHeight="1" x14ac:dyDescent="0.25">
      <c r="E276" s="51"/>
    </row>
    <row r="277" spans="5:5" ht="15.75" customHeight="1" x14ac:dyDescent="0.25">
      <c r="E277" s="51"/>
    </row>
    <row r="278" spans="5:5" ht="15.75" customHeight="1" x14ac:dyDescent="0.25">
      <c r="E278" s="51"/>
    </row>
    <row r="279" spans="5:5" ht="15.75" customHeight="1" x14ac:dyDescent="0.25">
      <c r="E279" s="51"/>
    </row>
    <row r="280" spans="5:5" ht="15.75" customHeight="1" x14ac:dyDescent="0.25">
      <c r="E280" s="51"/>
    </row>
    <row r="281" spans="5:5" ht="15.75" customHeight="1" x14ac:dyDescent="0.25">
      <c r="E281" s="51"/>
    </row>
    <row r="282" spans="5:5" ht="15.75" customHeight="1" x14ac:dyDescent="0.25">
      <c r="E282" s="51"/>
    </row>
    <row r="283" spans="5:5" ht="15.75" customHeight="1" x14ac:dyDescent="0.25">
      <c r="E283" s="51"/>
    </row>
    <row r="284" spans="5:5" ht="15.75" customHeight="1" x14ac:dyDescent="0.25">
      <c r="E284" s="51"/>
    </row>
    <row r="285" spans="5:5" ht="15.75" customHeight="1" x14ac:dyDescent="0.25">
      <c r="E285" s="51"/>
    </row>
    <row r="286" spans="5:5" ht="15.75" customHeight="1" x14ac:dyDescent="0.25">
      <c r="E286" s="51"/>
    </row>
    <row r="287" spans="5:5" ht="15.75" customHeight="1" x14ac:dyDescent="0.25">
      <c r="E287" s="51"/>
    </row>
    <row r="288" spans="5:5" ht="15.75" customHeight="1" x14ac:dyDescent="0.25">
      <c r="E288" s="51"/>
    </row>
    <row r="289" spans="5:5" ht="15.75" customHeight="1" x14ac:dyDescent="0.25">
      <c r="E289" s="51"/>
    </row>
    <row r="290" spans="5:5" ht="15.75" customHeight="1" x14ac:dyDescent="0.25">
      <c r="E290" s="51"/>
    </row>
    <row r="291" spans="5:5" ht="15.75" customHeight="1" x14ac:dyDescent="0.25">
      <c r="E291" s="51"/>
    </row>
    <row r="292" spans="5:5" ht="15.75" customHeight="1" x14ac:dyDescent="0.25">
      <c r="E292" s="51"/>
    </row>
    <row r="293" spans="5:5" ht="15.75" customHeight="1" x14ac:dyDescent="0.25">
      <c r="E293" s="51"/>
    </row>
    <row r="294" spans="5:5" ht="15.75" customHeight="1" x14ac:dyDescent="0.25">
      <c r="E294" s="51"/>
    </row>
    <row r="295" spans="5:5" ht="15.75" customHeight="1" x14ac:dyDescent="0.25">
      <c r="E295" s="51"/>
    </row>
    <row r="296" spans="5:5" ht="15.75" customHeight="1" x14ac:dyDescent="0.25">
      <c r="E296" s="51"/>
    </row>
    <row r="297" spans="5:5" ht="15.75" customHeight="1" x14ac:dyDescent="0.25">
      <c r="E297" s="51"/>
    </row>
    <row r="298" spans="5:5" ht="15.75" customHeight="1" x14ac:dyDescent="0.25">
      <c r="E298" s="51"/>
    </row>
    <row r="299" spans="5:5" ht="15.75" customHeight="1" x14ac:dyDescent="0.25">
      <c r="E299" s="51"/>
    </row>
    <row r="300" spans="5:5" ht="15.75" customHeight="1" x14ac:dyDescent="0.25">
      <c r="E300" s="51"/>
    </row>
    <row r="301" spans="5:5" ht="15.75" customHeight="1" x14ac:dyDescent="0.25">
      <c r="E301" s="51"/>
    </row>
    <row r="302" spans="5:5" ht="15.75" customHeight="1" x14ac:dyDescent="0.25">
      <c r="E302" s="51"/>
    </row>
    <row r="303" spans="5:5" ht="15.75" customHeight="1" x14ac:dyDescent="0.25">
      <c r="E303" s="51"/>
    </row>
    <row r="304" spans="5:5" ht="15.75" customHeight="1" x14ac:dyDescent="0.25">
      <c r="E304" s="51"/>
    </row>
    <row r="305" spans="5:5" ht="15.75" customHeight="1" x14ac:dyDescent="0.25">
      <c r="E305" s="51"/>
    </row>
    <row r="306" spans="5:5" ht="15.75" customHeight="1" x14ac:dyDescent="0.25">
      <c r="E306" s="51"/>
    </row>
    <row r="307" spans="5:5" ht="15.75" customHeight="1" x14ac:dyDescent="0.25">
      <c r="E307" s="51"/>
    </row>
    <row r="308" spans="5:5" ht="15.75" customHeight="1" x14ac:dyDescent="0.25">
      <c r="E308" s="51"/>
    </row>
    <row r="309" spans="5:5" ht="15.75" customHeight="1" x14ac:dyDescent="0.25">
      <c r="E309" s="51"/>
    </row>
    <row r="310" spans="5:5" ht="15.75" customHeight="1" x14ac:dyDescent="0.25">
      <c r="E310" s="51"/>
    </row>
    <row r="311" spans="5:5" ht="15.75" customHeight="1" x14ac:dyDescent="0.25">
      <c r="E311" s="51"/>
    </row>
    <row r="312" spans="5:5" ht="15.75" customHeight="1" x14ac:dyDescent="0.25">
      <c r="E312" s="51"/>
    </row>
    <row r="313" spans="5:5" ht="15.75" customHeight="1" x14ac:dyDescent="0.25">
      <c r="E313" s="51"/>
    </row>
    <row r="314" spans="5:5" ht="15.75" customHeight="1" x14ac:dyDescent="0.25">
      <c r="E314" s="51"/>
    </row>
    <row r="315" spans="5:5" ht="15.75" customHeight="1" x14ac:dyDescent="0.25">
      <c r="E315" s="51"/>
    </row>
    <row r="316" spans="5:5" ht="15.75" customHeight="1" x14ac:dyDescent="0.25">
      <c r="E316" s="51"/>
    </row>
    <row r="317" spans="5:5" ht="15.75" customHeight="1" x14ac:dyDescent="0.25">
      <c r="E317" s="51"/>
    </row>
    <row r="318" spans="5:5" ht="15.75" customHeight="1" x14ac:dyDescent="0.25">
      <c r="E318" s="51"/>
    </row>
    <row r="319" spans="5:5" ht="15.75" customHeight="1" x14ac:dyDescent="0.25">
      <c r="E319" s="51"/>
    </row>
    <row r="320" spans="5:5" ht="15.75" customHeight="1" x14ac:dyDescent="0.25">
      <c r="E320" s="51"/>
    </row>
    <row r="321" spans="5:5" ht="15.75" customHeight="1" x14ac:dyDescent="0.25">
      <c r="E321" s="51"/>
    </row>
    <row r="322" spans="5:5" ht="15.75" customHeight="1" x14ac:dyDescent="0.25">
      <c r="E322" s="51"/>
    </row>
    <row r="323" spans="5:5" ht="15.75" customHeight="1" x14ac:dyDescent="0.25">
      <c r="E323" s="51"/>
    </row>
    <row r="324" spans="5:5" ht="15.75" customHeight="1" x14ac:dyDescent="0.25">
      <c r="E324" s="51"/>
    </row>
    <row r="325" spans="5:5" ht="15.75" customHeight="1" x14ac:dyDescent="0.25">
      <c r="E325" s="51"/>
    </row>
    <row r="326" spans="5:5" ht="15.75" customHeight="1" x14ac:dyDescent="0.25">
      <c r="E326" s="51"/>
    </row>
    <row r="327" spans="5:5" ht="15.75" customHeight="1" x14ac:dyDescent="0.25">
      <c r="E327" s="51"/>
    </row>
    <row r="328" spans="5:5" ht="15.75" customHeight="1" x14ac:dyDescent="0.25">
      <c r="E328" s="51"/>
    </row>
    <row r="329" spans="5:5" ht="15.75" customHeight="1" x14ac:dyDescent="0.25">
      <c r="E329" s="51"/>
    </row>
    <row r="330" spans="5:5" ht="15.75" customHeight="1" x14ac:dyDescent="0.25">
      <c r="E330" s="51"/>
    </row>
    <row r="331" spans="5:5" ht="15.75" customHeight="1" x14ac:dyDescent="0.25">
      <c r="E331" s="51"/>
    </row>
    <row r="332" spans="5:5" ht="15.75" customHeight="1" x14ac:dyDescent="0.25">
      <c r="E332" s="51"/>
    </row>
    <row r="333" spans="5:5" ht="15.75" customHeight="1" x14ac:dyDescent="0.25">
      <c r="E333" s="51"/>
    </row>
    <row r="334" spans="5:5" ht="15.75" customHeight="1" x14ac:dyDescent="0.25">
      <c r="E334" s="51"/>
    </row>
    <row r="335" spans="5:5" ht="15.75" customHeight="1" x14ac:dyDescent="0.25">
      <c r="E335" s="51"/>
    </row>
    <row r="336" spans="5:5" ht="15.75" customHeight="1" x14ac:dyDescent="0.25">
      <c r="E336" s="51"/>
    </row>
    <row r="337" spans="5:5" ht="15.75" customHeight="1" x14ac:dyDescent="0.25">
      <c r="E337" s="51"/>
    </row>
    <row r="338" spans="5:5" ht="15.75" customHeight="1" x14ac:dyDescent="0.25">
      <c r="E338" s="51"/>
    </row>
    <row r="339" spans="5:5" ht="15.75" customHeight="1" x14ac:dyDescent="0.25">
      <c r="E339" s="51"/>
    </row>
    <row r="340" spans="5:5" ht="15.75" customHeight="1" x14ac:dyDescent="0.25">
      <c r="E340" s="51"/>
    </row>
    <row r="341" spans="5:5" ht="15.75" customHeight="1" x14ac:dyDescent="0.25">
      <c r="E341" s="51"/>
    </row>
    <row r="342" spans="5:5" ht="15.75" customHeight="1" x14ac:dyDescent="0.25">
      <c r="E342" s="51"/>
    </row>
    <row r="343" spans="5:5" ht="15.75" customHeight="1" x14ac:dyDescent="0.25">
      <c r="E343" s="51"/>
    </row>
    <row r="344" spans="5:5" ht="15.75" customHeight="1" x14ac:dyDescent="0.25">
      <c r="E344" s="51"/>
    </row>
    <row r="345" spans="5:5" ht="15.75" customHeight="1" x14ac:dyDescent="0.25">
      <c r="E345" s="51"/>
    </row>
    <row r="346" spans="5:5" ht="15.75" customHeight="1" x14ac:dyDescent="0.25">
      <c r="E346" s="51"/>
    </row>
    <row r="347" spans="5:5" ht="15.75" customHeight="1" x14ac:dyDescent="0.25">
      <c r="E347" s="51"/>
    </row>
    <row r="348" spans="5:5" ht="15.75" customHeight="1" x14ac:dyDescent="0.25">
      <c r="E348" s="51"/>
    </row>
    <row r="349" spans="5:5" ht="15.75" customHeight="1" x14ac:dyDescent="0.25">
      <c r="E349" s="51"/>
    </row>
    <row r="350" spans="5:5" ht="15.75" customHeight="1" x14ac:dyDescent="0.25">
      <c r="E350" s="51"/>
    </row>
    <row r="351" spans="5:5" ht="15.75" customHeight="1" x14ac:dyDescent="0.25">
      <c r="E351" s="51"/>
    </row>
    <row r="352" spans="5:5" ht="15.75" customHeight="1" x14ac:dyDescent="0.25">
      <c r="E352" s="51"/>
    </row>
    <row r="353" spans="5:5" ht="15.75" customHeight="1" x14ac:dyDescent="0.25">
      <c r="E353" s="51"/>
    </row>
    <row r="354" spans="5:5" ht="15.75" customHeight="1" x14ac:dyDescent="0.25">
      <c r="E354" s="51"/>
    </row>
    <row r="355" spans="5:5" ht="15.75" customHeight="1" x14ac:dyDescent="0.25">
      <c r="E355" s="51"/>
    </row>
    <row r="356" spans="5:5" ht="15.75" customHeight="1" x14ac:dyDescent="0.25">
      <c r="E356" s="51"/>
    </row>
    <row r="357" spans="5:5" ht="15.75" customHeight="1" x14ac:dyDescent="0.25">
      <c r="E357" s="51"/>
    </row>
    <row r="358" spans="5:5" ht="15.75" customHeight="1" x14ac:dyDescent="0.25">
      <c r="E358" s="51"/>
    </row>
    <row r="359" spans="5:5" ht="15.75" customHeight="1" x14ac:dyDescent="0.25">
      <c r="E359" s="51"/>
    </row>
    <row r="360" spans="5:5" ht="15.75" customHeight="1" x14ac:dyDescent="0.25">
      <c r="E360" s="51"/>
    </row>
    <row r="361" spans="5:5" ht="15.75" customHeight="1" x14ac:dyDescent="0.25">
      <c r="E361" s="51"/>
    </row>
    <row r="362" spans="5:5" ht="15.75" customHeight="1" x14ac:dyDescent="0.25">
      <c r="E362" s="51"/>
    </row>
    <row r="363" spans="5:5" ht="15.75" customHeight="1" x14ac:dyDescent="0.25">
      <c r="E363" s="51"/>
    </row>
    <row r="364" spans="5:5" ht="15.75" customHeight="1" x14ac:dyDescent="0.25">
      <c r="E364" s="51"/>
    </row>
    <row r="365" spans="5:5" ht="15.75" customHeight="1" x14ac:dyDescent="0.25">
      <c r="E365" s="51"/>
    </row>
    <row r="366" spans="5:5" ht="15.75" customHeight="1" x14ac:dyDescent="0.25">
      <c r="E366" s="51"/>
    </row>
    <row r="367" spans="5:5" ht="15.75" customHeight="1" x14ac:dyDescent="0.25">
      <c r="E367" s="51"/>
    </row>
    <row r="368" spans="5:5" ht="15.75" customHeight="1" x14ac:dyDescent="0.25">
      <c r="E368" s="51"/>
    </row>
    <row r="369" spans="5:5" ht="15.75" customHeight="1" x14ac:dyDescent="0.25">
      <c r="E369" s="51"/>
    </row>
    <row r="370" spans="5:5" ht="15.75" customHeight="1" x14ac:dyDescent="0.25">
      <c r="E370" s="51"/>
    </row>
    <row r="371" spans="5:5" ht="15.75" customHeight="1" x14ac:dyDescent="0.25">
      <c r="E371" s="51"/>
    </row>
    <row r="372" spans="5:5" ht="15.75" customHeight="1" x14ac:dyDescent="0.25">
      <c r="E372" s="51"/>
    </row>
    <row r="373" spans="5:5" ht="15.75" customHeight="1" x14ac:dyDescent="0.25">
      <c r="E373" s="51"/>
    </row>
    <row r="374" spans="5:5" ht="15.75" customHeight="1" x14ac:dyDescent="0.25">
      <c r="E374" s="51"/>
    </row>
    <row r="375" spans="5:5" ht="15.75" customHeight="1" x14ac:dyDescent="0.25">
      <c r="E375" s="51"/>
    </row>
    <row r="376" spans="5:5" ht="15.75" customHeight="1" x14ac:dyDescent="0.25">
      <c r="E376" s="51"/>
    </row>
    <row r="377" spans="5:5" ht="15.75" customHeight="1" x14ac:dyDescent="0.25">
      <c r="E377" s="51"/>
    </row>
    <row r="378" spans="5:5" ht="15.75" customHeight="1" x14ac:dyDescent="0.25">
      <c r="E378" s="51"/>
    </row>
    <row r="379" spans="5:5" ht="15.75" customHeight="1" x14ac:dyDescent="0.25">
      <c r="E379" s="51"/>
    </row>
    <row r="380" spans="5:5" ht="15.75" customHeight="1" x14ac:dyDescent="0.25">
      <c r="E380" s="51"/>
    </row>
    <row r="381" spans="5:5" ht="15.75" customHeight="1" x14ac:dyDescent="0.25">
      <c r="E381" s="51"/>
    </row>
    <row r="382" spans="5:5" ht="15.75" customHeight="1" x14ac:dyDescent="0.25">
      <c r="E382" s="51"/>
    </row>
    <row r="383" spans="5:5" ht="15.75" customHeight="1" x14ac:dyDescent="0.25">
      <c r="E383" s="51"/>
    </row>
    <row r="384" spans="5:5" ht="15.75" customHeight="1" x14ac:dyDescent="0.25">
      <c r="E384" s="51"/>
    </row>
    <row r="385" spans="5:5" ht="15.75" customHeight="1" x14ac:dyDescent="0.25">
      <c r="E385" s="51"/>
    </row>
    <row r="386" spans="5:5" ht="15.75" customHeight="1" x14ac:dyDescent="0.25">
      <c r="E386" s="51"/>
    </row>
    <row r="387" spans="5:5" ht="15.75" customHeight="1" x14ac:dyDescent="0.25">
      <c r="E387" s="51"/>
    </row>
    <row r="388" spans="5:5" ht="15.75" customHeight="1" x14ac:dyDescent="0.25">
      <c r="E388" s="51"/>
    </row>
    <row r="389" spans="5:5" ht="15.75" customHeight="1" x14ac:dyDescent="0.25">
      <c r="E389" s="51"/>
    </row>
    <row r="390" spans="5:5" ht="15.75" customHeight="1" x14ac:dyDescent="0.25">
      <c r="E390" s="51"/>
    </row>
    <row r="391" spans="5:5" ht="15.75" customHeight="1" x14ac:dyDescent="0.25">
      <c r="E391" s="51"/>
    </row>
    <row r="392" spans="5:5" ht="15.75" customHeight="1" x14ac:dyDescent="0.25">
      <c r="E392" s="51"/>
    </row>
    <row r="393" spans="5:5" ht="15.75" customHeight="1" x14ac:dyDescent="0.25">
      <c r="E393" s="51"/>
    </row>
    <row r="394" spans="5:5" ht="15.75" customHeight="1" x14ac:dyDescent="0.25">
      <c r="E394" s="51"/>
    </row>
    <row r="395" spans="5:5" ht="15.75" customHeight="1" x14ac:dyDescent="0.25">
      <c r="E395" s="51"/>
    </row>
    <row r="396" spans="5:5" ht="15.75" customHeight="1" x14ac:dyDescent="0.25">
      <c r="E396" s="51"/>
    </row>
    <row r="397" spans="5:5" ht="15.75" customHeight="1" x14ac:dyDescent="0.25">
      <c r="E397" s="51"/>
    </row>
    <row r="398" spans="5:5" ht="15.75" customHeight="1" x14ac:dyDescent="0.25">
      <c r="E398" s="51"/>
    </row>
    <row r="399" spans="5:5" ht="15.75" customHeight="1" x14ac:dyDescent="0.25">
      <c r="E399" s="51"/>
    </row>
    <row r="400" spans="5:5" ht="15.75" customHeight="1" x14ac:dyDescent="0.25">
      <c r="E400" s="51"/>
    </row>
    <row r="401" spans="5:5" ht="15.75" customHeight="1" x14ac:dyDescent="0.25">
      <c r="E401" s="51"/>
    </row>
    <row r="402" spans="5:5" ht="15.75" customHeight="1" x14ac:dyDescent="0.25">
      <c r="E402" s="51"/>
    </row>
    <row r="403" spans="5:5" ht="15.75" customHeight="1" x14ac:dyDescent="0.25">
      <c r="E403" s="51"/>
    </row>
    <row r="404" spans="5:5" ht="15.75" customHeight="1" x14ac:dyDescent="0.25">
      <c r="E404" s="51"/>
    </row>
    <row r="405" spans="5:5" ht="15.75" customHeight="1" x14ac:dyDescent="0.25">
      <c r="E405" s="51"/>
    </row>
    <row r="406" spans="5:5" ht="15.75" customHeight="1" x14ac:dyDescent="0.25">
      <c r="E406" s="51"/>
    </row>
    <row r="407" spans="5:5" ht="15.75" customHeight="1" x14ac:dyDescent="0.25">
      <c r="E407" s="51"/>
    </row>
    <row r="408" spans="5:5" ht="15.75" customHeight="1" x14ac:dyDescent="0.25">
      <c r="E408" s="51"/>
    </row>
    <row r="409" spans="5:5" ht="15.75" customHeight="1" x14ac:dyDescent="0.25">
      <c r="E409" s="51"/>
    </row>
    <row r="410" spans="5:5" ht="15.75" customHeight="1" x14ac:dyDescent="0.25">
      <c r="E410" s="51"/>
    </row>
    <row r="411" spans="5:5" ht="15.75" customHeight="1" x14ac:dyDescent="0.25">
      <c r="E411" s="51"/>
    </row>
    <row r="412" spans="5:5" ht="15.75" customHeight="1" x14ac:dyDescent="0.25">
      <c r="E412" s="51"/>
    </row>
    <row r="413" spans="5:5" ht="15.75" customHeight="1" x14ac:dyDescent="0.25">
      <c r="E413" s="51"/>
    </row>
    <row r="414" spans="5:5" ht="15.75" customHeight="1" x14ac:dyDescent="0.25">
      <c r="E414" s="51"/>
    </row>
    <row r="415" spans="5:5" ht="15.75" customHeight="1" x14ac:dyDescent="0.25">
      <c r="E415" s="51"/>
    </row>
    <row r="416" spans="5:5" ht="15.75" customHeight="1" x14ac:dyDescent="0.25">
      <c r="E416" s="51"/>
    </row>
    <row r="417" spans="5:5" ht="15.75" customHeight="1" x14ac:dyDescent="0.25">
      <c r="E417" s="51"/>
    </row>
    <row r="418" spans="5:5" ht="15.75" customHeight="1" x14ac:dyDescent="0.25">
      <c r="E418" s="51"/>
    </row>
    <row r="419" spans="5:5" ht="15.75" customHeight="1" x14ac:dyDescent="0.25">
      <c r="E419" s="51"/>
    </row>
    <row r="420" spans="5:5" ht="15.75" customHeight="1" x14ac:dyDescent="0.25">
      <c r="E420" s="51"/>
    </row>
    <row r="421" spans="5:5" ht="15.75" customHeight="1" x14ac:dyDescent="0.25">
      <c r="E421" s="51"/>
    </row>
    <row r="422" spans="5:5" ht="15.75" customHeight="1" x14ac:dyDescent="0.25">
      <c r="E422" s="51"/>
    </row>
    <row r="423" spans="5:5" ht="15.75" customHeight="1" x14ac:dyDescent="0.25">
      <c r="E423" s="51"/>
    </row>
    <row r="424" spans="5:5" ht="15.75" customHeight="1" x14ac:dyDescent="0.25">
      <c r="E424" s="51"/>
    </row>
    <row r="425" spans="5:5" ht="15.75" customHeight="1" x14ac:dyDescent="0.25">
      <c r="E425" s="51"/>
    </row>
    <row r="426" spans="5:5" ht="15.75" customHeight="1" x14ac:dyDescent="0.25">
      <c r="E426" s="51"/>
    </row>
    <row r="427" spans="5:5" ht="15.75" customHeight="1" x14ac:dyDescent="0.25">
      <c r="E427" s="51"/>
    </row>
    <row r="428" spans="5:5" ht="15.75" customHeight="1" x14ac:dyDescent="0.25">
      <c r="E428" s="51"/>
    </row>
    <row r="429" spans="5:5" ht="15.75" customHeight="1" x14ac:dyDescent="0.25">
      <c r="E429" s="51"/>
    </row>
    <row r="430" spans="5:5" ht="15.75" customHeight="1" x14ac:dyDescent="0.25">
      <c r="E430" s="51"/>
    </row>
    <row r="431" spans="5:5" ht="15.75" customHeight="1" x14ac:dyDescent="0.25">
      <c r="E431" s="51"/>
    </row>
    <row r="432" spans="5:5" ht="15.75" customHeight="1" x14ac:dyDescent="0.25">
      <c r="E432" s="51"/>
    </row>
    <row r="433" spans="5:5" ht="15.75" customHeight="1" x14ac:dyDescent="0.25">
      <c r="E433" s="51"/>
    </row>
    <row r="434" spans="5:5" ht="15.75" customHeight="1" x14ac:dyDescent="0.25">
      <c r="E434" s="51"/>
    </row>
    <row r="435" spans="5:5" ht="15.75" customHeight="1" x14ac:dyDescent="0.25">
      <c r="E435" s="51"/>
    </row>
    <row r="436" spans="5:5" ht="15.75" customHeight="1" x14ac:dyDescent="0.25">
      <c r="E436" s="51"/>
    </row>
    <row r="437" spans="5:5" ht="15.75" customHeight="1" x14ac:dyDescent="0.25">
      <c r="E437" s="51"/>
    </row>
    <row r="438" spans="5:5" ht="15.75" customHeight="1" x14ac:dyDescent="0.25">
      <c r="E438" s="51"/>
    </row>
    <row r="439" spans="5:5" ht="15.75" customHeight="1" x14ac:dyDescent="0.25">
      <c r="E439" s="51"/>
    </row>
    <row r="440" spans="5:5" ht="15.75" customHeight="1" x14ac:dyDescent="0.25">
      <c r="E440" s="51"/>
    </row>
    <row r="441" spans="5:5" ht="15.75" customHeight="1" x14ac:dyDescent="0.25">
      <c r="E441" s="51"/>
    </row>
    <row r="442" spans="5:5" ht="15.75" customHeight="1" x14ac:dyDescent="0.25">
      <c r="E442" s="51"/>
    </row>
    <row r="443" spans="5:5" ht="15.75" customHeight="1" x14ac:dyDescent="0.25">
      <c r="E443" s="51"/>
    </row>
    <row r="444" spans="5:5" ht="15.75" customHeight="1" x14ac:dyDescent="0.25">
      <c r="E444" s="51"/>
    </row>
    <row r="445" spans="5:5" ht="15.75" customHeight="1" x14ac:dyDescent="0.25">
      <c r="E445" s="51"/>
    </row>
    <row r="446" spans="5:5" ht="15.75" customHeight="1" x14ac:dyDescent="0.25">
      <c r="E446" s="51"/>
    </row>
    <row r="447" spans="5:5" ht="15.75" customHeight="1" x14ac:dyDescent="0.25">
      <c r="E447" s="51"/>
    </row>
    <row r="448" spans="5:5" ht="15.75" customHeight="1" x14ac:dyDescent="0.25">
      <c r="E448" s="51"/>
    </row>
    <row r="449" spans="5:5" ht="15.75" customHeight="1" x14ac:dyDescent="0.25">
      <c r="E449" s="51"/>
    </row>
    <row r="450" spans="5:5" ht="15.75" customHeight="1" x14ac:dyDescent="0.25">
      <c r="E450" s="51"/>
    </row>
    <row r="451" spans="5:5" ht="15.75" customHeight="1" x14ac:dyDescent="0.25">
      <c r="E451" s="51"/>
    </row>
    <row r="452" spans="5:5" ht="15.75" customHeight="1" x14ac:dyDescent="0.25">
      <c r="E452" s="51"/>
    </row>
    <row r="453" spans="5:5" ht="15.75" customHeight="1" x14ac:dyDescent="0.25">
      <c r="E453" s="51"/>
    </row>
    <row r="454" spans="5:5" ht="15.75" customHeight="1" x14ac:dyDescent="0.25">
      <c r="E454" s="51"/>
    </row>
    <row r="455" spans="5:5" ht="15.75" customHeight="1" x14ac:dyDescent="0.25">
      <c r="E455" s="51"/>
    </row>
    <row r="456" spans="5:5" ht="15.75" customHeight="1" x14ac:dyDescent="0.25">
      <c r="E456" s="51"/>
    </row>
    <row r="457" spans="5:5" ht="15.75" customHeight="1" x14ac:dyDescent="0.25">
      <c r="E457" s="51"/>
    </row>
    <row r="458" spans="5:5" ht="15.75" customHeight="1" x14ac:dyDescent="0.25">
      <c r="E458" s="51"/>
    </row>
    <row r="459" spans="5:5" ht="15.75" customHeight="1" x14ac:dyDescent="0.25">
      <c r="E459" s="51"/>
    </row>
    <row r="460" spans="5:5" ht="15.75" customHeight="1" x14ac:dyDescent="0.25">
      <c r="E460" s="51"/>
    </row>
    <row r="461" spans="5:5" ht="15.75" customHeight="1" x14ac:dyDescent="0.25">
      <c r="E461" s="51"/>
    </row>
    <row r="462" spans="5:5" ht="15.75" customHeight="1" x14ac:dyDescent="0.25">
      <c r="E462" s="51"/>
    </row>
    <row r="463" spans="5:5" ht="15.75" customHeight="1" x14ac:dyDescent="0.25">
      <c r="E463" s="51"/>
    </row>
    <row r="464" spans="5:5" ht="15.75" customHeight="1" x14ac:dyDescent="0.25">
      <c r="E464" s="51"/>
    </row>
    <row r="465" spans="5:5" ht="15.75" customHeight="1" x14ac:dyDescent="0.25">
      <c r="E465" s="51"/>
    </row>
    <row r="466" spans="5:5" ht="15.75" customHeight="1" x14ac:dyDescent="0.25">
      <c r="E466" s="51"/>
    </row>
    <row r="467" spans="5:5" ht="15.75" customHeight="1" x14ac:dyDescent="0.25">
      <c r="E467" s="51"/>
    </row>
    <row r="468" spans="5:5" ht="15.75" customHeight="1" x14ac:dyDescent="0.25">
      <c r="E468" s="51"/>
    </row>
    <row r="469" spans="5:5" ht="15.75" customHeight="1" x14ac:dyDescent="0.25">
      <c r="E469" s="51"/>
    </row>
    <row r="470" spans="5:5" ht="15.75" customHeight="1" x14ac:dyDescent="0.25">
      <c r="E470" s="51"/>
    </row>
    <row r="471" spans="5:5" ht="15.75" customHeight="1" x14ac:dyDescent="0.25">
      <c r="E471" s="51"/>
    </row>
    <row r="472" spans="5:5" ht="15.75" customHeight="1" x14ac:dyDescent="0.25">
      <c r="E472" s="51"/>
    </row>
    <row r="473" spans="5:5" ht="15.75" customHeight="1" x14ac:dyDescent="0.25">
      <c r="E473" s="51"/>
    </row>
    <row r="474" spans="5:5" ht="15.75" customHeight="1" x14ac:dyDescent="0.25">
      <c r="E474" s="51"/>
    </row>
    <row r="475" spans="5:5" ht="15.75" customHeight="1" x14ac:dyDescent="0.25">
      <c r="E475" s="51"/>
    </row>
    <row r="476" spans="5:5" ht="15.75" customHeight="1" x14ac:dyDescent="0.25">
      <c r="E476" s="51"/>
    </row>
    <row r="477" spans="5:5" ht="15.75" customHeight="1" x14ac:dyDescent="0.25">
      <c r="E477" s="51"/>
    </row>
    <row r="478" spans="5:5" ht="15.75" customHeight="1" x14ac:dyDescent="0.25">
      <c r="E478" s="51"/>
    </row>
    <row r="479" spans="5:5" ht="15.75" customHeight="1" x14ac:dyDescent="0.25">
      <c r="E479" s="51"/>
    </row>
    <row r="480" spans="5:5" ht="15.75" customHeight="1" x14ac:dyDescent="0.25">
      <c r="E480" s="51"/>
    </row>
    <row r="481" spans="5:5" ht="15.75" customHeight="1" x14ac:dyDescent="0.25">
      <c r="E481" s="51"/>
    </row>
    <row r="482" spans="5:5" ht="15.75" customHeight="1" x14ac:dyDescent="0.25">
      <c r="E482" s="51"/>
    </row>
    <row r="483" spans="5:5" ht="15.75" customHeight="1" x14ac:dyDescent="0.25">
      <c r="E483" s="51"/>
    </row>
    <row r="484" spans="5:5" ht="15.75" customHeight="1" x14ac:dyDescent="0.25">
      <c r="E484" s="51"/>
    </row>
    <row r="485" spans="5:5" ht="15.75" customHeight="1" x14ac:dyDescent="0.25">
      <c r="E485" s="51"/>
    </row>
    <row r="486" spans="5:5" ht="15.75" customHeight="1" x14ac:dyDescent="0.25">
      <c r="E486" s="51"/>
    </row>
    <row r="487" spans="5:5" ht="15.75" customHeight="1" x14ac:dyDescent="0.25">
      <c r="E487" s="51"/>
    </row>
    <row r="488" spans="5:5" ht="15.75" customHeight="1" x14ac:dyDescent="0.25">
      <c r="E488" s="51"/>
    </row>
    <row r="489" spans="5:5" ht="15.75" customHeight="1" x14ac:dyDescent="0.25">
      <c r="E489" s="51"/>
    </row>
    <row r="490" spans="5:5" ht="15.75" customHeight="1" x14ac:dyDescent="0.25">
      <c r="E490" s="51"/>
    </row>
    <row r="491" spans="5:5" ht="15.75" customHeight="1" x14ac:dyDescent="0.25">
      <c r="E491" s="51"/>
    </row>
    <row r="492" spans="5:5" ht="15.75" customHeight="1" x14ac:dyDescent="0.25">
      <c r="E492" s="51"/>
    </row>
    <row r="493" spans="5:5" ht="15.75" customHeight="1" x14ac:dyDescent="0.25">
      <c r="E493" s="51"/>
    </row>
    <row r="494" spans="5:5" ht="15.75" customHeight="1" x14ac:dyDescent="0.25">
      <c r="E494" s="51"/>
    </row>
    <row r="495" spans="5:5" ht="15.75" customHeight="1" x14ac:dyDescent="0.25">
      <c r="E495" s="51"/>
    </row>
    <row r="496" spans="5:5" ht="15.75" customHeight="1" x14ac:dyDescent="0.25">
      <c r="E496" s="51"/>
    </row>
    <row r="497" spans="5:5" ht="15.75" customHeight="1" x14ac:dyDescent="0.25">
      <c r="E497" s="51"/>
    </row>
    <row r="498" spans="5:5" ht="15.75" customHeight="1" x14ac:dyDescent="0.25">
      <c r="E498" s="51"/>
    </row>
    <row r="499" spans="5:5" ht="15.75" customHeight="1" x14ac:dyDescent="0.25">
      <c r="E499" s="51"/>
    </row>
    <row r="500" spans="5:5" ht="15.75" customHeight="1" x14ac:dyDescent="0.25">
      <c r="E500" s="51"/>
    </row>
    <row r="501" spans="5:5" ht="15.75" customHeight="1" x14ac:dyDescent="0.25">
      <c r="E501" s="51"/>
    </row>
    <row r="502" spans="5:5" ht="15.75" customHeight="1" x14ac:dyDescent="0.25">
      <c r="E502" s="51"/>
    </row>
    <row r="503" spans="5:5" ht="15.75" customHeight="1" x14ac:dyDescent="0.25">
      <c r="E503" s="51"/>
    </row>
    <row r="504" spans="5:5" ht="15.75" customHeight="1" x14ac:dyDescent="0.25">
      <c r="E504" s="51"/>
    </row>
    <row r="505" spans="5:5" ht="15.75" customHeight="1" x14ac:dyDescent="0.25">
      <c r="E505" s="51"/>
    </row>
    <row r="506" spans="5:5" ht="15.75" customHeight="1" x14ac:dyDescent="0.25">
      <c r="E506" s="51"/>
    </row>
    <row r="507" spans="5:5" ht="15.75" customHeight="1" x14ac:dyDescent="0.25">
      <c r="E507" s="51"/>
    </row>
    <row r="508" spans="5:5" ht="15.75" customHeight="1" x14ac:dyDescent="0.25">
      <c r="E508" s="51"/>
    </row>
    <row r="509" spans="5:5" ht="15.75" customHeight="1" x14ac:dyDescent="0.25">
      <c r="E509" s="51"/>
    </row>
    <row r="510" spans="5:5" ht="15.75" customHeight="1" x14ac:dyDescent="0.25">
      <c r="E510" s="51"/>
    </row>
    <row r="511" spans="5:5" ht="15.75" customHeight="1" x14ac:dyDescent="0.25">
      <c r="E511" s="51"/>
    </row>
    <row r="512" spans="5:5" ht="15.75" customHeight="1" x14ac:dyDescent="0.25">
      <c r="E512" s="51"/>
    </row>
    <row r="513" spans="5:5" ht="15.75" customHeight="1" x14ac:dyDescent="0.25">
      <c r="E513" s="51"/>
    </row>
    <row r="514" spans="5:5" ht="15.75" customHeight="1" x14ac:dyDescent="0.25">
      <c r="E514" s="51"/>
    </row>
    <row r="515" spans="5:5" ht="15.75" customHeight="1" x14ac:dyDescent="0.25">
      <c r="E515" s="51"/>
    </row>
    <row r="516" spans="5:5" ht="15.75" customHeight="1" x14ac:dyDescent="0.25">
      <c r="E516" s="51"/>
    </row>
    <row r="517" spans="5:5" ht="15.75" customHeight="1" x14ac:dyDescent="0.25">
      <c r="E517" s="51"/>
    </row>
    <row r="518" spans="5:5" ht="15.75" customHeight="1" x14ac:dyDescent="0.25">
      <c r="E518" s="51"/>
    </row>
    <row r="519" spans="5:5" ht="15.75" customHeight="1" x14ac:dyDescent="0.25">
      <c r="E519" s="51"/>
    </row>
    <row r="520" spans="5:5" ht="15.75" customHeight="1" x14ac:dyDescent="0.25">
      <c r="E520" s="51"/>
    </row>
    <row r="521" spans="5:5" ht="15.75" customHeight="1" x14ac:dyDescent="0.25">
      <c r="E521" s="51"/>
    </row>
    <row r="522" spans="5:5" ht="15.75" customHeight="1" x14ac:dyDescent="0.25">
      <c r="E522" s="51"/>
    </row>
    <row r="523" spans="5:5" ht="15.75" customHeight="1" x14ac:dyDescent="0.25">
      <c r="E523" s="51"/>
    </row>
    <row r="524" spans="5:5" ht="15.75" customHeight="1" x14ac:dyDescent="0.25">
      <c r="E524" s="51"/>
    </row>
    <row r="525" spans="5:5" ht="15.75" customHeight="1" x14ac:dyDescent="0.25">
      <c r="E525" s="51"/>
    </row>
    <row r="526" spans="5:5" ht="15.75" customHeight="1" x14ac:dyDescent="0.25">
      <c r="E526" s="51"/>
    </row>
    <row r="527" spans="5:5" ht="15.75" customHeight="1" x14ac:dyDescent="0.25">
      <c r="E527" s="51"/>
    </row>
    <row r="528" spans="5:5" ht="15.75" customHeight="1" x14ac:dyDescent="0.25">
      <c r="E528" s="51"/>
    </row>
    <row r="529" spans="5:5" ht="15.75" customHeight="1" x14ac:dyDescent="0.25">
      <c r="E529" s="51"/>
    </row>
    <row r="530" spans="5:5" ht="15.75" customHeight="1" x14ac:dyDescent="0.25">
      <c r="E530" s="51"/>
    </row>
    <row r="531" spans="5:5" ht="15.75" customHeight="1" x14ac:dyDescent="0.25">
      <c r="E531" s="51"/>
    </row>
    <row r="532" spans="5:5" ht="15.75" customHeight="1" x14ac:dyDescent="0.25">
      <c r="E532" s="51"/>
    </row>
    <row r="533" spans="5:5" ht="15.75" customHeight="1" x14ac:dyDescent="0.25">
      <c r="E533" s="51"/>
    </row>
    <row r="534" spans="5:5" ht="15.75" customHeight="1" x14ac:dyDescent="0.25">
      <c r="E534" s="51"/>
    </row>
    <row r="535" spans="5:5" ht="15.75" customHeight="1" x14ac:dyDescent="0.25">
      <c r="E535" s="51"/>
    </row>
    <row r="536" spans="5:5" ht="15.75" customHeight="1" x14ac:dyDescent="0.25">
      <c r="E536" s="51"/>
    </row>
    <row r="537" spans="5:5" ht="15.75" customHeight="1" x14ac:dyDescent="0.25">
      <c r="E537" s="51"/>
    </row>
    <row r="538" spans="5:5" ht="15.75" customHeight="1" x14ac:dyDescent="0.25">
      <c r="E538" s="51"/>
    </row>
    <row r="539" spans="5:5" ht="15.75" customHeight="1" x14ac:dyDescent="0.25">
      <c r="E539" s="51"/>
    </row>
    <row r="540" spans="5:5" ht="15.75" customHeight="1" x14ac:dyDescent="0.25">
      <c r="E540" s="51"/>
    </row>
    <row r="541" spans="5:5" ht="15.75" customHeight="1" x14ac:dyDescent="0.25">
      <c r="E541" s="51"/>
    </row>
    <row r="542" spans="5:5" ht="15.75" customHeight="1" x14ac:dyDescent="0.25">
      <c r="E542" s="51"/>
    </row>
    <row r="543" spans="5:5" ht="15.75" customHeight="1" x14ac:dyDescent="0.25">
      <c r="E543" s="51"/>
    </row>
    <row r="544" spans="5:5" ht="15.75" customHeight="1" x14ac:dyDescent="0.25">
      <c r="E544" s="51"/>
    </row>
    <row r="545" spans="5:5" ht="15.75" customHeight="1" x14ac:dyDescent="0.25">
      <c r="E545" s="51"/>
    </row>
    <row r="546" spans="5:5" ht="15.75" customHeight="1" x14ac:dyDescent="0.25">
      <c r="E546" s="51"/>
    </row>
    <row r="547" spans="5:5" ht="15.75" customHeight="1" x14ac:dyDescent="0.25">
      <c r="E547" s="51"/>
    </row>
    <row r="548" spans="5:5" ht="15.75" customHeight="1" x14ac:dyDescent="0.25">
      <c r="E548" s="51"/>
    </row>
    <row r="549" spans="5:5" ht="15.75" customHeight="1" x14ac:dyDescent="0.25">
      <c r="E549" s="51"/>
    </row>
    <row r="550" spans="5:5" ht="15.75" customHeight="1" x14ac:dyDescent="0.25">
      <c r="E550" s="51"/>
    </row>
    <row r="551" spans="5:5" ht="15.75" customHeight="1" x14ac:dyDescent="0.25">
      <c r="E551" s="51"/>
    </row>
    <row r="552" spans="5:5" ht="15.75" customHeight="1" x14ac:dyDescent="0.25">
      <c r="E552" s="51"/>
    </row>
    <row r="553" spans="5:5" ht="15.75" customHeight="1" x14ac:dyDescent="0.25">
      <c r="E553" s="51"/>
    </row>
    <row r="554" spans="5:5" ht="15.75" customHeight="1" x14ac:dyDescent="0.25">
      <c r="E554" s="51"/>
    </row>
    <row r="555" spans="5:5" ht="15.75" customHeight="1" x14ac:dyDescent="0.25">
      <c r="E555" s="51"/>
    </row>
    <row r="556" spans="5:5" ht="15.75" customHeight="1" x14ac:dyDescent="0.25">
      <c r="E556" s="51"/>
    </row>
    <row r="557" spans="5:5" ht="15.75" customHeight="1" x14ac:dyDescent="0.25">
      <c r="E557" s="51"/>
    </row>
    <row r="558" spans="5:5" ht="15.75" customHeight="1" x14ac:dyDescent="0.25">
      <c r="E558" s="51"/>
    </row>
    <row r="559" spans="5:5" ht="15.75" customHeight="1" x14ac:dyDescent="0.25">
      <c r="E559" s="51"/>
    </row>
    <row r="560" spans="5:5" ht="15.75" customHeight="1" x14ac:dyDescent="0.25">
      <c r="E560" s="51"/>
    </row>
    <row r="561" spans="5:5" ht="15.75" customHeight="1" x14ac:dyDescent="0.25">
      <c r="E561" s="51"/>
    </row>
    <row r="562" spans="5:5" ht="15.75" customHeight="1" x14ac:dyDescent="0.25">
      <c r="E562" s="51"/>
    </row>
    <row r="563" spans="5:5" ht="15.75" customHeight="1" x14ac:dyDescent="0.25">
      <c r="E563" s="51"/>
    </row>
    <row r="564" spans="5:5" ht="15.75" customHeight="1" x14ac:dyDescent="0.25">
      <c r="E564" s="51"/>
    </row>
    <row r="565" spans="5:5" ht="15.75" customHeight="1" x14ac:dyDescent="0.25">
      <c r="E565" s="51"/>
    </row>
    <row r="566" spans="5:5" ht="15.75" customHeight="1" x14ac:dyDescent="0.25">
      <c r="E566" s="51"/>
    </row>
    <row r="567" spans="5:5" ht="15.75" customHeight="1" x14ac:dyDescent="0.25">
      <c r="E567" s="51"/>
    </row>
    <row r="568" spans="5:5" ht="15.75" customHeight="1" x14ac:dyDescent="0.25">
      <c r="E568" s="51"/>
    </row>
    <row r="569" spans="5:5" ht="15.75" customHeight="1" x14ac:dyDescent="0.25">
      <c r="E569" s="51"/>
    </row>
    <row r="570" spans="5:5" ht="15.75" customHeight="1" x14ac:dyDescent="0.25">
      <c r="E570" s="51"/>
    </row>
    <row r="571" spans="5:5" ht="15.75" customHeight="1" x14ac:dyDescent="0.25">
      <c r="E571" s="51"/>
    </row>
    <row r="572" spans="5:5" ht="15.75" customHeight="1" x14ac:dyDescent="0.25">
      <c r="E572" s="51"/>
    </row>
    <row r="573" spans="5:5" ht="15.75" customHeight="1" x14ac:dyDescent="0.25">
      <c r="E573" s="51"/>
    </row>
    <row r="574" spans="5:5" ht="15.75" customHeight="1" x14ac:dyDescent="0.25">
      <c r="E574" s="51"/>
    </row>
    <row r="575" spans="5:5" ht="15.75" customHeight="1" x14ac:dyDescent="0.25">
      <c r="E575" s="51"/>
    </row>
    <row r="576" spans="5:5" ht="15.75" customHeight="1" x14ac:dyDescent="0.25">
      <c r="E576" s="51"/>
    </row>
    <row r="577" spans="5:5" ht="15.75" customHeight="1" x14ac:dyDescent="0.25">
      <c r="E577" s="51"/>
    </row>
    <row r="578" spans="5:5" ht="15.75" customHeight="1" x14ac:dyDescent="0.25">
      <c r="E578" s="51"/>
    </row>
    <row r="579" spans="5:5" ht="15.75" customHeight="1" x14ac:dyDescent="0.25">
      <c r="E579" s="51"/>
    </row>
    <row r="580" spans="5:5" ht="15.75" customHeight="1" x14ac:dyDescent="0.25">
      <c r="E580" s="51"/>
    </row>
    <row r="581" spans="5:5" ht="15.75" customHeight="1" x14ac:dyDescent="0.25">
      <c r="E581" s="51"/>
    </row>
    <row r="582" spans="5:5" ht="15.75" customHeight="1" x14ac:dyDescent="0.25">
      <c r="E582" s="51"/>
    </row>
    <row r="583" spans="5:5" ht="15.75" customHeight="1" x14ac:dyDescent="0.25">
      <c r="E583" s="51"/>
    </row>
    <row r="584" spans="5:5" ht="15.75" customHeight="1" x14ac:dyDescent="0.25">
      <c r="E584" s="51"/>
    </row>
    <row r="585" spans="5:5" ht="15.75" customHeight="1" x14ac:dyDescent="0.25">
      <c r="E585" s="51"/>
    </row>
    <row r="586" spans="5:5" ht="15.75" customHeight="1" x14ac:dyDescent="0.25">
      <c r="E586" s="51"/>
    </row>
    <row r="587" spans="5:5" ht="15.75" customHeight="1" x14ac:dyDescent="0.25">
      <c r="E587" s="51"/>
    </row>
    <row r="588" spans="5:5" ht="15.75" customHeight="1" x14ac:dyDescent="0.25">
      <c r="E588" s="51"/>
    </row>
    <row r="589" spans="5:5" ht="15.75" customHeight="1" x14ac:dyDescent="0.25">
      <c r="E589" s="51"/>
    </row>
    <row r="590" spans="5:5" ht="15.75" customHeight="1" x14ac:dyDescent="0.25">
      <c r="E590" s="51"/>
    </row>
    <row r="591" spans="5:5" ht="15.75" customHeight="1" x14ac:dyDescent="0.25">
      <c r="E591" s="51"/>
    </row>
    <row r="592" spans="5:5" ht="15.75" customHeight="1" x14ac:dyDescent="0.25">
      <c r="E592" s="51"/>
    </row>
    <row r="593" spans="5:5" ht="15.75" customHeight="1" x14ac:dyDescent="0.25">
      <c r="E593" s="51"/>
    </row>
    <row r="594" spans="5:5" ht="15.75" customHeight="1" x14ac:dyDescent="0.25">
      <c r="E594" s="51"/>
    </row>
    <row r="595" spans="5:5" ht="15.75" customHeight="1" x14ac:dyDescent="0.25">
      <c r="E595" s="51"/>
    </row>
    <row r="596" spans="5:5" ht="15.75" customHeight="1" x14ac:dyDescent="0.25">
      <c r="E596" s="51"/>
    </row>
    <row r="597" spans="5:5" ht="15.75" customHeight="1" x14ac:dyDescent="0.25">
      <c r="E597" s="51"/>
    </row>
    <row r="598" spans="5:5" ht="15.75" customHeight="1" x14ac:dyDescent="0.25">
      <c r="E598" s="51"/>
    </row>
    <row r="599" spans="5:5" ht="15.75" customHeight="1" x14ac:dyDescent="0.25">
      <c r="E599" s="51"/>
    </row>
    <row r="600" spans="5:5" ht="15.75" customHeight="1" x14ac:dyDescent="0.25">
      <c r="E600" s="51"/>
    </row>
    <row r="601" spans="5:5" ht="15.75" customHeight="1" x14ac:dyDescent="0.25">
      <c r="E601" s="51"/>
    </row>
    <row r="602" spans="5:5" ht="15.75" customHeight="1" x14ac:dyDescent="0.25">
      <c r="E602" s="51"/>
    </row>
    <row r="603" spans="5:5" ht="15.75" customHeight="1" x14ac:dyDescent="0.25">
      <c r="E603" s="51"/>
    </row>
    <row r="604" spans="5:5" ht="15.75" customHeight="1" x14ac:dyDescent="0.25">
      <c r="E604" s="51"/>
    </row>
    <row r="605" spans="5:5" ht="15.75" customHeight="1" x14ac:dyDescent="0.25">
      <c r="E605" s="51"/>
    </row>
    <row r="606" spans="5:5" ht="15.75" customHeight="1" x14ac:dyDescent="0.25">
      <c r="E606" s="51"/>
    </row>
    <row r="607" spans="5:5" ht="15.75" customHeight="1" x14ac:dyDescent="0.25">
      <c r="E607" s="51"/>
    </row>
    <row r="608" spans="5:5" ht="15.75" customHeight="1" x14ac:dyDescent="0.25">
      <c r="E608" s="51"/>
    </row>
    <row r="609" spans="5:5" ht="15.75" customHeight="1" x14ac:dyDescent="0.25">
      <c r="E609" s="51"/>
    </row>
    <row r="610" spans="5:5" ht="15.75" customHeight="1" x14ac:dyDescent="0.25">
      <c r="E610" s="51"/>
    </row>
    <row r="611" spans="5:5" ht="15.75" customHeight="1" x14ac:dyDescent="0.25">
      <c r="E611" s="51"/>
    </row>
    <row r="612" spans="5:5" ht="15.75" customHeight="1" x14ac:dyDescent="0.25">
      <c r="E612" s="51"/>
    </row>
    <row r="613" spans="5:5" ht="15.75" customHeight="1" x14ac:dyDescent="0.25">
      <c r="E613" s="51"/>
    </row>
    <row r="614" spans="5:5" ht="15.75" customHeight="1" x14ac:dyDescent="0.25">
      <c r="E614" s="51"/>
    </row>
    <row r="615" spans="5:5" ht="15.75" customHeight="1" x14ac:dyDescent="0.25">
      <c r="E615" s="51"/>
    </row>
    <row r="616" spans="5:5" ht="15.75" customHeight="1" x14ac:dyDescent="0.25">
      <c r="E616" s="51"/>
    </row>
    <row r="617" spans="5:5" ht="15.75" customHeight="1" x14ac:dyDescent="0.25">
      <c r="E617" s="51"/>
    </row>
    <row r="618" spans="5:5" ht="15.75" customHeight="1" x14ac:dyDescent="0.25">
      <c r="E618" s="51"/>
    </row>
    <row r="619" spans="5:5" ht="15.75" customHeight="1" x14ac:dyDescent="0.25">
      <c r="E619" s="51"/>
    </row>
    <row r="620" spans="5:5" ht="15.75" customHeight="1" x14ac:dyDescent="0.25">
      <c r="E620" s="51"/>
    </row>
    <row r="621" spans="5:5" ht="15.75" customHeight="1" x14ac:dyDescent="0.25">
      <c r="E621" s="51"/>
    </row>
    <row r="622" spans="5:5" ht="15.75" customHeight="1" x14ac:dyDescent="0.25">
      <c r="E622" s="51"/>
    </row>
    <row r="623" spans="5:5" ht="15.75" customHeight="1" x14ac:dyDescent="0.25">
      <c r="E623" s="51"/>
    </row>
    <row r="624" spans="5:5" ht="15.75" customHeight="1" x14ac:dyDescent="0.25">
      <c r="E624" s="51"/>
    </row>
    <row r="625" spans="5:5" ht="15.75" customHeight="1" x14ac:dyDescent="0.25">
      <c r="E625" s="51"/>
    </row>
    <row r="626" spans="5:5" ht="15.75" customHeight="1" x14ac:dyDescent="0.25">
      <c r="E626" s="51"/>
    </row>
    <row r="627" spans="5:5" ht="15.75" customHeight="1" x14ac:dyDescent="0.25">
      <c r="E627" s="51"/>
    </row>
    <row r="628" spans="5:5" ht="15.75" customHeight="1" x14ac:dyDescent="0.25">
      <c r="E628" s="51"/>
    </row>
    <row r="629" spans="5:5" ht="15.75" customHeight="1" x14ac:dyDescent="0.25">
      <c r="E629" s="51"/>
    </row>
    <row r="630" spans="5:5" ht="15.75" customHeight="1" x14ac:dyDescent="0.25">
      <c r="E630" s="51"/>
    </row>
    <row r="631" spans="5:5" ht="15.75" customHeight="1" x14ac:dyDescent="0.25">
      <c r="E631" s="51"/>
    </row>
    <row r="632" spans="5:5" ht="15.75" customHeight="1" x14ac:dyDescent="0.25">
      <c r="E632" s="51"/>
    </row>
    <row r="633" spans="5:5" ht="15.75" customHeight="1" x14ac:dyDescent="0.25">
      <c r="E633" s="51"/>
    </row>
    <row r="634" spans="5:5" ht="15.75" customHeight="1" x14ac:dyDescent="0.25">
      <c r="E634" s="51"/>
    </row>
    <row r="635" spans="5:5" ht="15.75" customHeight="1" x14ac:dyDescent="0.25">
      <c r="E635" s="51"/>
    </row>
    <row r="636" spans="5:5" ht="15.75" customHeight="1" x14ac:dyDescent="0.25">
      <c r="E636" s="51"/>
    </row>
    <row r="637" spans="5:5" ht="15.75" customHeight="1" x14ac:dyDescent="0.25">
      <c r="E637" s="51"/>
    </row>
    <row r="638" spans="5:5" ht="15.75" customHeight="1" x14ac:dyDescent="0.25">
      <c r="E638" s="51"/>
    </row>
    <row r="639" spans="5:5" ht="15.75" customHeight="1" x14ac:dyDescent="0.25">
      <c r="E639" s="51"/>
    </row>
    <row r="640" spans="5:5" ht="15.75" customHeight="1" x14ac:dyDescent="0.25">
      <c r="E640" s="51"/>
    </row>
    <row r="641" spans="5:5" ht="15.75" customHeight="1" x14ac:dyDescent="0.25">
      <c r="E641" s="51"/>
    </row>
    <row r="642" spans="5:5" ht="15.75" customHeight="1" x14ac:dyDescent="0.25">
      <c r="E642" s="51"/>
    </row>
    <row r="643" spans="5:5" ht="15.75" customHeight="1" x14ac:dyDescent="0.25">
      <c r="E643" s="51"/>
    </row>
    <row r="644" spans="5:5" ht="15.75" customHeight="1" x14ac:dyDescent="0.25">
      <c r="E644" s="51"/>
    </row>
    <row r="645" spans="5:5" ht="15.75" customHeight="1" x14ac:dyDescent="0.25">
      <c r="E645" s="51"/>
    </row>
    <row r="646" spans="5:5" ht="15.75" customHeight="1" x14ac:dyDescent="0.25">
      <c r="E646" s="51"/>
    </row>
    <row r="647" spans="5:5" ht="15.75" customHeight="1" x14ac:dyDescent="0.25">
      <c r="E647" s="51"/>
    </row>
    <row r="648" spans="5:5" ht="15.75" customHeight="1" x14ac:dyDescent="0.25">
      <c r="E648" s="51"/>
    </row>
    <row r="649" spans="5:5" ht="15.75" customHeight="1" x14ac:dyDescent="0.25">
      <c r="E649" s="51"/>
    </row>
    <row r="650" spans="5:5" ht="15.75" customHeight="1" x14ac:dyDescent="0.25">
      <c r="E650" s="51"/>
    </row>
    <row r="651" spans="5:5" ht="15.75" customHeight="1" x14ac:dyDescent="0.25">
      <c r="E651" s="51"/>
    </row>
    <row r="652" spans="5:5" ht="15.75" customHeight="1" x14ac:dyDescent="0.25">
      <c r="E652" s="51"/>
    </row>
    <row r="653" spans="5:5" ht="15.75" customHeight="1" x14ac:dyDescent="0.25">
      <c r="E653" s="51"/>
    </row>
    <row r="654" spans="5:5" ht="15.75" customHeight="1" x14ac:dyDescent="0.25">
      <c r="E654" s="51"/>
    </row>
    <row r="655" spans="5:5" ht="15.75" customHeight="1" x14ac:dyDescent="0.25">
      <c r="E655" s="51"/>
    </row>
    <row r="656" spans="5:5" ht="15.75" customHeight="1" x14ac:dyDescent="0.25">
      <c r="E656" s="51"/>
    </row>
    <row r="657" spans="5:5" ht="15.75" customHeight="1" x14ac:dyDescent="0.25">
      <c r="E657" s="51"/>
    </row>
    <row r="658" spans="5:5" ht="15.75" customHeight="1" x14ac:dyDescent="0.25">
      <c r="E658" s="51"/>
    </row>
    <row r="659" spans="5:5" ht="15.75" customHeight="1" x14ac:dyDescent="0.25">
      <c r="E659" s="51"/>
    </row>
    <row r="660" spans="5:5" ht="15.75" customHeight="1" x14ac:dyDescent="0.25">
      <c r="E660" s="51"/>
    </row>
    <row r="661" spans="5:5" ht="15.75" customHeight="1" x14ac:dyDescent="0.25">
      <c r="E661" s="51"/>
    </row>
    <row r="662" spans="5:5" ht="15.75" customHeight="1" x14ac:dyDescent="0.25">
      <c r="E662" s="51"/>
    </row>
    <row r="663" spans="5:5" ht="15.75" customHeight="1" x14ac:dyDescent="0.25">
      <c r="E663" s="51"/>
    </row>
    <row r="664" spans="5:5" ht="15.75" customHeight="1" x14ac:dyDescent="0.25">
      <c r="E664" s="51"/>
    </row>
    <row r="665" spans="5:5" ht="15.75" customHeight="1" x14ac:dyDescent="0.25">
      <c r="E665" s="51"/>
    </row>
    <row r="666" spans="5:5" ht="15.75" customHeight="1" x14ac:dyDescent="0.25">
      <c r="E666" s="51"/>
    </row>
    <row r="667" spans="5:5" ht="15.75" customHeight="1" x14ac:dyDescent="0.25">
      <c r="E667" s="51"/>
    </row>
    <row r="668" spans="5:5" ht="15.75" customHeight="1" x14ac:dyDescent="0.25">
      <c r="E668" s="51"/>
    </row>
    <row r="669" spans="5:5" ht="15.75" customHeight="1" x14ac:dyDescent="0.25">
      <c r="E669" s="51"/>
    </row>
    <row r="670" spans="5:5" ht="15.75" customHeight="1" x14ac:dyDescent="0.25">
      <c r="E670" s="51"/>
    </row>
    <row r="671" spans="5:5" ht="15.75" customHeight="1" x14ac:dyDescent="0.25">
      <c r="E671" s="51"/>
    </row>
    <row r="672" spans="5:5" ht="15.75" customHeight="1" x14ac:dyDescent="0.25">
      <c r="E672" s="51"/>
    </row>
    <row r="673" spans="5:5" ht="15.75" customHeight="1" x14ac:dyDescent="0.25">
      <c r="E673" s="51"/>
    </row>
    <row r="674" spans="5:5" ht="15.75" customHeight="1" x14ac:dyDescent="0.25">
      <c r="E674" s="51"/>
    </row>
    <row r="675" spans="5:5" ht="15.75" customHeight="1" x14ac:dyDescent="0.25">
      <c r="E675" s="51"/>
    </row>
    <row r="676" spans="5:5" ht="15.75" customHeight="1" x14ac:dyDescent="0.25">
      <c r="E676" s="51"/>
    </row>
    <row r="677" spans="5:5" ht="15.75" customHeight="1" x14ac:dyDescent="0.25">
      <c r="E677" s="51"/>
    </row>
    <row r="678" spans="5:5" ht="15.75" customHeight="1" x14ac:dyDescent="0.25">
      <c r="E678" s="51"/>
    </row>
    <row r="679" spans="5:5" ht="15.75" customHeight="1" x14ac:dyDescent="0.25">
      <c r="E679" s="51"/>
    </row>
    <row r="680" spans="5:5" ht="15.75" customHeight="1" x14ac:dyDescent="0.25">
      <c r="E680" s="51"/>
    </row>
    <row r="681" spans="5:5" ht="15.75" customHeight="1" x14ac:dyDescent="0.25">
      <c r="E681" s="51"/>
    </row>
    <row r="682" spans="5:5" ht="15.75" customHeight="1" x14ac:dyDescent="0.25">
      <c r="E682" s="51"/>
    </row>
    <row r="683" spans="5:5" ht="15.75" customHeight="1" x14ac:dyDescent="0.25">
      <c r="E683" s="51"/>
    </row>
    <row r="684" spans="5:5" ht="15.75" customHeight="1" x14ac:dyDescent="0.25">
      <c r="E684" s="51"/>
    </row>
    <row r="685" spans="5:5" ht="15.75" customHeight="1" x14ac:dyDescent="0.25">
      <c r="E685" s="51"/>
    </row>
    <row r="686" spans="5:5" ht="15.75" customHeight="1" x14ac:dyDescent="0.25">
      <c r="E686" s="51"/>
    </row>
    <row r="687" spans="5:5" ht="15.75" customHeight="1" x14ac:dyDescent="0.25">
      <c r="E687" s="51"/>
    </row>
    <row r="688" spans="5:5" ht="15.75" customHeight="1" x14ac:dyDescent="0.25">
      <c r="E688" s="51"/>
    </row>
    <row r="689" spans="5:5" ht="15.75" customHeight="1" x14ac:dyDescent="0.25">
      <c r="E689" s="51"/>
    </row>
    <row r="690" spans="5:5" ht="15.75" customHeight="1" x14ac:dyDescent="0.25">
      <c r="E690" s="51"/>
    </row>
    <row r="691" spans="5:5" ht="15.75" customHeight="1" x14ac:dyDescent="0.25">
      <c r="E691" s="51"/>
    </row>
    <row r="692" spans="5:5" ht="15.75" customHeight="1" x14ac:dyDescent="0.25">
      <c r="E692" s="51"/>
    </row>
    <row r="693" spans="5:5" ht="15.75" customHeight="1" x14ac:dyDescent="0.25">
      <c r="E693" s="51"/>
    </row>
    <row r="694" spans="5:5" ht="15.75" customHeight="1" x14ac:dyDescent="0.25">
      <c r="E694" s="51"/>
    </row>
    <row r="695" spans="5:5" ht="15.75" customHeight="1" x14ac:dyDescent="0.25">
      <c r="E695" s="51"/>
    </row>
    <row r="696" spans="5:5" ht="15.75" customHeight="1" x14ac:dyDescent="0.25">
      <c r="E696" s="51"/>
    </row>
    <row r="697" spans="5:5" ht="15.75" customHeight="1" x14ac:dyDescent="0.25">
      <c r="E697" s="51"/>
    </row>
    <row r="698" spans="5:5" ht="15.75" customHeight="1" x14ac:dyDescent="0.25">
      <c r="E698" s="51"/>
    </row>
    <row r="699" spans="5:5" ht="15.75" customHeight="1" x14ac:dyDescent="0.25">
      <c r="E699" s="51"/>
    </row>
    <row r="700" spans="5:5" ht="15.75" customHeight="1" x14ac:dyDescent="0.25">
      <c r="E700" s="51"/>
    </row>
    <row r="701" spans="5:5" ht="15.75" customHeight="1" x14ac:dyDescent="0.25">
      <c r="E701" s="51"/>
    </row>
    <row r="702" spans="5:5" ht="15.75" customHeight="1" x14ac:dyDescent="0.25">
      <c r="E702" s="51"/>
    </row>
    <row r="703" spans="5:5" ht="15.75" customHeight="1" x14ac:dyDescent="0.25">
      <c r="E703" s="51"/>
    </row>
    <row r="704" spans="5:5" ht="15.75" customHeight="1" x14ac:dyDescent="0.25">
      <c r="E704" s="51"/>
    </row>
    <row r="705" spans="5:5" ht="15.75" customHeight="1" x14ac:dyDescent="0.25">
      <c r="E705" s="51"/>
    </row>
    <row r="706" spans="5:5" ht="15.75" customHeight="1" x14ac:dyDescent="0.25">
      <c r="E706" s="51"/>
    </row>
    <row r="707" spans="5:5" ht="15.75" customHeight="1" x14ac:dyDescent="0.25">
      <c r="E707" s="51"/>
    </row>
    <row r="708" spans="5:5" ht="15.75" customHeight="1" x14ac:dyDescent="0.25">
      <c r="E708" s="51"/>
    </row>
    <row r="709" spans="5:5" ht="15.75" customHeight="1" x14ac:dyDescent="0.25">
      <c r="E709" s="51"/>
    </row>
    <row r="710" spans="5:5" ht="15.75" customHeight="1" x14ac:dyDescent="0.25">
      <c r="E710" s="51"/>
    </row>
    <row r="711" spans="5:5" ht="15.75" customHeight="1" x14ac:dyDescent="0.25">
      <c r="E711" s="51"/>
    </row>
    <row r="712" spans="5:5" ht="15.75" customHeight="1" x14ac:dyDescent="0.25">
      <c r="E712" s="51"/>
    </row>
    <row r="713" spans="5:5" ht="15.75" customHeight="1" x14ac:dyDescent="0.25">
      <c r="E713" s="51"/>
    </row>
    <row r="714" spans="5:5" ht="15.75" customHeight="1" x14ac:dyDescent="0.25">
      <c r="E714" s="51"/>
    </row>
    <row r="715" spans="5:5" ht="15.75" customHeight="1" x14ac:dyDescent="0.25">
      <c r="E715" s="51"/>
    </row>
    <row r="716" spans="5:5" ht="15.75" customHeight="1" x14ac:dyDescent="0.25">
      <c r="E716" s="51"/>
    </row>
    <row r="717" spans="5:5" ht="15.75" customHeight="1" x14ac:dyDescent="0.25">
      <c r="E717" s="51"/>
    </row>
    <row r="718" spans="5:5" ht="15.75" customHeight="1" x14ac:dyDescent="0.25">
      <c r="E718" s="51"/>
    </row>
    <row r="719" spans="5:5" ht="15.75" customHeight="1" x14ac:dyDescent="0.25">
      <c r="E719" s="51"/>
    </row>
    <row r="720" spans="5:5" ht="15.75" customHeight="1" x14ac:dyDescent="0.25">
      <c r="E720" s="51"/>
    </row>
    <row r="721" spans="5:5" ht="15.75" customHeight="1" x14ac:dyDescent="0.25">
      <c r="E721" s="51"/>
    </row>
    <row r="722" spans="5:5" ht="15.75" customHeight="1" x14ac:dyDescent="0.25">
      <c r="E722" s="51"/>
    </row>
    <row r="723" spans="5:5" ht="15.75" customHeight="1" x14ac:dyDescent="0.25">
      <c r="E723" s="51"/>
    </row>
    <row r="724" spans="5:5" ht="15.75" customHeight="1" x14ac:dyDescent="0.25">
      <c r="E724" s="51"/>
    </row>
    <row r="725" spans="5:5" ht="15.75" customHeight="1" x14ac:dyDescent="0.25">
      <c r="E725" s="51"/>
    </row>
    <row r="726" spans="5:5" ht="15.75" customHeight="1" x14ac:dyDescent="0.25">
      <c r="E726" s="51"/>
    </row>
    <row r="727" spans="5:5" ht="15.75" customHeight="1" x14ac:dyDescent="0.25">
      <c r="E727" s="51"/>
    </row>
    <row r="728" spans="5:5" ht="15.75" customHeight="1" x14ac:dyDescent="0.25">
      <c r="E728" s="51"/>
    </row>
    <row r="729" spans="5:5" ht="15.75" customHeight="1" x14ac:dyDescent="0.25">
      <c r="E729" s="51"/>
    </row>
    <row r="730" spans="5:5" ht="15.75" customHeight="1" x14ac:dyDescent="0.25">
      <c r="E730" s="51"/>
    </row>
    <row r="731" spans="5:5" ht="15.75" customHeight="1" x14ac:dyDescent="0.25">
      <c r="E731" s="51"/>
    </row>
    <row r="732" spans="5:5" ht="15.75" customHeight="1" x14ac:dyDescent="0.25">
      <c r="E732" s="51"/>
    </row>
    <row r="733" spans="5:5" ht="15.75" customHeight="1" x14ac:dyDescent="0.25">
      <c r="E733" s="51"/>
    </row>
    <row r="734" spans="5:5" ht="15.75" customHeight="1" x14ac:dyDescent="0.25">
      <c r="E734" s="51"/>
    </row>
    <row r="735" spans="5:5" ht="15.75" customHeight="1" x14ac:dyDescent="0.25">
      <c r="E735" s="51"/>
    </row>
    <row r="736" spans="5:5" ht="15.75" customHeight="1" x14ac:dyDescent="0.25">
      <c r="E736" s="51"/>
    </row>
    <row r="737" spans="5:5" ht="15.75" customHeight="1" x14ac:dyDescent="0.25">
      <c r="E737" s="51"/>
    </row>
    <row r="738" spans="5:5" ht="15.75" customHeight="1" x14ac:dyDescent="0.25">
      <c r="E738" s="51"/>
    </row>
    <row r="739" spans="5:5" ht="15.75" customHeight="1" x14ac:dyDescent="0.25">
      <c r="E739" s="51"/>
    </row>
    <row r="740" spans="5:5" ht="15.75" customHeight="1" x14ac:dyDescent="0.25">
      <c r="E740" s="51"/>
    </row>
    <row r="741" spans="5:5" ht="15.75" customHeight="1" x14ac:dyDescent="0.25">
      <c r="E741" s="51"/>
    </row>
    <row r="742" spans="5:5" ht="15.75" customHeight="1" x14ac:dyDescent="0.25">
      <c r="E742" s="51"/>
    </row>
    <row r="743" spans="5:5" ht="15.75" customHeight="1" x14ac:dyDescent="0.25">
      <c r="E743" s="51"/>
    </row>
    <row r="744" spans="5:5" ht="15.75" customHeight="1" x14ac:dyDescent="0.25">
      <c r="E744" s="51"/>
    </row>
    <row r="745" spans="5:5" ht="15.75" customHeight="1" x14ac:dyDescent="0.25">
      <c r="E745" s="51"/>
    </row>
    <row r="746" spans="5:5" ht="15.75" customHeight="1" x14ac:dyDescent="0.25">
      <c r="E746" s="51"/>
    </row>
    <row r="747" spans="5:5" ht="15.75" customHeight="1" x14ac:dyDescent="0.25">
      <c r="E747" s="51"/>
    </row>
    <row r="748" spans="5:5" ht="15.75" customHeight="1" x14ac:dyDescent="0.25">
      <c r="E748" s="51"/>
    </row>
    <row r="749" spans="5:5" ht="15.75" customHeight="1" x14ac:dyDescent="0.25">
      <c r="E749" s="51"/>
    </row>
    <row r="750" spans="5:5" ht="15.75" customHeight="1" x14ac:dyDescent="0.25">
      <c r="E750" s="51"/>
    </row>
    <row r="751" spans="5:5" ht="15.75" customHeight="1" x14ac:dyDescent="0.25">
      <c r="E751" s="51"/>
    </row>
    <row r="752" spans="5:5" ht="15.75" customHeight="1" x14ac:dyDescent="0.25">
      <c r="E752" s="51"/>
    </row>
    <row r="753" spans="5:5" ht="15.75" customHeight="1" x14ac:dyDescent="0.25">
      <c r="E753" s="51"/>
    </row>
    <row r="754" spans="5:5" ht="15.75" customHeight="1" x14ac:dyDescent="0.25">
      <c r="E754" s="51"/>
    </row>
    <row r="755" spans="5:5" ht="15.75" customHeight="1" x14ac:dyDescent="0.25">
      <c r="E755" s="51"/>
    </row>
    <row r="756" spans="5:5" ht="15.75" customHeight="1" x14ac:dyDescent="0.25">
      <c r="E756" s="51"/>
    </row>
    <row r="757" spans="5:5" ht="15.75" customHeight="1" x14ac:dyDescent="0.25">
      <c r="E757" s="51"/>
    </row>
    <row r="758" spans="5:5" ht="15.75" customHeight="1" x14ac:dyDescent="0.25">
      <c r="E758" s="51"/>
    </row>
    <row r="759" spans="5:5" ht="15.75" customHeight="1" x14ac:dyDescent="0.25">
      <c r="E759" s="51"/>
    </row>
    <row r="760" spans="5:5" ht="15.75" customHeight="1" x14ac:dyDescent="0.25">
      <c r="E760" s="51"/>
    </row>
    <row r="761" spans="5:5" ht="15.75" customHeight="1" x14ac:dyDescent="0.25">
      <c r="E761" s="51"/>
    </row>
    <row r="762" spans="5:5" ht="15.75" customHeight="1" x14ac:dyDescent="0.25">
      <c r="E762" s="51"/>
    </row>
    <row r="763" spans="5:5" ht="15.75" customHeight="1" x14ac:dyDescent="0.25">
      <c r="E763" s="51"/>
    </row>
    <row r="764" spans="5:5" ht="15.75" customHeight="1" x14ac:dyDescent="0.25">
      <c r="E764" s="51"/>
    </row>
    <row r="765" spans="5:5" ht="15.75" customHeight="1" x14ac:dyDescent="0.25">
      <c r="E765" s="51"/>
    </row>
    <row r="766" spans="5:5" ht="15.75" customHeight="1" x14ac:dyDescent="0.25">
      <c r="E766" s="51"/>
    </row>
    <row r="767" spans="5:5" ht="15.75" customHeight="1" x14ac:dyDescent="0.25">
      <c r="E767" s="51"/>
    </row>
    <row r="768" spans="5:5" ht="15.75" customHeight="1" x14ac:dyDescent="0.25">
      <c r="E768" s="51"/>
    </row>
    <row r="769" spans="5:5" ht="15.75" customHeight="1" x14ac:dyDescent="0.25">
      <c r="E769" s="51"/>
    </row>
    <row r="770" spans="5:5" ht="15.75" customHeight="1" x14ac:dyDescent="0.25">
      <c r="E770" s="51"/>
    </row>
    <row r="771" spans="5:5" ht="15.75" customHeight="1" x14ac:dyDescent="0.25">
      <c r="E771" s="51"/>
    </row>
    <row r="772" spans="5:5" ht="15.75" customHeight="1" x14ac:dyDescent="0.25">
      <c r="E772" s="51"/>
    </row>
    <row r="773" spans="5:5" ht="15.75" customHeight="1" x14ac:dyDescent="0.25">
      <c r="E773" s="51"/>
    </row>
    <row r="774" spans="5:5" ht="15.75" customHeight="1" x14ac:dyDescent="0.25">
      <c r="E774" s="51"/>
    </row>
    <row r="775" spans="5:5" ht="15.75" customHeight="1" x14ac:dyDescent="0.25">
      <c r="E775" s="51"/>
    </row>
    <row r="776" spans="5:5" ht="15.75" customHeight="1" x14ac:dyDescent="0.25">
      <c r="E776" s="51"/>
    </row>
    <row r="777" spans="5:5" ht="15.75" customHeight="1" x14ac:dyDescent="0.25">
      <c r="E777" s="51"/>
    </row>
    <row r="778" spans="5:5" ht="15.75" customHeight="1" x14ac:dyDescent="0.25">
      <c r="E778" s="51"/>
    </row>
    <row r="779" spans="5:5" ht="15.75" customHeight="1" x14ac:dyDescent="0.25">
      <c r="E779" s="51"/>
    </row>
    <row r="780" spans="5:5" ht="15.75" customHeight="1" x14ac:dyDescent="0.25">
      <c r="E780" s="51"/>
    </row>
    <row r="781" spans="5:5" ht="15.75" customHeight="1" x14ac:dyDescent="0.25">
      <c r="E781" s="51"/>
    </row>
    <row r="782" spans="5:5" ht="15.75" customHeight="1" x14ac:dyDescent="0.25">
      <c r="E782" s="51"/>
    </row>
    <row r="783" spans="5:5" ht="15.75" customHeight="1" x14ac:dyDescent="0.25">
      <c r="E783" s="51"/>
    </row>
    <row r="784" spans="5:5" ht="15.75" customHeight="1" x14ac:dyDescent="0.25">
      <c r="E784" s="51"/>
    </row>
    <row r="785" spans="5:5" ht="15.75" customHeight="1" x14ac:dyDescent="0.25">
      <c r="E785" s="51"/>
    </row>
    <row r="786" spans="5:5" ht="15.75" customHeight="1" x14ac:dyDescent="0.25">
      <c r="E786" s="51"/>
    </row>
    <row r="787" spans="5:5" ht="15.75" customHeight="1" x14ac:dyDescent="0.25">
      <c r="E787" s="51"/>
    </row>
    <row r="788" spans="5:5" ht="15.75" customHeight="1" x14ac:dyDescent="0.25">
      <c r="E788" s="51"/>
    </row>
    <row r="789" spans="5:5" ht="15.75" customHeight="1" x14ac:dyDescent="0.25">
      <c r="E789" s="51"/>
    </row>
    <row r="790" spans="5:5" ht="15.75" customHeight="1" x14ac:dyDescent="0.25">
      <c r="E790" s="51"/>
    </row>
    <row r="791" spans="5:5" ht="15.75" customHeight="1" x14ac:dyDescent="0.25">
      <c r="E791" s="51"/>
    </row>
    <row r="792" spans="5:5" ht="15.75" customHeight="1" x14ac:dyDescent="0.25">
      <c r="E792" s="51"/>
    </row>
    <row r="793" spans="5:5" ht="15.75" customHeight="1" x14ac:dyDescent="0.25">
      <c r="E793" s="51"/>
    </row>
    <row r="794" spans="5:5" ht="15.75" customHeight="1" x14ac:dyDescent="0.25">
      <c r="E794" s="51"/>
    </row>
    <row r="795" spans="5:5" ht="15.75" customHeight="1" x14ac:dyDescent="0.25">
      <c r="E795" s="51"/>
    </row>
    <row r="796" spans="5:5" ht="15.75" customHeight="1" x14ac:dyDescent="0.25">
      <c r="E796" s="51"/>
    </row>
    <row r="797" spans="5:5" ht="15.75" customHeight="1" x14ac:dyDescent="0.25">
      <c r="E797" s="51"/>
    </row>
    <row r="798" spans="5:5" ht="15.75" customHeight="1" x14ac:dyDescent="0.25">
      <c r="E798" s="51"/>
    </row>
    <row r="799" spans="5:5" ht="15.75" customHeight="1" x14ac:dyDescent="0.25">
      <c r="E799" s="51"/>
    </row>
    <row r="800" spans="5:5" ht="15.75" customHeight="1" x14ac:dyDescent="0.25">
      <c r="E800" s="51"/>
    </row>
    <row r="801" spans="5:5" ht="15.75" customHeight="1" x14ac:dyDescent="0.25">
      <c r="E801" s="51"/>
    </row>
    <row r="802" spans="5:5" ht="15.75" customHeight="1" x14ac:dyDescent="0.25">
      <c r="E802" s="51"/>
    </row>
    <row r="803" spans="5:5" ht="15.75" customHeight="1" x14ac:dyDescent="0.25">
      <c r="E803" s="51"/>
    </row>
    <row r="804" spans="5:5" ht="15.75" customHeight="1" x14ac:dyDescent="0.25">
      <c r="E804" s="51"/>
    </row>
    <row r="805" spans="5:5" ht="15.75" customHeight="1" x14ac:dyDescent="0.25">
      <c r="E805" s="51"/>
    </row>
    <row r="806" spans="5:5" ht="15.75" customHeight="1" x14ac:dyDescent="0.25">
      <c r="E806" s="51"/>
    </row>
    <row r="807" spans="5:5" ht="15.75" customHeight="1" x14ac:dyDescent="0.25">
      <c r="E807" s="51"/>
    </row>
    <row r="808" spans="5:5" ht="15.75" customHeight="1" x14ac:dyDescent="0.25">
      <c r="E808" s="51"/>
    </row>
    <row r="809" spans="5:5" ht="15.75" customHeight="1" x14ac:dyDescent="0.25">
      <c r="E809" s="51"/>
    </row>
    <row r="810" spans="5:5" ht="15.75" customHeight="1" x14ac:dyDescent="0.25">
      <c r="E810" s="51"/>
    </row>
    <row r="811" spans="5:5" ht="15.75" customHeight="1" x14ac:dyDescent="0.25">
      <c r="E811" s="51"/>
    </row>
    <row r="812" spans="5:5" ht="15.75" customHeight="1" x14ac:dyDescent="0.25">
      <c r="E812" s="51"/>
    </row>
    <row r="813" spans="5:5" ht="15.75" customHeight="1" x14ac:dyDescent="0.25">
      <c r="E813" s="51"/>
    </row>
    <row r="814" spans="5:5" ht="15.75" customHeight="1" x14ac:dyDescent="0.25">
      <c r="E814" s="51"/>
    </row>
    <row r="815" spans="5:5" ht="15.75" customHeight="1" x14ac:dyDescent="0.25">
      <c r="E815" s="51"/>
    </row>
    <row r="816" spans="5:5" ht="15.75" customHeight="1" x14ac:dyDescent="0.25">
      <c r="E816" s="51"/>
    </row>
    <row r="817" spans="5:5" ht="15.75" customHeight="1" x14ac:dyDescent="0.25">
      <c r="E817" s="51"/>
    </row>
    <row r="818" spans="5:5" ht="15.75" customHeight="1" x14ac:dyDescent="0.25">
      <c r="E818" s="51"/>
    </row>
    <row r="819" spans="5:5" ht="15.75" customHeight="1" x14ac:dyDescent="0.25">
      <c r="E819" s="51"/>
    </row>
    <row r="820" spans="5:5" ht="15.75" customHeight="1" x14ac:dyDescent="0.25">
      <c r="E820" s="51"/>
    </row>
    <row r="821" spans="5:5" ht="15.75" customHeight="1" x14ac:dyDescent="0.25">
      <c r="E821" s="51"/>
    </row>
    <row r="822" spans="5:5" ht="15.75" customHeight="1" x14ac:dyDescent="0.25">
      <c r="E822" s="51"/>
    </row>
    <row r="823" spans="5:5" ht="15.75" customHeight="1" x14ac:dyDescent="0.25">
      <c r="E823" s="51"/>
    </row>
    <row r="824" spans="5:5" ht="15.75" customHeight="1" x14ac:dyDescent="0.25">
      <c r="E824" s="51"/>
    </row>
    <row r="825" spans="5:5" ht="15.75" customHeight="1" x14ac:dyDescent="0.25">
      <c r="E825" s="51"/>
    </row>
    <row r="826" spans="5:5" ht="15.75" customHeight="1" x14ac:dyDescent="0.25">
      <c r="E826" s="51"/>
    </row>
    <row r="827" spans="5:5" ht="15.75" customHeight="1" x14ac:dyDescent="0.25">
      <c r="E827" s="51"/>
    </row>
    <row r="828" spans="5:5" ht="15.75" customHeight="1" x14ac:dyDescent="0.25">
      <c r="E828" s="51"/>
    </row>
    <row r="829" spans="5:5" ht="15.75" customHeight="1" x14ac:dyDescent="0.25">
      <c r="E829" s="51"/>
    </row>
    <row r="830" spans="5:5" ht="15.75" customHeight="1" x14ac:dyDescent="0.25">
      <c r="E830" s="51"/>
    </row>
    <row r="831" spans="5:5" ht="15.75" customHeight="1" x14ac:dyDescent="0.25">
      <c r="E831" s="51"/>
    </row>
    <row r="832" spans="5:5" ht="15.75" customHeight="1" x14ac:dyDescent="0.25">
      <c r="E832" s="51"/>
    </row>
    <row r="833" spans="5:5" ht="15.75" customHeight="1" x14ac:dyDescent="0.25">
      <c r="E833" s="51"/>
    </row>
    <row r="834" spans="5:5" ht="15.75" customHeight="1" x14ac:dyDescent="0.25">
      <c r="E834" s="51"/>
    </row>
    <row r="835" spans="5:5" ht="15.75" customHeight="1" x14ac:dyDescent="0.25">
      <c r="E835" s="51"/>
    </row>
    <row r="836" spans="5:5" ht="15.75" customHeight="1" x14ac:dyDescent="0.25">
      <c r="E836" s="51"/>
    </row>
    <row r="837" spans="5:5" ht="15.75" customHeight="1" x14ac:dyDescent="0.25">
      <c r="E837" s="51"/>
    </row>
    <row r="838" spans="5:5" ht="15.75" customHeight="1" x14ac:dyDescent="0.25">
      <c r="E838" s="51"/>
    </row>
    <row r="839" spans="5:5" ht="15.75" customHeight="1" x14ac:dyDescent="0.25">
      <c r="E839" s="51"/>
    </row>
    <row r="840" spans="5:5" ht="15.75" customHeight="1" x14ac:dyDescent="0.25">
      <c r="E840" s="51"/>
    </row>
    <row r="841" spans="5:5" ht="15.75" customHeight="1" x14ac:dyDescent="0.25">
      <c r="E841" s="51"/>
    </row>
    <row r="842" spans="5:5" ht="15.75" customHeight="1" x14ac:dyDescent="0.25">
      <c r="E842" s="51"/>
    </row>
    <row r="843" spans="5:5" ht="15.75" customHeight="1" x14ac:dyDescent="0.25">
      <c r="E843" s="51"/>
    </row>
    <row r="844" spans="5:5" ht="15.75" customHeight="1" x14ac:dyDescent="0.25">
      <c r="E844" s="51"/>
    </row>
    <row r="845" spans="5:5" ht="15.75" customHeight="1" x14ac:dyDescent="0.25">
      <c r="E845" s="51"/>
    </row>
    <row r="846" spans="5:5" ht="15.75" customHeight="1" x14ac:dyDescent="0.25">
      <c r="E846" s="51"/>
    </row>
    <row r="847" spans="5:5" ht="15.75" customHeight="1" x14ac:dyDescent="0.25">
      <c r="E847" s="51"/>
    </row>
    <row r="848" spans="5:5" ht="15.75" customHeight="1" x14ac:dyDescent="0.25">
      <c r="E848" s="51"/>
    </row>
    <row r="849" spans="5:5" ht="15.75" customHeight="1" x14ac:dyDescent="0.25">
      <c r="E849" s="51"/>
    </row>
    <row r="850" spans="5:5" ht="15.75" customHeight="1" x14ac:dyDescent="0.25">
      <c r="E850" s="51"/>
    </row>
    <row r="851" spans="5:5" ht="15.75" customHeight="1" x14ac:dyDescent="0.25">
      <c r="E851" s="51"/>
    </row>
    <row r="852" spans="5:5" ht="15.75" customHeight="1" x14ac:dyDescent="0.25">
      <c r="E852" s="51"/>
    </row>
    <row r="853" spans="5:5" ht="15.75" customHeight="1" x14ac:dyDescent="0.25">
      <c r="E853" s="51"/>
    </row>
    <row r="854" spans="5:5" ht="15.75" customHeight="1" x14ac:dyDescent="0.25">
      <c r="E854" s="51"/>
    </row>
    <row r="855" spans="5:5" ht="15.75" customHeight="1" x14ac:dyDescent="0.25">
      <c r="E855" s="51"/>
    </row>
    <row r="856" spans="5:5" ht="15.75" customHeight="1" x14ac:dyDescent="0.25">
      <c r="E856" s="51"/>
    </row>
    <row r="857" spans="5:5" ht="15.75" customHeight="1" x14ac:dyDescent="0.25">
      <c r="E857" s="51"/>
    </row>
    <row r="858" spans="5:5" ht="15.75" customHeight="1" x14ac:dyDescent="0.25">
      <c r="E858" s="51"/>
    </row>
    <row r="859" spans="5:5" ht="15.75" customHeight="1" x14ac:dyDescent="0.25">
      <c r="E859" s="51"/>
    </row>
    <row r="860" spans="5:5" ht="15.75" customHeight="1" x14ac:dyDescent="0.25">
      <c r="E860" s="51"/>
    </row>
    <row r="861" spans="5:5" ht="15.75" customHeight="1" x14ac:dyDescent="0.25">
      <c r="E861" s="51"/>
    </row>
    <row r="862" spans="5:5" ht="15.75" customHeight="1" x14ac:dyDescent="0.25">
      <c r="E862" s="51"/>
    </row>
    <row r="863" spans="5:5" ht="15.75" customHeight="1" x14ac:dyDescent="0.25">
      <c r="E863" s="51"/>
    </row>
    <row r="864" spans="5:5" ht="15.75" customHeight="1" x14ac:dyDescent="0.25">
      <c r="E864" s="51"/>
    </row>
    <row r="865" spans="5:5" ht="15.75" customHeight="1" x14ac:dyDescent="0.25">
      <c r="E865" s="51"/>
    </row>
    <row r="866" spans="5:5" ht="15.75" customHeight="1" x14ac:dyDescent="0.25">
      <c r="E866" s="51"/>
    </row>
    <row r="867" spans="5:5" ht="15.75" customHeight="1" x14ac:dyDescent="0.25">
      <c r="E867" s="51"/>
    </row>
    <row r="868" spans="5:5" ht="15.75" customHeight="1" x14ac:dyDescent="0.25">
      <c r="E868" s="51"/>
    </row>
    <row r="869" spans="5:5" ht="15.75" customHeight="1" x14ac:dyDescent="0.25">
      <c r="E869" s="51"/>
    </row>
    <row r="870" spans="5:5" ht="15.75" customHeight="1" x14ac:dyDescent="0.25">
      <c r="E870" s="51"/>
    </row>
    <row r="871" spans="5:5" ht="15.75" customHeight="1" x14ac:dyDescent="0.25">
      <c r="E871" s="51"/>
    </row>
    <row r="872" spans="5:5" ht="15.75" customHeight="1" x14ac:dyDescent="0.25">
      <c r="E872" s="51"/>
    </row>
    <row r="873" spans="5:5" ht="15.75" customHeight="1" x14ac:dyDescent="0.25">
      <c r="E873" s="51"/>
    </row>
    <row r="874" spans="5:5" ht="15.75" customHeight="1" x14ac:dyDescent="0.25">
      <c r="E874" s="51"/>
    </row>
    <row r="875" spans="5:5" ht="15.75" customHeight="1" x14ac:dyDescent="0.25">
      <c r="E875" s="51"/>
    </row>
    <row r="876" spans="5:5" ht="15.75" customHeight="1" x14ac:dyDescent="0.25">
      <c r="E876" s="51"/>
    </row>
    <row r="877" spans="5:5" ht="15.75" customHeight="1" x14ac:dyDescent="0.25">
      <c r="E877" s="51"/>
    </row>
    <row r="878" spans="5:5" ht="15.75" customHeight="1" x14ac:dyDescent="0.25">
      <c r="E878" s="51"/>
    </row>
    <row r="879" spans="5:5" ht="15.75" customHeight="1" x14ac:dyDescent="0.25">
      <c r="E879" s="51"/>
    </row>
    <row r="880" spans="5:5" ht="15.75" customHeight="1" x14ac:dyDescent="0.25">
      <c r="E880" s="51"/>
    </row>
    <row r="881" spans="5:5" ht="15.75" customHeight="1" x14ac:dyDescent="0.25">
      <c r="E881" s="51"/>
    </row>
    <row r="882" spans="5:5" ht="15.75" customHeight="1" x14ac:dyDescent="0.25">
      <c r="E882" s="51"/>
    </row>
    <row r="883" spans="5:5" ht="15.75" customHeight="1" x14ac:dyDescent="0.25">
      <c r="E883" s="51"/>
    </row>
    <row r="884" spans="5:5" ht="15.75" customHeight="1" x14ac:dyDescent="0.25">
      <c r="E884" s="51"/>
    </row>
    <row r="885" spans="5:5" ht="15.75" customHeight="1" x14ac:dyDescent="0.25">
      <c r="E885" s="51"/>
    </row>
    <row r="886" spans="5:5" ht="15.75" customHeight="1" x14ac:dyDescent="0.25">
      <c r="E886" s="51"/>
    </row>
    <row r="887" spans="5:5" ht="15.75" customHeight="1" x14ac:dyDescent="0.25">
      <c r="E887" s="51"/>
    </row>
    <row r="888" spans="5:5" ht="15.75" customHeight="1" x14ac:dyDescent="0.25">
      <c r="E888" s="51"/>
    </row>
    <row r="889" spans="5:5" ht="15.75" customHeight="1" x14ac:dyDescent="0.25">
      <c r="E889" s="51"/>
    </row>
    <row r="890" spans="5:5" ht="15.75" customHeight="1" x14ac:dyDescent="0.25">
      <c r="E890" s="51"/>
    </row>
    <row r="891" spans="5:5" ht="15.75" customHeight="1" x14ac:dyDescent="0.25">
      <c r="E891" s="51"/>
    </row>
    <row r="892" spans="5:5" ht="15.75" customHeight="1" x14ac:dyDescent="0.25">
      <c r="E892" s="51"/>
    </row>
    <row r="893" spans="5:5" ht="15.75" customHeight="1" x14ac:dyDescent="0.25">
      <c r="E893" s="51"/>
    </row>
    <row r="894" spans="5:5" ht="15.75" customHeight="1" x14ac:dyDescent="0.25">
      <c r="E894" s="51"/>
    </row>
    <row r="895" spans="5:5" ht="15.75" customHeight="1" x14ac:dyDescent="0.25">
      <c r="E895" s="51"/>
    </row>
    <row r="896" spans="5:5" ht="15.75" customHeight="1" x14ac:dyDescent="0.25">
      <c r="E896" s="51"/>
    </row>
    <row r="897" spans="5:5" ht="15.75" customHeight="1" x14ac:dyDescent="0.25">
      <c r="E897" s="51"/>
    </row>
    <row r="898" spans="5:5" ht="15.75" customHeight="1" x14ac:dyDescent="0.25">
      <c r="E898" s="51"/>
    </row>
    <row r="899" spans="5:5" ht="15.75" customHeight="1" x14ac:dyDescent="0.25">
      <c r="E899" s="51"/>
    </row>
    <row r="900" spans="5:5" ht="15.75" customHeight="1" x14ac:dyDescent="0.25">
      <c r="E900" s="51"/>
    </row>
    <row r="901" spans="5:5" ht="15.75" customHeight="1" x14ac:dyDescent="0.25">
      <c r="E901" s="51"/>
    </row>
    <row r="902" spans="5:5" ht="15.75" customHeight="1" x14ac:dyDescent="0.25">
      <c r="E902" s="51"/>
    </row>
    <row r="903" spans="5:5" ht="15.75" customHeight="1" x14ac:dyDescent="0.25">
      <c r="E903" s="51"/>
    </row>
    <row r="904" spans="5:5" ht="15.75" customHeight="1" x14ac:dyDescent="0.25">
      <c r="E904" s="51"/>
    </row>
    <row r="905" spans="5:5" ht="15.75" customHeight="1" x14ac:dyDescent="0.25">
      <c r="E905" s="51"/>
    </row>
    <row r="906" spans="5:5" ht="15.75" customHeight="1" x14ac:dyDescent="0.25">
      <c r="E906" s="51"/>
    </row>
    <row r="907" spans="5:5" ht="15.75" customHeight="1" x14ac:dyDescent="0.25">
      <c r="E907" s="51"/>
    </row>
    <row r="908" spans="5:5" ht="15.75" customHeight="1" x14ac:dyDescent="0.25">
      <c r="E908" s="51"/>
    </row>
    <row r="909" spans="5:5" ht="15.75" customHeight="1" x14ac:dyDescent="0.25">
      <c r="E909" s="51"/>
    </row>
    <row r="910" spans="5:5" ht="15.75" customHeight="1" x14ac:dyDescent="0.25">
      <c r="E910" s="51"/>
    </row>
    <row r="911" spans="5:5" ht="15.75" customHeight="1" x14ac:dyDescent="0.25">
      <c r="E911" s="51"/>
    </row>
    <row r="912" spans="5:5" ht="15.75" customHeight="1" x14ac:dyDescent="0.25">
      <c r="E912" s="51"/>
    </row>
    <row r="913" spans="5:5" ht="15.75" customHeight="1" x14ac:dyDescent="0.25">
      <c r="E913" s="51"/>
    </row>
    <row r="914" spans="5:5" ht="15.75" customHeight="1" x14ac:dyDescent="0.25">
      <c r="E914" s="51"/>
    </row>
    <row r="915" spans="5:5" ht="15.75" customHeight="1" x14ac:dyDescent="0.25">
      <c r="E915" s="51"/>
    </row>
    <row r="916" spans="5:5" ht="15.75" customHeight="1" x14ac:dyDescent="0.25">
      <c r="E916" s="51"/>
    </row>
    <row r="917" spans="5:5" ht="15.75" customHeight="1" x14ac:dyDescent="0.25">
      <c r="E917" s="51"/>
    </row>
    <row r="918" spans="5:5" ht="15.75" customHeight="1" x14ac:dyDescent="0.25">
      <c r="E918" s="51"/>
    </row>
    <row r="919" spans="5:5" ht="15.75" customHeight="1" x14ac:dyDescent="0.25">
      <c r="E919" s="51"/>
    </row>
    <row r="920" spans="5:5" ht="15.75" customHeight="1" x14ac:dyDescent="0.25">
      <c r="E920" s="51"/>
    </row>
    <row r="921" spans="5:5" ht="15.75" customHeight="1" x14ac:dyDescent="0.25">
      <c r="E921" s="51"/>
    </row>
    <row r="922" spans="5:5" ht="15.75" customHeight="1" x14ac:dyDescent="0.25">
      <c r="E922" s="51"/>
    </row>
    <row r="923" spans="5:5" ht="15.75" customHeight="1" x14ac:dyDescent="0.25">
      <c r="E923" s="51"/>
    </row>
    <row r="924" spans="5:5" ht="15.75" customHeight="1" x14ac:dyDescent="0.25">
      <c r="E924" s="51"/>
    </row>
    <row r="925" spans="5:5" ht="15.75" customHeight="1" x14ac:dyDescent="0.25">
      <c r="E925" s="51"/>
    </row>
    <row r="926" spans="5:5" ht="15.75" customHeight="1" x14ac:dyDescent="0.25">
      <c r="E926" s="51"/>
    </row>
    <row r="927" spans="5:5" ht="15.75" customHeight="1" x14ac:dyDescent="0.25">
      <c r="E927" s="51"/>
    </row>
    <row r="928" spans="5:5" ht="15.75" customHeight="1" x14ac:dyDescent="0.25">
      <c r="E928" s="51"/>
    </row>
    <row r="929" spans="5:5" ht="15.75" customHeight="1" x14ac:dyDescent="0.25">
      <c r="E929" s="51"/>
    </row>
    <row r="930" spans="5:5" ht="15.75" customHeight="1" x14ac:dyDescent="0.25">
      <c r="E930" s="51"/>
    </row>
    <row r="931" spans="5:5" ht="15.75" customHeight="1" x14ac:dyDescent="0.25">
      <c r="E931" s="51"/>
    </row>
    <row r="932" spans="5:5" ht="15.75" customHeight="1" x14ac:dyDescent="0.25">
      <c r="E932" s="51"/>
    </row>
    <row r="933" spans="5:5" ht="15.75" customHeight="1" x14ac:dyDescent="0.25">
      <c r="E933" s="51"/>
    </row>
    <row r="934" spans="5:5" ht="15.75" customHeight="1" x14ac:dyDescent="0.25">
      <c r="E934" s="51"/>
    </row>
    <row r="935" spans="5:5" ht="15.75" customHeight="1" x14ac:dyDescent="0.25">
      <c r="E935" s="51"/>
    </row>
    <row r="936" spans="5:5" ht="15.75" customHeight="1" x14ac:dyDescent="0.25">
      <c r="E936" s="51"/>
    </row>
    <row r="937" spans="5:5" ht="15.75" customHeight="1" x14ac:dyDescent="0.25">
      <c r="E937" s="51"/>
    </row>
    <row r="938" spans="5:5" ht="15.75" customHeight="1" x14ac:dyDescent="0.25">
      <c r="E938" s="51"/>
    </row>
    <row r="939" spans="5:5" ht="15.75" customHeight="1" x14ac:dyDescent="0.25">
      <c r="E939" s="51"/>
    </row>
    <row r="940" spans="5:5" ht="15.75" customHeight="1" x14ac:dyDescent="0.25">
      <c r="E940" s="51"/>
    </row>
    <row r="941" spans="5:5" ht="15.75" customHeight="1" x14ac:dyDescent="0.25">
      <c r="E941" s="51"/>
    </row>
    <row r="942" spans="5:5" ht="15.75" customHeight="1" x14ac:dyDescent="0.25">
      <c r="E942" s="51"/>
    </row>
    <row r="943" spans="5:5" ht="15.75" customHeight="1" x14ac:dyDescent="0.25">
      <c r="E943" s="51"/>
    </row>
    <row r="944" spans="5:5" ht="15.75" customHeight="1" x14ac:dyDescent="0.25">
      <c r="E944" s="51"/>
    </row>
    <row r="945" spans="5:5" ht="15.75" customHeight="1" x14ac:dyDescent="0.25">
      <c r="E945" s="51"/>
    </row>
    <row r="946" spans="5:5" ht="15.75" customHeight="1" x14ac:dyDescent="0.25">
      <c r="E946" s="51"/>
    </row>
    <row r="947" spans="5:5" ht="15.75" customHeight="1" x14ac:dyDescent="0.25">
      <c r="E947" s="51"/>
    </row>
    <row r="948" spans="5:5" ht="15.75" customHeight="1" x14ac:dyDescent="0.25">
      <c r="E948" s="51"/>
    </row>
    <row r="949" spans="5:5" ht="15.75" customHeight="1" x14ac:dyDescent="0.25">
      <c r="E949" s="51"/>
    </row>
    <row r="950" spans="5:5" ht="15.75" customHeight="1" x14ac:dyDescent="0.25">
      <c r="E950" s="51"/>
    </row>
    <row r="951" spans="5:5" ht="15.75" customHeight="1" x14ac:dyDescent="0.25">
      <c r="E951" s="51"/>
    </row>
    <row r="952" spans="5:5" ht="15.75" customHeight="1" x14ac:dyDescent="0.25">
      <c r="E952" s="51"/>
    </row>
    <row r="953" spans="5:5" ht="15.75" customHeight="1" x14ac:dyDescent="0.25">
      <c r="E953" s="51"/>
    </row>
    <row r="954" spans="5:5" ht="15.75" customHeight="1" x14ac:dyDescent="0.25">
      <c r="E954" s="51"/>
    </row>
    <row r="955" spans="5:5" ht="15.75" customHeight="1" x14ac:dyDescent="0.25">
      <c r="E955" s="51"/>
    </row>
    <row r="956" spans="5:5" ht="15.75" customHeight="1" x14ac:dyDescent="0.25">
      <c r="E956" s="51"/>
    </row>
    <row r="957" spans="5:5" ht="15.75" customHeight="1" x14ac:dyDescent="0.25">
      <c r="E957" s="51"/>
    </row>
    <row r="958" spans="5:5" ht="15.75" customHeight="1" x14ac:dyDescent="0.25">
      <c r="E958" s="51"/>
    </row>
    <row r="959" spans="5:5" ht="15.75" customHeight="1" x14ac:dyDescent="0.25">
      <c r="E959" s="51"/>
    </row>
    <row r="960" spans="5:5" ht="15.75" customHeight="1" x14ac:dyDescent="0.25">
      <c r="E960" s="51"/>
    </row>
    <row r="961" spans="5:5" ht="15.75" customHeight="1" x14ac:dyDescent="0.25">
      <c r="E961" s="51"/>
    </row>
    <row r="962" spans="5:5" ht="15.75" customHeight="1" x14ac:dyDescent="0.25">
      <c r="E962" s="51"/>
    </row>
    <row r="963" spans="5:5" ht="15.75" customHeight="1" x14ac:dyDescent="0.25">
      <c r="E963" s="51"/>
    </row>
    <row r="964" spans="5:5" ht="15.75" customHeight="1" x14ac:dyDescent="0.25">
      <c r="E964" s="51"/>
    </row>
    <row r="965" spans="5:5" ht="15.75" customHeight="1" x14ac:dyDescent="0.25">
      <c r="E965" s="51"/>
    </row>
    <row r="966" spans="5:5" ht="15.75" customHeight="1" x14ac:dyDescent="0.25">
      <c r="E966" s="51"/>
    </row>
    <row r="967" spans="5:5" ht="15.75" customHeight="1" x14ac:dyDescent="0.25">
      <c r="E967" s="51"/>
    </row>
    <row r="968" spans="5:5" ht="15.75" customHeight="1" x14ac:dyDescent="0.25">
      <c r="E968" s="51"/>
    </row>
    <row r="969" spans="5:5" ht="15.75" customHeight="1" x14ac:dyDescent="0.25">
      <c r="E969" s="51"/>
    </row>
    <row r="970" spans="5:5" ht="15.75" customHeight="1" x14ac:dyDescent="0.25">
      <c r="E970" s="51"/>
    </row>
    <row r="971" spans="5:5" ht="15.75" customHeight="1" x14ac:dyDescent="0.25">
      <c r="E971" s="51"/>
    </row>
    <row r="972" spans="5:5" ht="15.75" customHeight="1" x14ac:dyDescent="0.25">
      <c r="E972" s="51"/>
    </row>
    <row r="973" spans="5:5" ht="15.75" customHeight="1" x14ac:dyDescent="0.25">
      <c r="E973" s="51"/>
    </row>
    <row r="974" spans="5:5" ht="15.75" customHeight="1" x14ac:dyDescent="0.25">
      <c r="E974" s="51"/>
    </row>
    <row r="975" spans="5:5" ht="15.75" customHeight="1" x14ac:dyDescent="0.25">
      <c r="E975" s="51"/>
    </row>
    <row r="976" spans="5:5" ht="15.75" customHeight="1" x14ac:dyDescent="0.25">
      <c r="E976" s="51"/>
    </row>
    <row r="977" spans="5:5" ht="15.75" customHeight="1" x14ac:dyDescent="0.25">
      <c r="E977" s="51"/>
    </row>
    <row r="978" spans="5:5" ht="15.75" customHeight="1" x14ac:dyDescent="0.25">
      <c r="E978" s="51"/>
    </row>
    <row r="979" spans="5:5" ht="15.75" customHeight="1" x14ac:dyDescent="0.25">
      <c r="E979" s="51"/>
    </row>
    <row r="980" spans="5:5" ht="15.75" customHeight="1" x14ac:dyDescent="0.25">
      <c r="E980" s="51"/>
    </row>
    <row r="981" spans="5:5" ht="15.75" customHeight="1" x14ac:dyDescent="0.25">
      <c r="E981" s="51"/>
    </row>
    <row r="982" spans="5:5" ht="15.75" customHeight="1" x14ac:dyDescent="0.25">
      <c r="E982" s="51"/>
    </row>
    <row r="983" spans="5:5" ht="15.75" customHeight="1" x14ac:dyDescent="0.25">
      <c r="E983" s="51"/>
    </row>
    <row r="984" spans="5:5" ht="15.75" customHeight="1" x14ac:dyDescent="0.25">
      <c r="E984" s="51"/>
    </row>
    <row r="985" spans="5:5" ht="15.75" customHeight="1" x14ac:dyDescent="0.25">
      <c r="E985" s="51"/>
    </row>
    <row r="986" spans="5:5" ht="15.75" customHeight="1" x14ac:dyDescent="0.25">
      <c r="E986" s="51"/>
    </row>
    <row r="987" spans="5:5" ht="15.75" customHeight="1" x14ac:dyDescent="0.25">
      <c r="E987" s="51"/>
    </row>
    <row r="988" spans="5:5" ht="15.75" customHeight="1" x14ac:dyDescent="0.25">
      <c r="E988" s="51"/>
    </row>
    <row r="989" spans="5:5" ht="15.75" customHeight="1" x14ac:dyDescent="0.25">
      <c r="E989" s="51"/>
    </row>
    <row r="990" spans="5:5" ht="15.75" customHeight="1" x14ac:dyDescent="0.25">
      <c r="E990" s="51"/>
    </row>
    <row r="991" spans="5:5" ht="15.75" customHeight="1" x14ac:dyDescent="0.25">
      <c r="E991" s="51"/>
    </row>
    <row r="992" spans="5:5" ht="15.75" customHeight="1" x14ac:dyDescent="0.25">
      <c r="E992" s="51"/>
    </row>
    <row r="993" spans="5:5" ht="15.75" customHeight="1" x14ac:dyDescent="0.25">
      <c r="E993" s="51"/>
    </row>
    <row r="994" spans="5:5" ht="15.75" customHeight="1" x14ac:dyDescent="0.25">
      <c r="E994" s="51"/>
    </row>
    <row r="995" spans="5:5" ht="15.75" customHeight="1" x14ac:dyDescent="0.25">
      <c r="E995" s="51"/>
    </row>
    <row r="996" spans="5:5" ht="15.75" customHeight="1" x14ac:dyDescent="0.25">
      <c r="E996" s="51"/>
    </row>
    <row r="997" spans="5:5" ht="15.75" customHeight="1" x14ac:dyDescent="0.25">
      <c r="E997" s="51"/>
    </row>
    <row r="998" spans="5:5" ht="15.75" customHeight="1" x14ac:dyDescent="0.25">
      <c r="E998" s="51"/>
    </row>
    <row r="999" spans="5:5" ht="15.75" customHeight="1" x14ac:dyDescent="0.25">
      <c r="E999" s="51"/>
    </row>
    <row r="1000" spans="5:5" ht="15.75" customHeight="1" x14ac:dyDescent="0.25">
      <c r="E1000" s="51"/>
    </row>
  </sheetData>
  <mergeCells count="4">
    <mergeCell ref="K65:L65"/>
    <mergeCell ref="N65:P65"/>
    <mergeCell ref="R65:S65"/>
    <mergeCell ref="K129:L129"/>
  </mergeCells>
  <conditionalFormatting sqref="K4:Y20 K21:Q21 K22:Y25 K26:Z47 K48:AI63 S21:Y21 U64:AG64 Z4:Z25 AA4:AI47">
    <cfRule type="expression" dxfId="8" priority="1">
      <formula>K4&lt;&gt;0</formula>
    </cfRule>
  </conditionalFormatting>
  <conditionalFormatting sqref="K59:K60">
    <cfRule type="expression" dxfId="7" priority="2">
      <formula>K59&lt;&gt;0</formula>
    </cfRule>
  </conditionalFormatting>
  <conditionalFormatting sqref="R21">
    <cfRule type="expression" dxfId="6" priority="3">
      <formula>R21&lt;&gt;0</formula>
    </cfRule>
  </conditionalFormatting>
  <conditionalFormatting sqref="AB67:AC90">
    <cfRule type="cellIs" dxfId="5" priority="4" operator="greaterThan">
      <formula>0.001</formula>
    </cfRule>
  </conditionalFormatting>
  <conditionalFormatting sqref="AC70">
    <cfRule type="cellIs" dxfId="4" priority="5" operator="greaterThan">
      <formula>"1E(-3)"</formula>
    </cfRule>
  </conditionalFormatting>
  <conditionalFormatting sqref="AB67:AC90">
    <cfRule type="cellIs" dxfId="3" priority="6" operator="lessThan">
      <formula>-0.001</formula>
    </cfRule>
  </conditionalFormatting>
  <conditionalFormatting sqref="R67:S126">
    <cfRule type="expression" dxfId="2" priority="7">
      <formula>ABS(R67)&gt;=10%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workbookViewId="0"/>
  </sheetViews>
  <sheetFormatPr baseColWidth="10" defaultColWidth="14.42578125" defaultRowHeight="15" customHeight="1" x14ac:dyDescent="0.25"/>
  <cols>
    <col min="1" max="1" width="30.28515625" customWidth="1"/>
    <col min="2" max="2" width="70.140625" customWidth="1"/>
    <col min="3" max="3" width="18.7109375" customWidth="1"/>
    <col min="4" max="4" width="17.7109375" customWidth="1"/>
    <col min="5" max="5" width="10.7109375" customWidth="1"/>
    <col min="6" max="6" width="63.85546875" customWidth="1"/>
    <col min="7" max="7" width="24.42578125" customWidth="1"/>
    <col min="8" max="8" width="25" customWidth="1"/>
    <col min="9" max="16" width="10.7109375" customWidth="1"/>
    <col min="17" max="17" width="66.28515625" customWidth="1"/>
    <col min="18" max="18" width="23.28515625" customWidth="1"/>
    <col min="19" max="26" width="10.7109375" customWidth="1"/>
  </cols>
  <sheetData>
    <row r="1" spans="2:18" x14ac:dyDescent="0.25">
      <c r="B1" s="252"/>
      <c r="C1" s="252"/>
      <c r="D1" s="252"/>
    </row>
    <row r="2" spans="2:18" ht="38.25" x14ac:dyDescent="0.35">
      <c r="B2" s="385" t="s">
        <v>184</v>
      </c>
      <c r="C2" s="386"/>
      <c r="D2" s="387"/>
      <c r="F2" s="385" t="s">
        <v>185</v>
      </c>
      <c r="G2" s="386"/>
      <c r="H2" s="387"/>
      <c r="J2" s="388" t="s">
        <v>186</v>
      </c>
      <c r="K2" s="305"/>
      <c r="L2" s="253"/>
      <c r="M2" s="254" t="s">
        <v>59</v>
      </c>
      <c r="N2" s="255" t="s">
        <v>187</v>
      </c>
    </row>
    <row r="3" spans="2:18" ht="23.25" x14ac:dyDescent="0.35">
      <c r="B3" s="256" t="s">
        <v>188</v>
      </c>
      <c r="C3" s="257" t="s">
        <v>51</v>
      </c>
      <c r="D3" s="257" t="s">
        <v>3</v>
      </c>
      <c r="F3" s="256" t="s">
        <v>188</v>
      </c>
      <c r="G3" s="257" t="s">
        <v>51</v>
      </c>
      <c r="H3" s="257" t="s">
        <v>3</v>
      </c>
      <c r="J3" s="258" t="s">
        <v>72</v>
      </c>
      <c r="K3" s="258" t="s">
        <v>62</v>
      </c>
      <c r="L3" s="259"/>
      <c r="M3" s="260"/>
      <c r="N3" s="260"/>
      <c r="Q3" s="256" t="s">
        <v>188</v>
      </c>
      <c r="R3" s="257" t="s">
        <v>183</v>
      </c>
    </row>
    <row r="4" spans="2:18" ht="23.25" x14ac:dyDescent="0.35">
      <c r="B4" s="256" t="s">
        <v>189</v>
      </c>
      <c r="C4" s="261">
        <f>Utilidad!A1</f>
        <v>808136.74450834701</v>
      </c>
      <c r="D4" s="262">
        <f>IF(Utilidad!C1&gt;1,Utilidad!C1/100,Utilidad!C1)</f>
        <v>0.62134199999999995</v>
      </c>
      <c r="F4" s="256" t="s">
        <v>189</v>
      </c>
      <c r="G4" s="261">
        <f>Utilidad!B1</f>
        <v>808136.74450999999</v>
      </c>
      <c r="H4" s="262">
        <f>IF(Utilidad!D1&gt;1,Utilidad!D1/100,Utilidad!D1)</f>
        <v>0.61554367526999998</v>
      </c>
      <c r="J4" s="263">
        <f t="shared" ref="J4:J63" si="0">+IF(C4&lt;&gt;0,(G4-C4)/C4,ABS(G4-C4))</f>
        <v>2.0454225919727056E-12</v>
      </c>
      <c r="K4" s="263">
        <f t="shared" ref="K4:K63" si="1">+IF(D4&lt;&gt;0,(H4-D4)/D4,0)</f>
        <v>-9.3319375319871681E-3</v>
      </c>
      <c r="L4" s="264"/>
      <c r="M4" s="265">
        <f t="shared" ref="M4:M63" si="2">+IF(J4&lt;&gt;"",ABS(J4),0)</f>
        <v>2.0454225919727056E-12</v>
      </c>
      <c r="N4" s="265">
        <f t="shared" ref="N4:N63" si="3">+IF(J4&lt;&gt;"",ABS(K4),0)</f>
        <v>9.3319375319871681E-3</v>
      </c>
      <c r="Q4" s="256" t="s">
        <v>189</v>
      </c>
      <c r="R4" s="262">
        <f>Utilidad!E1</f>
        <v>0.01</v>
      </c>
    </row>
    <row r="5" spans="2:18" ht="23.25" x14ac:dyDescent="0.35">
      <c r="B5" s="256" t="s">
        <v>190</v>
      </c>
      <c r="C5" s="261">
        <f>Utilidad!A2</f>
        <v>206448.4653968662</v>
      </c>
      <c r="D5" s="262">
        <f>IF(Utilidad!C2&gt;1,Utilidad!C2/100,Utilidad!C2)</f>
        <v>0.63114400000000004</v>
      </c>
      <c r="F5" s="256" t="s">
        <v>190</v>
      </c>
      <c r="G5" s="261">
        <f>Utilidad!B2</f>
        <v>206448.46539999999</v>
      </c>
      <c r="H5" s="262">
        <f>IF(Utilidad!D2&gt;1,Utilidad!D2/100,Utilidad!D2)</f>
        <v>0.64376688000000004</v>
      </c>
      <c r="J5" s="263">
        <f t="shared" si="0"/>
        <v>1.5179497906342043E-11</v>
      </c>
      <c r="K5" s="263">
        <f t="shared" si="1"/>
        <v>2.0000000000000004E-2</v>
      </c>
      <c r="L5" s="264"/>
      <c r="M5" s="265">
        <f t="shared" si="2"/>
        <v>1.5179497906342043E-11</v>
      </c>
      <c r="N5" s="265">
        <f t="shared" si="3"/>
        <v>2.0000000000000004E-2</v>
      </c>
      <c r="Q5" s="256" t="s">
        <v>190</v>
      </c>
      <c r="R5" s="262">
        <f>Utilidad!E2</f>
        <v>0.01</v>
      </c>
    </row>
    <row r="6" spans="2:18" ht="23.25" x14ac:dyDescent="0.35">
      <c r="B6" s="256" t="s">
        <v>191</v>
      </c>
      <c r="C6" s="261">
        <f>Utilidad!A3</f>
        <v>601688.27911148081</v>
      </c>
      <c r="D6" s="262">
        <f>IF(Utilidad!C3&gt;1,Utilidad!C3/100,Utilidad!C3)</f>
        <v>0.61798500000000001</v>
      </c>
      <c r="F6" s="256" t="s">
        <v>191</v>
      </c>
      <c r="G6" s="261">
        <f>Utilidad!B3</f>
        <v>601688.27911</v>
      </c>
      <c r="H6" s="262">
        <f>IF(Utilidad!D3&gt;1,Utilidad!D3/100,Utilidad!D3)</f>
        <v>0.60585986139000003</v>
      </c>
      <c r="J6" s="263">
        <f t="shared" si="0"/>
        <v>-2.4610798399219733E-12</v>
      </c>
      <c r="K6" s="263">
        <f t="shared" si="1"/>
        <v>-1.9620441612660459E-2</v>
      </c>
      <c r="L6" s="1"/>
      <c r="M6" s="265">
        <f t="shared" si="2"/>
        <v>2.4610798399219733E-12</v>
      </c>
      <c r="N6" s="265">
        <f t="shared" si="3"/>
        <v>1.9620441612660459E-2</v>
      </c>
      <c r="Q6" s="256" t="s">
        <v>191</v>
      </c>
      <c r="R6" s="262">
        <f>Utilidad!E3</f>
        <v>0.01</v>
      </c>
    </row>
    <row r="7" spans="2:18" ht="23.25" x14ac:dyDescent="0.35">
      <c r="B7" s="256" t="s">
        <v>192</v>
      </c>
      <c r="C7" s="261">
        <f>Utilidad!A4</f>
        <v>-34226.296547260303</v>
      </c>
      <c r="D7" s="262">
        <f>IF(Utilidad!C4&gt;1,Utilidad!C4/100,Utilidad!C4)</f>
        <v>0.62024500000000005</v>
      </c>
      <c r="F7" s="256" t="s">
        <v>192</v>
      </c>
      <c r="G7" s="261">
        <f>Utilidad!B4</f>
        <v>-30921.023289000001</v>
      </c>
      <c r="H7" s="262">
        <f>IF(Utilidad!D4&gt;1,Utilidad!D4/100,Utilidad!D4)</f>
        <v>0.62086524500000007</v>
      </c>
      <c r="J7" s="263">
        <f t="shared" si="0"/>
        <v>-9.6571162868770211E-2</v>
      </c>
      <c r="K7" s="263">
        <f t="shared" si="1"/>
        <v>1.000000000000031E-3</v>
      </c>
      <c r="L7" s="1"/>
      <c r="M7" s="265">
        <f t="shared" si="2"/>
        <v>9.6571162868770211E-2</v>
      </c>
      <c r="N7" s="265">
        <f t="shared" si="3"/>
        <v>1.000000000000031E-3</v>
      </c>
      <c r="Q7" s="256" t="s">
        <v>192</v>
      </c>
      <c r="R7" s="262">
        <f>Utilidad!E4</f>
        <v>0.01</v>
      </c>
    </row>
    <row r="8" spans="2:18" ht="23.25" x14ac:dyDescent="0.35">
      <c r="B8" s="256" t="s">
        <v>193</v>
      </c>
      <c r="C8" s="261">
        <f>Utilidad!A5</f>
        <v>632609.30239999993</v>
      </c>
      <c r="D8" s="262">
        <f>IF(Utilidad!C5&gt;1,Utilidad!C5/100,Utilidad!C5)</f>
        <v>0.62024500000000005</v>
      </c>
      <c r="F8" s="256" t="s">
        <v>193</v>
      </c>
      <c r="G8" s="261">
        <f>Utilidad!B5</f>
        <v>632609.30240000004</v>
      </c>
      <c r="H8" s="262">
        <f>IF(Utilidad!D5&gt;1,Utilidad!D5/100,Utilidad!D5)</f>
        <v>0.60659330274000001</v>
      </c>
      <c r="J8" s="263">
        <f t="shared" si="0"/>
        <v>1.8402404356887755E-16</v>
      </c>
      <c r="K8" s="263">
        <f t="shared" si="1"/>
        <v>-2.2010168981612167E-2</v>
      </c>
      <c r="L8" s="1"/>
      <c r="M8" s="265">
        <f t="shared" si="2"/>
        <v>1.8402404356887755E-16</v>
      </c>
      <c r="N8" s="265">
        <f t="shared" si="3"/>
        <v>2.2010168981612167E-2</v>
      </c>
      <c r="Q8" s="256" t="s">
        <v>193</v>
      </c>
      <c r="R8" s="262">
        <f>Utilidad!E5</f>
        <v>0.01</v>
      </c>
    </row>
    <row r="9" spans="2:18" ht="23.25" x14ac:dyDescent="0.35">
      <c r="B9" s="256" t="s">
        <v>10</v>
      </c>
      <c r="C9" s="261">
        <f>Utilidad!A6</f>
        <v>-2057.1762797360002</v>
      </c>
      <c r="D9" s="262">
        <f>IF(Utilidad!C6&gt;1,Utilidad!C6/100,Utilidad!C6)</f>
        <v>0.62024500000000005</v>
      </c>
      <c r="F9" s="256" t="s">
        <v>10</v>
      </c>
      <c r="G9" s="261">
        <f>Utilidad!B6</f>
        <v>-3702.9173034999999</v>
      </c>
      <c r="H9" s="262">
        <f>IF(Utilidad!D6&gt;1,Utilidad!D6/100,Utilidad!D6)</f>
        <v>0.60529438127000001</v>
      </c>
      <c r="J9" s="263">
        <f t="shared" si="0"/>
        <v>0.79999999998794447</v>
      </c>
      <c r="K9" s="263">
        <f t="shared" si="1"/>
        <v>-2.4104376061072689E-2</v>
      </c>
      <c r="L9" s="1"/>
      <c r="M9" s="265">
        <f t="shared" si="2"/>
        <v>0.79999999998794447</v>
      </c>
      <c r="N9" s="265">
        <f t="shared" si="3"/>
        <v>2.4104376061072689E-2</v>
      </c>
      <c r="Q9" s="256" t="s">
        <v>10</v>
      </c>
      <c r="R9" s="262">
        <f>Utilidad!E6</f>
        <v>0.01</v>
      </c>
    </row>
    <row r="10" spans="2:18" ht="23.25" x14ac:dyDescent="0.35">
      <c r="B10" s="256" t="s">
        <v>194</v>
      </c>
      <c r="C10" s="261">
        <f>Utilidad!A7</f>
        <v>634666.47867973591</v>
      </c>
      <c r="D10" s="262">
        <f>IF(Utilidad!C7&gt;1,Utilidad!C7/100,Utilidad!C7)</f>
        <v>0.61823399999999995</v>
      </c>
      <c r="F10" s="256" t="s">
        <v>194</v>
      </c>
      <c r="G10" s="261">
        <f>Utilidad!B7</f>
        <v>636312.21970000002</v>
      </c>
      <c r="H10" s="262">
        <f>IF(Utilidad!D7&gt;1,Utilidad!D7/100,Utilidad!D7)</f>
        <v>0.60658574386999997</v>
      </c>
      <c r="J10" s="263">
        <f t="shared" si="0"/>
        <v>2.593080106716294E-3</v>
      </c>
      <c r="K10" s="263">
        <f t="shared" si="1"/>
        <v>-1.8841176852130392E-2</v>
      </c>
      <c r="L10" s="1"/>
      <c r="M10" s="265">
        <f t="shared" si="2"/>
        <v>2.593080106716294E-3</v>
      </c>
      <c r="N10" s="265">
        <f t="shared" si="3"/>
        <v>1.8841176852130392E-2</v>
      </c>
      <c r="Q10" s="256" t="s">
        <v>194</v>
      </c>
      <c r="R10" s="262">
        <f>Utilidad!E7</f>
        <v>0.01</v>
      </c>
    </row>
    <row r="11" spans="2:18" ht="23.25" x14ac:dyDescent="0.35">
      <c r="B11" s="256" t="s">
        <v>195</v>
      </c>
      <c r="C11" s="261">
        <f>Utilidad!A8</f>
        <v>0</v>
      </c>
      <c r="D11" s="262">
        <f>IF(Utilidad!C8&gt;1,Utilidad!C8/100,Utilidad!C8)</f>
        <v>0.62024500000000005</v>
      </c>
      <c r="F11" s="256" t="s">
        <v>195</v>
      </c>
      <c r="G11" s="261">
        <f>Utilidad!B8</f>
        <v>0</v>
      </c>
      <c r="H11" s="262">
        <f>IF(Utilidad!D8&gt;1,Utilidad!D8/100,Utilidad!D8)</f>
        <v>0.62024485386999995</v>
      </c>
      <c r="J11" s="263">
        <f t="shared" si="0"/>
        <v>0</v>
      </c>
      <c r="K11" s="263">
        <f t="shared" si="1"/>
        <v>-2.3560044837192034E-7</v>
      </c>
      <c r="L11" s="1"/>
      <c r="M11" s="265">
        <f t="shared" si="2"/>
        <v>0</v>
      </c>
      <c r="N11" s="265">
        <f t="shared" si="3"/>
        <v>2.3560044837192034E-7</v>
      </c>
      <c r="Q11" s="256" t="s">
        <v>195</v>
      </c>
      <c r="R11" s="262">
        <f>Utilidad!E8</f>
        <v>0.01</v>
      </c>
    </row>
    <row r="12" spans="2:18" ht="23.25" x14ac:dyDescent="0.35">
      <c r="B12" s="256" t="s">
        <v>103</v>
      </c>
      <c r="C12" s="261">
        <f>Utilidad!A9</f>
        <v>89824.393987553805</v>
      </c>
      <c r="D12" s="262">
        <f>IF(Utilidad!C9&gt;1,Utilidad!C9/100,Utilidad!C9)</f>
        <v>8.2310999999999995E-2</v>
      </c>
      <c r="F12" s="256" t="s">
        <v>103</v>
      </c>
      <c r="G12" s="261">
        <f>Utilidad!B9</f>
        <v>89824.393987999996</v>
      </c>
      <c r="H12" s="262">
        <f>IF(Utilidad!D9&gt;1,Utilidad!D9/100,Utilidad!D9)</f>
        <v>8.2393310999999997E-2</v>
      </c>
      <c r="J12" s="263">
        <f t="shared" si="0"/>
        <v>4.9673680491961817E-12</v>
      </c>
      <c r="K12" s="263">
        <f t="shared" si="1"/>
        <v>1.0000000000000193E-3</v>
      </c>
      <c r="L12" s="1"/>
      <c r="M12" s="265">
        <f t="shared" si="2"/>
        <v>4.9673680491961817E-12</v>
      </c>
      <c r="N12" s="265">
        <f t="shared" si="3"/>
        <v>1.0000000000000193E-3</v>
      </c>
      <c r="Q12" s="256" t="s">
        <v>103</v>
      </c>
      <c r="R12" s="262">
        <f>Utilidad!E9</f>
        <v>0.01</v>
      </c>
    </row>
    <row r="13" spans="2:18" ht="23.25" x14ac:dyDescent="0.35">
      <c r="B13" s="256" t="s">
        <v>196</v>
      </c>
      <c r="C13" s="261">
        <f>Utilidad!A10</f>
        <v>543012.08469218202</v>
      </c>
      <c r="D13" s="262">
        <f>IF(Utilidad!C10&gt;1,Utilidad!C10/100,Utilidad!C10)</f>
        <v>0.68629999999999991</v>
      </c>
      <c r="F13" s="256" t="s">
        <v>196</v>
      </c>
      <c r="G13" s="261">
        <f>Utilidad!B10</f>
        <v>546487.82571999996</v>
      </c>
      <c r="H13" s="262">
        <f>IF(Utilidad!D10&gt;1,Utilidad!D10/100,Utilidad!D10)</f>
        <v>0.69274551798000006</v>
      </c>
      <c r="J13" s="263">
        <f t="shared" si="0"/>
        <v>6.4008539143069771E-3</v>
      </c>
      <c r="K13" s="263">
        <f t="shared" si="1"/>
        <v>9.3916916508817554E-3</v>
      </c>
      <c r="L13" s="1"/>
      <c r="M13" s="265">
        <f t="shared" si="2"/>
        <v>6.4008539143069771E-3</v>
      </c>
      <c r="N13" s="265">
        <f t="shared" si="3"/>
        <v>9.3916916508817554E-3</v>
      </c>
      <c r="Q13" s="256" t="s">
        <v>196</v>
      </c>
      <c r="R13" s="262">
        <f>Utilidad!E10</f>
        <v>0.01</v>
      </c>
    </row>
    <row r="14" spans="2:18" ht="23.25" x14ac:dyDescent="0.35">
      <c r="B14" s="256" t="s">
        <v>197</v>
      </c>
      <c r="C14" s="261">
        <f>Utilidad!A11</f>
        <v>-2850</v>
      </c>
      <c r="D14" s="262">
        <f>IF(Utilidad!C11&gt;1,Utilidad!C11/100,Utilidad!C11)</f>
        <v>0.68574100000000004</v>
      </c>
      <c r="F14" s="256" t="s">
        <v>197</v>
      </c>
      <c r="G14" s="261">
        <f>Utilidad!B11</f>
        <v>-3420</v>
      </c>
      <c r="H14" s="262">
        <f>IF(Utilidad!D11&gt;1,Utilidad!D11/100,Utilidad!D11)</f>
        <v>0.6864267409999999</v>
      </c>
      <c r="J14" s="263">
        <f t="shared" si="0"/>
        <v>0.2</v>
      </c>
      <c r="K14" s="263">
        <f t="shared" si="1"/>
        <v>9.9999999999978253E-4</v>
      </c>
      <c r="L14" s="1"/>
      <c r="M14" s="265">
        <f t="shared" si="2"/>
        <v>0.2</v>
      </c>
      <c r="N14" s="265">
        <f t="shared" si="3"/>
        <v>9.9999999999978253E-4</v>
      </c>
      <c r="Q14" s="256" t="s">
        <v>197</v>
      </c>
      <c r="R14" s="262">
        <f>Utilidad!E11</f>
        <v>0.01</v>
      </c>
    </row>
    <row r="15" spans="2:18" ht="23.25" x14ac:dyDescent="0.35">
      <c r="B15" s="256" t="s">
        <v>104</v>
      </c>
      <c r="C15" s="261">
        <f>Utilidad!A12</f>
        <v>0</v>
      </c>
      <c r="D15" s="262">
        <f>IF(Utilidad!C12&gt;1,Utilidad!C12/100,Utilidad!C12)</f>
        <v>0</v>
      </c>
      <c r="F15" s="256" t="s">
        <v>104</v>
      </c>
      <c r="G15" s="261">
        <f>Utilidad!B12</f>
        <v>0</v>
      </c>
      <c r="H15" s="262">
        <f>IF(Utilidad!D12&gt;1,Utilidad!D12/100,Utilidad!D12)</f>
        <v>0</v>
      </c>
      <c r="J15" s="263">
        <f t="shared" si="0"/>
        <v>0</v>
      </c>
      <c r="K15" s="263">
        <f t="shared" si="1"/>
        <v>0</v>
      </c>
      <c r="L15" s="1"/>
      <c r="M15" s="265">
        <f t="shared" si="2"/>
        <v>0</v>
      </c>
      <c r="N15" s="265">
        <f t="shared" si="3"/>
        <v>0</v>
      </c>
      <c r="Q15" s="256" t="s">
        <v>104</v>
      </c>
      <c r="R15" s="262">
        <f>Utilidad!E12</f>
        <v>0.01</v>
      </c>
    </row>
    <row r="16" spans="2:18" ht="23.25" x14ac:dyDescent="0.35">
      <c r="B16" s="256" t="s">
        <v>198</v>
      </c>
      <c r="C16" s="261">
        <f>Utilidad!A13</f>
        <v>545862.08469218202</v>
      </c>
      <c r="D16" s="262">
        <f>IF(Utilidad!C13&gt;1,Utilidad!C13/100,Utilidad!C13)</f>
        <v>0.68799999999999994</v>
      </c>
      <c r="F16" s="256" t="s">
        <v>198</v>
      </c>
      <c r="G16" s="261">
        <f>Utilidad!B13</f>
        <v>549907.82571999996</v>
      </c>
      <c r="H16" s="262">
        <f>IF(Utilidad!D13&gt;1,Utilidad!D13/100,Utilidad!D13)</f>
        <v>0.69270622008999994</v>
      </c>
      <c r="J16" s="263">
        <f t="shared" si="0"/>
        <v>7.411654227824571E-3</v>
      </c>
      <c r="K16" s="263">
        <f t="shared" si="1"/>
        <v>6.8404361773255684E-3</v>
      </c>
      <c r="L16" s="1"/>
      <c r="M16" s="265">
        <f t="shared" si="2"/>
        <v>7.411654227824571E-3</v>
      </c>
      <c r="N16" s="265">
        <f t="shared" si="3"/>
        <v>6.8404361773255684E-3</v>
      </c>
      <c r="Q16" s="256" t="s">
        <v>198</v>
      </c>
      <c r="R16" s="262">
        <f>Utilidad!E13</f>
        <v>0.01</v>
      </c>
    </row>
    <row r="17" spans="2:18" ht="23.25" x14ac:dyDescent="0.35">
      <c r="B17" s="256" t="s">
        <v>199</v>
      </c>
      <c r="C17" s="261">
        <f>Utilidad!A14</f>
        <v>227579.15858686401</v>
      </c>
      <c r="D17" s="262">
        <f>IF(Utilidad!C14&gt;1,Utilidad!C14/100,Utilidad!C14)</f>
        <v>0.68799999999999994</v>
      </c>
      <c r="F17" s="256" t="s">
        <v>199</v>
      </c>
      <c r="G17" s="261">
        <f>Utilidad!B14</f>
        <v>227579.15859000001</v>
      </c>
      <c r="H17" s="262">
        <f>IF(Utilidad!D14&gt;1,Utilidad!D14/100,Utilidad!D14)</f>
        <v>0.68464692613</v>
      </c>
      <c r="J17" s="263">
        <f t="shared" si="0"/>
        <v>1.3779802855616064E-11</v>
      </c>
      <c r="K17" s="263">
        <f t="shared" si="1"/>
        <v>-4.8736538808138745E-3</v>
      </c>
      <c r="L17" s="1"/>
      <c r="M17" s="265">
        <f t="shared" si="2"/>
        <v>1.3779802855616064E-11</v>
      </c>
      <c r="N17" s="265">
        <f t="shared" si="3"/>
        <v>4.8736538808138745E-3</v>
      </c>
      <c r="Q17" s="256" t="s">
        <v>199</v>
      </c>
      <c r="R17" s="262">
        <f>Utilidad!E14</f>
        <v>0.01</v>
      </c>
    </row>
    <row r="18" spans="2:18" ht="23.25" x14ac:dyDescent="0.35">
      <c r="B18" s="256" t="s">
        <v>200</v>
      </c>
      <c r="C18" s="261">
        <f>Utilidad!A15</f>
        <v>303877.846963702</v>
      </c>
      <c r="D18" s="262">
        <f>IF(Utilidad!C15&gt;1,Utilidad!C15/100,Utilidad!C15)</f>
        <v>0.68799999999999994</v>
      </c>
      <c r="F18" s="256" t="s">
        <v>200</v>
      </c>
      <c r="G18" s="261">
        <f>Utilidad!B15</f>
        <v>322328.66713000002</v>
      </c>
      <c r="H18" s="262">
        <f>IF(Utilidad!D15&gt;1,Utilidad!D15/100,Utilidad!D15)</f>
        <v>0.69839645966000008</v>
      </c>
      <c r="J18" s="263">
        <f t="shared" si="0"/>
        <v>6.0717885001014736E-2</v>
      </c>
      <c r="K18" s="263">
        <f t="shared" si="1"/>
        <v>1.5111133226744383E-2</v>
      </c>
      <c r="L18" s="1"/>
      <c r="M18" s="265">
        <f t="shared" si="2"/>
        <v>6.0717885001014736E-2</v>
      </c>
      <c r="N18" s="265">
        <f t="shared" si="3"/>
        <v>1.5111133226744383E-2</v>
      </c>
      <c r="Q18" s="256" t="s">
        <v>200</v>
      </c>
      <c r="R18" s="262">
        <f>Utilidad!E15</f>
        <v>0.01</v>
      </c>
    </row>
    <row r="19" spans="2:18" ht="23.25" x14ac:dyDescent="0.35">
      <c r="B19" s="256" t="s">
        <v>201</v>
      </c>
      <c r="C19" s="261">
        <f>Utilidad!A16</f>
        <v>0</v>
      </c>
      <c r="D19" s="262">
        <f>IF(Utilidad!C16&gt;1,Utilidad!C16/100,Utilidad!C16)</f>
        <v>0.68799999999999994</v>
      </c>
      <c r="F19" s="256" t="s">
        <v>201</v>
      </c>
      <c r="G19" s="261">
        <f>Utilidad!B16</f>
        <v>0</v>
      </c>
      <c r="H19" s="262">
        <f>IF(Utilidad!D16&gt;1,Utilidad!D16/100,Utilidad!D16)</f>
        <v>0.68799980055999999</v>
      </c>
      <c r="J19" s="263">
        <f t="shared" si="0"/>
        <v>0</v>
      </c>
      <c r="K19" s="263">
        <f t="shared" si="1"/>
        <v>-2.8988372087124495E-7</v>
      </c>
      <c r="L19" s="1"/>
      <c r="M19" s="265">
        <f t="shared" si="2"/>
        <v>0</v>
      </c>
      <c r="N19" s="265">
        <f t="shared" si="3"/>
        <v>2.8988372087124495E-7</v>
      </c>
      <c r="Q19" s="256" t="s">
        <v>201</v>
      </c>
      <c r="R19" s="262">
        <f>Utilidad!E16</f>
        <v>0.01</v>
      </c>
    </row>
    <row r="20" spans="2:18" ht="23.25" x14ac:dyDescent="0.35">
      <c r="B20" s="256" t="s">
        <v>106</v>
      </c>
      <c r="C20" s="261">
        <f>Utilidad!A17</f>
        <v>4483.2769841618001</v>
      </c>
      <c r="D20" s="262">
        <f>IF(Utilidad!C17&gt;1,Utilidad!C17/100,Utilidad!C17)</f>
        <v>0.68799999999999994</v>
      </c>
      <c r="F20" s="256" t="s">
        <v>106</v>
      </c>
      <c r="G20" s="261">
        <f>Utilidad!B17</f>
        <v>4483.2769841999998</v>
      </c>
      <c r="H20" s="262">
        <f>IF(Utilidad!D17&gt;1,Utilidad!D17/100,Utilidad!D17)</f>
        <v>0.67356722755999998</v>
      </c>
      <c r="J20" s="263">
        <f t="shared" si="0"/>
        <v>8.5204833660989215E-12</v>
      </c>
      <c r="K20" s="263">
        <f t="shared" si="1"/>
        <v>-2.09778669186046E-2</v>
      </c>
      <c r="L20" s="1"/>
      <c r="M20" s="265">
        <f t="shared" si="2"/>
        <v>8.5204833660989215E-12</v>
      </c>
      <c r="N20" s="265">
        <f t="shared" si="3"/>
        <v>2.09778669186046E-2</v>
      </c>
      <c r="Q20" s="256" t="s">
        <v>106</v>
      </c>
      <c r="R20" s="262">
        <f>Utilidad!E17</f>
        <v>0.01</v>
      </c>
    </row>
    <row r="21" spans="2:18" ht="15.75" customHeight="1" x14ac:dyDescent="0.35">
      <c r="B21" s="256" t="s">
        <v>12</v>
      </c>
      <c r="C21" s="261">
        <f>Utilidad!A18</f>
        <v>0</v>
      </c>
      <c r="D21" s="262">
        <f>IF(Utilidad!C18&gt;1,Utilidad!C18/100,Utilidad!C18)</f>
        <v>0</v>
      </c>
      <c r="F21" s="256" t="s">
        <v>12</v>
      </c>
      <c r="G21" s="261">
        <f>Utilidad!B18</f>
        <v>0</v>
      </c>
      <c r="H21" s="262">
        <f>IF(Utilidad!D18&gt;1,Utilidad!D18/100,Utilidad!D18)</f>
        <v>0</v>
      </c>
      <c r="J21" s="263">
        <f t="shared" si="0"/>
        <v>0</v>
      </c>
      <c r="K21" s="263">
        <f t="shared" si="1"/>
        <v>0</v>
      </c>
      <c r="L21" s="1"/>
      <c r="M21" s="265">
        <f t="shared" si="2"/>
        <v>0</v>
      </c>
      <c r="N21" s="265">
        <f t="shared" si="3"/>
        <v>0</v>
      </c>
      <c r="Q21" s="256" t="s">
        <v>12</v>
      </c>
      <c r="R21" s="262">
        <f>Utilidad!E18</f>
        <v>0.01</v>
      </c>
    </row>
    <row r="22" spans="2:18" ht="15.75" customHeight="1" x14ac:dyDescent="0.35">
      <c r="B22" s="256" t="s">
        <v>107</v>
      </c>
      <c r="C22" s="261">
        <f>Utilidad!A19</f>
        <v>0</v>
      </c>
      <c r="D22" s="262">
        <f>IF(Utilidad!C19&gt;1,Utilidad!C19/100,Utilidad!C19)</f>
        <v>0</v>
      </c>
      <c r="F22" s="256" t="s">
        <v>107</v>
      </c>
      <c r="G22" s="261">
        <f>Utilidad!B19</f>
        <v>0</v>
      </c>
      <c r="H22" s="262">
        <f>IF(Utilidad!D19&gt;1,Utilidad!D19/100,Utilidad!D19)</f>
        <v>0</v>
      </c>
      <c r="J22" s="263">
        <f t="shared" si="0"/>
        <v>0</v>
      </c>
      <c r="K22" s="263">
        <f t="shared" si="1"/>
        <v>0</v>
      </c>
      <c r="L22" s="1"/>
      <c r="M22" s="265">
        <f t="shared" si="2"/>
        <v>0</v>
      </c>
      <c r="N22" s="265">
        <f t="shared" si="3"/>
        <v>0</v>
      </c>
      <c r="Q22" s="256" t="s">
        <v>107</v>
      </c>
      <c r="R22" s="262">
        <f>Utilidad!E19</f>
        <v>0.01</v>
      </c>
    </row>
    <row r="23" spans="2:18" ht="15.75" customHeight="1" x14ac:dyDescent="0.35">
      <c r="B23" s="256" t="s">
        <v>202</v>
      </c>
      <c r="C23" s="261">
        <f>Utilidad!A20</f>
        <v>4483.2769841618001</v>
      </c>
      <c r="D23" s="262">
        <f>IF(Utilidad!C20&gt;1,Utilidad!C20/100,Utilidad!C20)</f>
        <v>0.68574100000000004</v>
      </c>
      <c r="F23" s="256" t="s">
        <v>202</v>
      </c>
      <c r="G23" s="261">
        <f>Utilidad!B20</f>
        <v>4483.2769841999998</v>
      </c>
      <c r="H23" s="262">
        <f>IF(Utilidad!D20&gt;1,Utilidad!D20/100,Utilidad!D20)</f>
        <v>0.67356722755999998</v>
      </c>
      <c r="J23" s="263">
        <f t="shared" si="0"/>
        <v>8.5204833660989215E-12</v>
      </c>
      <c r="K23" s="263">
        <f t="shared" si="1"/>
        <v>-1.7752726525029221E-2</v>
      </c>
      <c r="L23" s="1"/>
      <c r="M23" s="265">
        <f t="shared" si="2"/>
        <v>8.5204833660989215E-12</v>
      </c>
      <c r="N23" s="265">
        <f t="shared" si="3"/>
        <v>1.7752726525029221E-2</v>
      </c>
      <c r="Q23" s="256" t="s">
        <v>202</v>
      </c>
      <c r="R23" s="262">
        <f>Utilidad!E20</f>
        <v>0.01</v>
      </c>
    </row>
    <row r="24" spans="2:18" ht="15.75" customHeight="1" x14ac:dyDescent="0.35">
      <c r="B24" s="256" t="s">
        <v>203</v>
      </c>
      <c r="C24" s="261">
        <f>Utilidad!A21</f>
        <v>223095.88160270231</v>
      </c>
      <c r="D24" s="262">
        <f>IF(Utilidad!C21&gt;1,Utilidad!C21/100,Utilidad!C21)</f>
        <v>0.68574100000000004</v>
      </c>
      <c r="F24" s="256" t="s">
        <v>203</v>
      </c>
      <c r="G24" s="261">
        <f>Utilidad!B21</f>
        <v>223095.88159999999</v>
      </c>
      <c r="H24" s="262">
        <f>IF(Utilidad!D21&gt;1,Utilidad!D21/100,Utilidad!D21)</f>
        <v>0.68486958087999994</v>
      </c>
      <c r="J24" s="263">
        <f t="shared" si="0"/>
        <v>-1.2112817781865537E-11</v>
      </c>
      <c r="K24" s="263">
        <f t="shared" si="1"/>
        <v>-1.2707700429172317E-3</v>
      </c>
      <c r="L24" s="1"/>
      <c r="M24" s="265">
        <f t="shared" si="2"/>
        <v>1.2112817781865537E-11</v>
      </c>
      <c r="N24" s="265">
        <f t="shared" si="3"/>
        <v>1.2707700429172317E-3</v>
      </c>
      <c r="Q24" s="256" t="s">
        <v>203</v>
      </c>
      <c r="R24" s="262">
        <f>Utilidad!E21</f>
        <v>0.01</v>
      </c>
    </row>
    <row r="25" spans="2:18" ht="15.75" customHeight="1" x14ac:dyDescent="0.35">
      <c r="B25" s="256" t="s">
        <v>13</v>
      </c>
      <c r="C25" s="261">
        <f>Utilidad!A22</f>
        <v>15636.667443087999</v>
      </c>
      <c r="D25" s="262">
        <f>IF(Utilidad!C22&gt;1,Utilidad!C22/100,Utilidad!C22)</f>
        <v>0.68574100000000004</v>
      </c>
      <c r="F25" s="256" t="s">
        <v>13</v>
      </c>
      <c r="G25" s="261">
        <f>Utilidad!B22</f>
        <v>14003.438187</v>
      </c>
      <c r="H25" s="262">
        <f>IF(Utilidad!D22&gt;1,Utilidad!D22/100,Utilidad!D22)</f>
        <v>0.68231229500000001</v>
      </c>
      <c r="J25" s="263">
        <f t="shared" si="0"/>
        <v>-0.10444867885259969</v>
      </c>
      <c r="K25" s="263">
        <f t="shared" si="1"/>
        <v>-5.0000000000000461E-3</v>
      </c>
      <c r="L25" s="1"/>
      <c r="M25" s="265">
        <f t="shared" si="2"/>
        <v>0.10444867885259969</v>
      </c>
      <c r="N25" s="265">
        <f t="shared" si="3"/>
        <v>5.0000000000000461E-3</v>
      </c>
      <c r="Q25" s="256" t="s">
        <v>13</v>
      </c>
      <c r="R25" s="262">
        <f>Utilidad!E22</f>
        <v>0.01</v>
      </c>
    </row>
    <row r="26" spans="2:18" ht="15.75" customHeight="1" x14ac:dyDescent="0.35">
      <c r="B26" s="256" t="s">
        <v>204</v>
      </c>
      <c r="C26" s="261">
        <f>Utilidad!A23</f>
        <v>213575.72039999999</v>
      </c>
      <c r="D26" s="262">
        <f>IF(Utilidad!C23&gt;1,Utilidad!C23/100,Utilidad!C23)</f>
        <v>0.68480000000000008</v>
      </c>
      <c r="F26" s="256" t="s">
        <v>204</v>
      </c>
      <c r="G26" s="261">
        <f>Utilidad!B23</f>
        <v>213575.72039999999</v>
      </c>
      <c r="H26" s="262">
        <f>IF(Utilidad!D23&gt;1,Utilidad!D23/100,Utilidad!D23)</f>
        <v>0.68480000000000008</v>
      </c>
      <c r="J26" s="263">
        <f t="shared" si="0"/>
        <v>0</v>
      </c>
      <c r="K26" s="263">
        <f t="shared" si="1"/>
        <v>0</v>
      </c>
      <c r="L26" s="1"/>
      <c r="M26" s="265">
        <f t="shared" si="2"/>
        <v>0</v>
      </c>
      <c r="N26" s="265">
        <f t="shared" si="3"/>
        <v>0</v>
      </c>
      <c r="Q26" s="256" t="s">
        <v>204</v>
      </c>
      <c r="R26" s="262">
        <f>Utilidad!E23</f>
        <v>0.01</v>
      </c>
    </row>
    <row r="27" spans="2:18" ht="15.75" customHeight="1" x14ac:dyDescent="0.35">
      <c r="B27" s="256" t="s">
        <v>112</v>
      </c>
      <c r="C27" s="261">
        <f>Utilidad!A24</f>
        <v>19695</v>
      </c>
      <c r="D27" s="262">
        <f>IF(Utilidad!C24&gt;1,Utilidad!C24/100,Utilidad!C24)</f>
        <v>0</v>
      </c>
      <c r="F27" s="256" t="s">
        <v>112</v>
      </c>
      <c r="G27" s="261">
        <f>Utilidad!B24</f>
        <v>19778.259667999999</v>
      </c>
      <c r="H27" s="262">
        <f>IF(Utilidad!D24&gt;1,Utilidad!D24/100,Utilidad!D24)</f>
        <v>0</v>
      </c>
      <c r="J27" s="263">
        <f t="shared" si="0"/>
        <v>4.2274520436658431E-3</v>
      </c>
      <c r="K27" s="263">
        <f t="shared" si="1"/>
        <v>0</v>
      </c>
      <c r="L27" s="1"/>
      <c r="M27" s="265">
        <f t="shared" si="2"/>
        <v>4.2274520436658431E-3</v>
      </c>
      <c r="N27" s="265">
        <f t="shared" si="3"/>
        <v>0</v>
      </c>
      <c r="Q27" s="256" t="s">
        <v>112</v>
      </c>
      <c r="R27" s="262">
        <f>Utilidad!E24</f>
        <v>0.01</v>
      </c>
    </row>
    <row r="28" spans="2:18" ht="15.75" customHeight="1" x14ac:dyDescent="0.35">
      <c r="B28" s="256" t="s">
        <v>205</v>
      </c>
      <c r="C28" s="261">
        <f>Utilidad!A25</f>
        <v>323572.846963702</v>
      </c>
      <c r="D28" s="262">
        <f>IF(Utilidad!C25&gt;1,Utilidad!C25/100,Utilidad!C25)</f>
        <v>0.66</v>
      </c>
      <c r="F28" s="256" t="s">
        <v>205</v>
      </c>
      <c r="G28" s="261">
        <f>Utilidad!B25</f>
        <v>342106.92680000002</v>
      </c>
      <c r="H28" s="262">
        <f>IF(Utilidad!D25&gt;1,Utilidad!D25/100,Utilidad!D25)</f>
        <v>0.65802000000000005</v>
      </c>
      <c r="J28" s="263">
        <f t="shared" si="0"/>
        <v>5.7279465845838241E-2</v>
      </c>
      <c r="K28" s="263">
        <f t="shared" si="1"/>
        <v>-2.9999999999999723E-3</v>
      </c>
      <c r="L28" s="1"/>
      <c r="M28" s="265">
        <f t="shared" si="2"/>
        <v>5.7279465845838241E-2</v>
      </c>
      <c r="N28" s="265">
        <f t="shared" si="3"/>
        <v>2.9999999999999723E-3</v>
      </c>
      <c r="Q28" s="256" t="s">
        <v>205</v>
      </c>
      <c r="R28" s="262">
        <f>Utilidad!E25</f>
        <v>0.01</v>
      </c>
    </row>
    <row r="29" spans="2:18" ht="15.75" customHeight="1" x14ac:dyDescent="0.35">
      <c r="B29" s="256" t="s">
        <v>206</v>
      </c>
      <c r="C29" s="261">
        <f>Utilidad!A26</f>
        <v>2000</v>
      </c>
      <c r="D29" s="262">
        <f>IF(Utilidad!C26&gt;1,Utilidad!C26/100,Utilidad!C26)</f>
        <v>0.65</v>
      </c>
      <c r="F29" s="256" t="s">
        <v>206</v>
      </c>
      <c r="G29" s="261">
        <f>Utilidad!B26</f>
        <v>2947.0469229</v>
      </c>
      <c r="H29" s="262">
        <f>IF(Utilidad!D26&gt;1,Utilidad!D26/100,Utilidad!D26)</f>
        <v>0.65064999999999995</v>
      </c>
      <c r="J29" s="263">
        <f t="shared" si="0"/>
        <v>0.47352346145000002</v>
      </c>
      <c r="K29" s="263">
        <f t="shared" si="1"/>
        <v>9.9999999999988987E-4</v>
      </c>
      <c r="L29" s="1"/>
      <c r="M29" s="265">
        <f t="shared" si="2"/>
        <v>0.47352346145000002</v>
      </c>
      <c r="N29" s="265">
        <f t="shared" si="3"/>
        <v>9.9999999999988987E-4</v>
      </c>
      <c r="Q29" s="256" t="s">
        <v>206</v>
      </c>
      <c r="R29" s="262">
        <f>Utilidad!E26</f>
        <v>0.01</v>
      </c>
    </row>
    <row r="30" spans="2:18" ht="15.75" customHeight="1" x14ac:dyDescent="0.35">
      <c r="B30" s="256" t="s">
        <v>15</v>
      </c>
      <c r="C30" s="261">
        <f>Utilidad!A27</f>
        <v>1000</v>
      </c>
      <c r="D30" s="262">
        <f>IF(Utilidad!C27&gt;1,Utilidad!C27/100,Utilidad!C27)</f>
        <v>0.65736600000000001</v>
      </c>
      <c r="F30" s="256" t="s">
        <v>15</v>
      </c>
      <c r="G30" s="261">
        <f>Utilidad!B27</f>
        <v>1775.0469229</v>
      </c>
      <c r="H30" s="262">
        <f>IF(Utilidad!D27&gt;1,Utilidad!D27/100,Utilidad!D27)</f>
        <v>0.67708698</v>
      </c>
      <c r="J30" s="263">
        <f t="shared" si="0"/>
        <v>0.77504692289999999</v>
      </c>
      <c r="K30" s="263">
        <f t="shared" si="1"/>
        <v>0.03</v>
      </c>
      <c r="L30" s="1"/>
      <c r="M30" s="265">
        <f t="shared" si="2"/>
        <v>0.77504692289999999</v>
      </c>
      <c r="N30" s="265">
        <f t="shared" si="3"/>
        <v>0.03</v>
      </c>
      <c r="Q30" s="256" t="s">
        <v>15</v>
      </c>
      <c r="R30" s="262">
        <f>Utilidad!E27</f>
        <v>0.01</v>
      </c>
    </row>
    <row r="31" spans="2:18" ht="15.75" customHeight="1" x14ac:dyDescent="0.35">
      <c r="B31" s="256" t="s">
        <v>207</v>
      </c>
      <c r="C31" s="261">
        <f>Utilidad!A28</f>
        <v>2912.1556226733001</v>
      </c>
      <c r="D31" s="262">
        <f>IF(Utilidad!C28&gt;1,Utilidad!C28/100,Utilidad!C28)</f>
        <v>0.65</v>
      </c>
      <c r="F31" s="256" t="s">
        <v>207</v>
      </c>
      <c r="G31" s="261">
        <f>Utilidad!B28</f>
        <v>1471.68</v>
      </c>
      <c r="H31" s="262">
        <f>IF(Utilidad!D28&gt;1,Utilidad!D28/100,Utilidad!D28)</f>
        <v>0.65064999999999995</v>
      </c>
      <c r="J31" s="263">
        <f t="shared" si="0"/>
        <v>-0.49464239186193371</v>
      </c>
      <c r="K31" s="263">
        <f t="shared" si="1"/>
        <v>9.9999999999988987E-4</v>
      </c>
      <c r="L31" s="1"/>
      <c r="M31" s="265">
        <f t="shared" si="2"/>
        <v>0.49464239186193371</v>
      </c>
      <c r="N31" s="265">
        <f t="shared" si="3"/>
        <v>9.9999999999988987E-4</v>
      </c>
      <c r="Q31" s="256" t="s">
        <v>207</v>
      </c>
      <c r="R31" s="262">
        <f>Utilidad!E28</f>
        <v>0.01</v>
      </c>
    </row>
    <row r="32" spans="2:18" ht="15.75" customHeight="1" x14ac:dyDescent="0.35">
      <c r="B32" s="256" t="s">
        <v>14</v>
      </c>
      <c r="C32" s="261">
        <f>Utilidad!A29</f>
        <v>1839.6</v>
      </c>
      <c r="D32" s="262">
        <f>IF(Utilidad!C29&gt;1,Utilidad!C29/100,Utilidad!C29)</f>
        <v>0.65</v>
      </c>
      <c r="F32" s="256" t="s">
        <v>14</v>
      </c>
      <c r="G32" s="261">
        <f>Utilidad!B29</f>
        <v>1471.68</v>
      </c>
      <c r="H32" s="262">
        <f>IF(Utilidad!D29&gt;1,Utilidad!D29/100,Utilidad!D29)</f>
        <v>0.65064999999999995</v>
      </c>
      <c r="J32" s="263">
        <f t="shared" si="0"/>
        <v>-0.19999999999999993</v>
      </c>
      <c r="K32" s="263">
        <f t="shared" si="1"/>
        <v>9.9999999999988987E-4</v>
      </c>
      <c r="L32" s="1"/>
      <c r="M32" s="265">
        <f t="shared" si="2"/>
        <v>0.19999999999999993</v>
      </c>
      <c r="N32" s="265">
        <f t="shared" si="3"/>
        <v>9.9999999999988987E-4</v>
      </c>
      <c r="Q32" s="256" t="s">
        <v>14</v>
      </c>
      <c r="R32" s="262">
        <f>Utilidad!E29</f>
        <v>0.01</v>
      </c>
    </row>
    <row r="33" spans="2:18" ht="15.75" customHeight="1" x14ac:dyDescent="0.35">
      <c r="B33" s="256" t="s">
        <v>208</v>
      </c>
      <c r="C33" s="261">
        <f>Utilidad!A30</f>
        <v>929</v>
      </c>
      <c r="D33" s="262">
        <f>IF(Utilidad!C30&gt;1,Utilidad!C30/100,Utilidad!C30)</f>
        <v>0</v>
      </c>
      <c r="F33" s="256" t="s">
        <v>208</v>
      </c>
      <c r="G33" s="261">
        <f>Utilidad!B30</f>
        <v>1183.9251262</v>
      </c>
      <c r="H33" s="262">
        <f>IF(Utilidad!D30&gt;1,Utilidad!D30/100,Utilidad!D30)</f>
        <v>0</v>
      </c>
      <c r="J33" s="263">
        <f t="shared" si="0"/>
        <v>0.27440810139935418</v>
      </c>
      <c r="K33" s="263">
        <f t="shared" si="1"/>
        <v>0</v>
      </c>
      <c r="L33" s="1"/>
      <c r="M33" s="265">
        <f t="shared" si="2"/>
        <v>0.27440810139935418</v>
      </c>
      <c r="N33" s="265">
        <f t="shared" si="3"/>
        <v>0</v>
      </c>
      <c r="Q33" s="256" t="s">
        <v>208</v>
      </c>
      <c r="R33" s="262">
        <f>Utilidad!E30</f>
        <v>0.01</v>
      </c>
    </row>
    <row r="34" spans="2:18" ht="15.75" customHeight="1" x14ac:dyDescent="0.35">
      <c r="B34" s="256" t="s">
        <v>209</v>
      </c>
      <c r="C34" s="261">
        <f>Utilidad!A31</f>
        <v>0</v>
      </c>
      <c r="D34" s="262">
        <f>IF(Utilidad!C31&gt;1,Utilidad!C31/100,Utilidad!C31)</f>
        <v>0.65</v>
      </c>
      <c r="F34" s="256" t="s">
        <v>209</v>
      </c>
      <c r="G34" s="261">
        <f>Utilidad!B31</f>
        <v>0</v>
      </c>
      <c r="H34" s="262">
        <f>IF(Utilidad!D31&gt;1,Utilidad!D31/100,Utilidad!D31)</f>
        <v>0.64999997253999997</v>
      </c>
      <c r="J34" s="263">
        <f t="shared" si="0"/>
        <v>0</v>
      </c>
      <c r="K34" s="263">
        <f t="shared" si="1"/>
        <v>-4.2246153925545443E-8</v>
      </c>
      <c r="L34" s="1"/>
      <c r="M34" s="265">
        <f t="shared" si="2"/>
        <v>0</v>
      </c>
      <c r="N34" s="265">
        <f t="shared" si="3"/>
        <v>4.2246153925545443E-8</v>
      </c>
      <c r="Q34" s="256" t="s">
        <v>209</v>
      </c>
      <c r="R34" s="262">
        <f>Utilidad!E31</f>
        <v>0.01</v>
      </c>
    </row>
    <row r="35" spans="2:18" ht="15.75" customHeight="1" x14ac:dyDescent="0.35">
      <c r="B35" s="256" t="s">
        <v>210</v>
      </c>
      <c r="C35" s="261">
        <f>Utilidad!A32</f>
        <v>323574</v>
      </c>
      <c r="D35" s="262">
        <f>IF(Utilidad!C32&gt;1,Utilidad!C32/100,Utilidad!C32)</f>
        <v>0.65516200000000002</v>
      </c>
      <c r="F35" s="256" t="s">
        <v>210</v>
      </c>
      <c r="G35" s="261">
        <f>Utilidad!B32</f>
        <v>338872.125</v>
      </c>
      <c r="H35" s="262">
        <f>IF(Utilidad!D32&gt;1,Utilidad!D32/100,Utilidad!D32)</f>
        <v>0.65581716200000006</v>
      </c>
      <c r="J35" s="263">
        <f t="shared" si="0"/>
        <v>4.7278597785977858E-2</v>
      </c>
      <c r="K35" s="263">
        <f t="shared" si="1"/>
        <v>1.0000000000000646E-3</v>
      </c>
      <c r="L35" s="1"/>
      <c r="M35" s="265">
        <f t="shared" si="2"/>
        <v>4.7278597785977858E-2</v>
      </c>
      <c r="N35" s="265">
        <f t="shared" si="3"/>
        <v>1.0000000000000646E-3</v>
      </c>
      <c r="Q35" s="256" t="s">
        <v>210</v>
      </c>
      <c r="R35" s="262">
        <f>Utilidad!E32</f>
        <v>0.01</v>
      </c>
    </row>
    <row r="36" spans="2:18" ht="15.75" customHeight="1" x14ac:dyDescent="0.35">
      <c r="B36" s="256" t="s">
        <v>211</v>
      </c>
      <c r="C36" s="261">
        <f>Utilidad!A33</f>
        <v>0</v>
      </c>
      <c r="D36" s="262">
        <f>IF(Utilidad!C33&gt;1,Utilidad!C33/100,Utilidad!C33)</f>
        <v>0</v>
      </c>
      <c r="F36" s="256" t="s">
        <v>211</v>
      </c>
      <c r="G36" s="261">
        <f>Utilidad!B33</f>
        <v>0</v>
      </c>
      <c r="H36" s="262">
        <f>IF(Utilidad!D33&gt;1,Utilidad!D33/100,Utilidad!D33)</f>
        <v>0</v>
      </c>
      <c r="J36" s="263">
        <f t="shared" si="0"/>
        <v>0</v>
      </c>
      <c r="K36" s="263">
        <f t="shared" si="1"/>
        <v>0</v>
      </c>
      <c r="L36" s="1"/>
      <c r="M36" s="265">
        <f t="shared" si="2"/>
        <v>0</v>
      </c>
      <c r="N36" s="265">
        <f t="shared" si="3"/>
        <v>0</v>
      </c>
      <c r="Q36" s="256" t="s">
        <v>211</v>
      </c>
      <c r="R36" s="262">
        <f>Utilidad!E33</f>
        <v>0.01</v>
      </c>
    </row>
    <row r="37" spans="2:18" ht="15.75" customHeight="1" x14ac:dyDescent="0.35">
      <c r="B37" s="256" t="s">
        <v>16</v>
      </c>
      <c r="C37" s="261">
        <f>Utilidad!A34</f>
        <v>0</v>
      </c>
      <c r="D37" s="262">
        <f>IF(Utilidad!C34&gt;1,Utilidad!C34/100,Utilidad!C34)</f>
        <v>0.654756</v>
      </c>
      <c r="F37" s="256" t="s">
        <v>16</v>
      </c>
      <c r="G37" s="261">
        <f>Utilidad!B34</f>
        <v>0</v>
      </c>
      <c r="H37" s="262">
        <f>IF(Utilidad!D34&gt;1,Utilidad!D34/100,Utilidad!D34)</f>
        <v>0.6547558281000001</v>
      </c>
      <c r="J37" s="263">
        <f t="shared" si="0"/>
        <v>0</v>
      </c>
      <c r="K37" s="263">
        <f t="shared" si="1"/>
        <v>-2.625405493056845E-7</v>
      </c>
      <c r="L37" s="1"/>
      <c r="M37" s="265">
        <f t="shared" si="2"/>
        <v>0</v>
      </c>
      <c r="N37" s="265">
        <f t="shared" si="3"/>
        <v>2.625405493056845E-7</v>
      </c>
      <c r="Q37" s="256" t="s">
        <v>16</v>
      </c>
      <c r="R37" s="262">
        <f>Utilidad!E34</f>
        <v>0.01</v>
      </c>
    </row>
    <row r="38" spans="2:18" ht="15.75" customHeight="1" x14ac:dyDescent="0.35">
      <c r="B38" s="256" t="s">
        <v>212</v>
      </c>
      <c r="C38" s="261">
        <f>Utilidad!A35</f>
        <v>15298.125</v>
      </c>
      <c r="D38" s="262">
        <f>IF(Utilidad!C35&gt;1,Utilidad!C35/100,Utilidad!C35)</f>
        <v>0.65516200000000002</v>
      </c>
      <c r="F38" s="256" t="s">
        <v>212</v>
      </c>
      <c r="G38" s="261">
        <f>Utilidad!B35</f>
        <v>15298.125</v>
      </c>
      <c r="H38" s="262">
        <f>IF(Utilidad!D35&gt;1,Utilidad!D35/100,Utilidad!D35)</f>
        <v>0.65581716200000006</v>
      </c>
      <c r="J38" s="263">
        <f t="shared" si="0"/>
        <v>0</v>
      </c>
      <c r="K38" s="263">
        <f t="shared" si="1"/>
        <v>1.0000000000000646E-3</v>
      </c>
      <c r="L38" s="1"/>
      <c r="M38" s="265">
        <f t="shared" si="2"/>
        <v>0</v>
      </c>
      <c r="N38" s="265">
        <f t="shared" si="3"/>
        <v>1.0000000000000646E-3</v>
      </c>
      <c r="Q38" s="256" t="s">
        <v>212</v>
      </c>
      <c r="R38" s="262">
        <f>Utilidad!E35</f>
        <v>0.01</v>
      </c>
    </row>
    <row r="39" spans="2:18" ht="15.75" customHeight="1" x14ac:dyDescent="0.35">
      <c r="B39" s="256" t="s">
        <v>17</v>
      </c>
      <c r="C39" s="261">
        <f>Utilidad!A36</f>
        <v>-12530.0101560354</v>
      </c>
      <c r="D39" s="262">
        <f>IF(Utilidad!C36&gt;1,Utilidad!C36/100,Utilidad!C36)</f>
        <v>0.654756</v>
      </c>
      <c r="F39" s="256" t="s">
        <v>17</v>
      </c>
      <c r="G39" s="261">
        <f>Utilidad!B36</f>
        <v>-12534.875</v>
      </c>
      <c r="H39" s="262">
        <f>IF(Utilidad!D36&gt;1,Utilidad!D36/100,Utilidad!D36)</f>
        <v>0.6563852362</v>
      </c>
      <c r="J39" s="263">
        <f t="shared" si="0"/>
        <v>3.8825538878410978E-4</v>
      </c>
      <c r="K39" s="263">
        <f t="shared" si="1"/>
        <v>2.4883104545815461E-3</v>
      </c>
      <c r="L39" s="1"/>
      <c r="M39" s="265">
        <f t="shared" si="2"/>
        <v>3.8825538878410978E-4</v>
      </c>
      <c r="N39" s="265">
        <f t="shared" si="3"/>
        <v>2.4883104545815461E-3</v>
      </c>
      <c r="Q39" s="256" t="s">
        <v>17</v>
      </c>
      <c r="R39" s="262">
        <f>Utilidad!E36</f>
        <v>0.01</v>
      </c>
    </row>
    <row r="40" spans="2:18" ht="15.75" customHeight="1" x14ac:dyDescent="0.35">
      <c r="B40" s="256" t="s">
        <v>213</v>
      </c>
      <c r="C40" s="261">
        <f>Utilidad!A37</f>
        <v>323574</v>
      </c>
      <c r="D40" s="262">
        <f>IF(Utilidad!C37&gt;1,Utilidad!C37/100,Utilidad!C37)</f>
        <v>0.65516200000000002</v>
      </c>
      <c r="F40" s="256" t="s">
        <v>213</v>
      </c>
      <c r="G40" s="261">
        <f>Utilidad!B37</f>
        <v>323574</v>
      </c>
      <c r="H40" s="262">
        <f>IF(Utilidad!D37&gt;1,Utilidad!D37/100,Utilidad!D37)</f>
        <v>0.65581716200000006</v>
      </c>
      <c r="J40" s="263">
        <f t="shared" si="0"/>
        <v>0</v>
      </c>
      <c r="K40" s="263">
        <f t="shared" si="1"/>
        <v>1.0000000000000646E-3</v>
      </c>
      <c r="L40" s="1"/>
      <c r="M40" s="265">
        <f t="shared" si="2"/>
        <v>0</v>
      </c>
      <c r="N40" s="265">
        <f t="shared" si="3"/>
        <v>1.0000000000000646E-3</v>
      </c>
      <c r="Q40" s="256" t="s">
        <v>213</v>
      </c>
      <c r="R40" s="262">
        <f>Utilidad!E37</f>
        <v>0.01</v>
      </c>
    </row>
    <row r="41" spans="2:18" ht="15.75" customHeight="1" x14ac:dyDescent="0.35">
      <c r="B41" s="256" t="s">
        <v>18</v>
      </c>
      <c r="C41" s="261">
        <f>Utilidad!A38</f>
        <v>-138726.90330323219</v>
      </c>
      <c r="D41" s="262">
        <f>IF(Utilidad!C38&gt;1,Utilidad!C38/100,Utilidad!C38)</f>
        <v>0.65402199999999988</v>
      </c>
      <c r="F41" s="256" t="s">
        <v>18</v>
      </c>
      <c r="G41" s="261">
        <f>Utilidad!B38</f>
        <v>-142424.88946000001</v>
      </c>
      <c r="H41" s="262">
        <f>IF(Utilidad!D38&gt;1,Utilidad!D38/100,Utilidad!D38)</f>
        <v>0.65038271868999997</v>
      </c>
      <c r="J41" s="263">
        <f t="shared" si="0"/>
        <v>2.6656589808572891E-2</v>
      </c>
      <c r="K41" s="263">
        <f t="shared" si="1"/>
        <v>-5.5644631373255177E-3</v>
      </c>
      <c r="L41" s="1"/>
      <c r="M41" s="265">
        <f t="shared" si="2"/>
        <v>2.6656589808572891E-2</v>
      </c>
      <c r="N41" s="265">
        <f t="shared" si="3"/>
        <v>5.5644631373255177E-3</v>
      </c>
      <c r="Q41" s="256" t="s">
        <v>18</v>
      </c>
      <c r="R41" s="262">
        <f>Utilidad!E38</f>
        <v>0.01</v>
      </c>
    </row>
    <row r="42" spans="2:18" ht="15.75" customHeight="1" x14ac:dyDescent="0.35">
      <c r="B42" s="256" t="s">
        <v>214</v>
      </c>
      <c r="C42" s="261">
        <f>Utilidad!A39</f>
        <v>482015.88945909392</v>
      </c>
      <c r="D42" s="262">
        <f>IF(Utilidad!C39&gt;1,Utilidad!C39/100,Utilidad!C39)</f>
        <v>0.654756</v>
      </c>
      <c r="F42" s="256" t="s">
        <v>214</v>
      </c>
      <c r="G42" s="261">
        <f>Utilidad!B39</f>
        <v>482015.88945999998</v>
      </c>
      <c r="H42" s="262">
        <f>IF(Utilidad!D39&gt;1,Utilidad!D39/100,Utilidad!D39)</f>
        <v>0.654756</v>
      </c>
      <c r="J42" s="263">
        <f t="shared" si="0"/>
        <v>1.8797314976396148E-12</v>
      </c>
      <c r="K42" s="263">
        <f t="shared" si="1"/>
        <v>0</v>
      </c>
      <c r="L42" s="1"/>
      <c r="M42" s="265">
        <f t="shared" si="2"/>
        <v>1.8797314976396148E-12</v>
      </c>
      <c r="N42" s="265">
        <f t="shared" si="3"/>
        <v>0</v>
      </c>
      <c r="Q42" s="256" t="s">
        <v>214</v>
      </c>
      <c r="R42" s="262">
        <f>Utilidad!E39</f>
        <v>0.01</v>
      </c>
    </row>
    <row r="43" spans="2:18" ht="15.75" customHeight="1" x14ac:dyDescent="0.35">
      <c r="B43" s="256" t="s">
        <v>215</v>
      </c>
      <c r="C43" s="261">
        <f>Utilidad!A40</f>
        <v>7677.9</v>
      </c>
      <c r="D43" s="262">
        <f>IF(Utilidad!C40&gt;1,Utilidad!C40/100,Utilidad!C40)</f>
        <v>0.65</v>
      </c>
      <c r="F43" s="256" t="s">
        <v>215</v>
      </c>
      <c r="G43" s="261">
        <f>Utilidad!B40</f>
        <v>7677.9</v>
      </c>
      <c r="H43" s="262">
        <f>IF(Utilidad!D40&gt;1,Utilidad!D40/100,Utilidad!D40)</f>
        <v>0.65</v>
      </c>
      <c r="J43" s="263">
        <f t="shared" si="0"/>
        <v>0</v>
      </c>
      <c r="K43" s="263">
        <f t="shared" si="1"/>
        <v>0</v>
      </c>
      <c r="L43" s="1"/>
      <c r="M43" s="265">
        <f t="shared" si="2"/>
        <v>0</v>
      </c>
      <c r="N43" s="265">
        <f t="shared" si="3"/>
        <v>0</v>
      </c>
      <c r="Q43" s="256" t="s">
        <v>215</v>
      </c>
      <c r="R43" s="262">
        <f>Utilidad!E40</f>
        <v>0.01</v>
      </c>
    </row>
    <row r="44" spans="2:18" ht="15.75" customHeight="1" x14ac:dyDescent="0.35">
      <c r="B44" s="256" t="s">
        <v>216</v>
      </c>
      <c r="C44" s="261">
        <f>Utilidad!A41</f>
        <v>6452.8852623456996</v>
      </c>
      <c r="D44" s="262">
        <f>IF(Utilidad!C41&gt;1,Utilidad!C41/100,Utilidad!C41)</f>
        <v>0.65</v>
      </c>
      <c r="F44" s="256" t="s">
        <v>216</v>
      </c>
      <c r="G44" s="261">
        <f>Utilidad!B41</f>
        <v>6505.9</v>
      </c>
      <c r="H44" s="262">
        <f>IF(Utilidad!D41&gt;1,Utilidad!D41/100,Utilidad!D41)</f>
        <v>0.65709587912999989</v>
      </c>
      <c r="J44" s="263">
        <f t="shared" si="0"/>
        <v>8.2156640787734263E-3</v>
      </c>
      <c r="K44" s="263">
        <f t="shared" si="1"/>
        <v>1.0916737123076725E-2</v>
      </c>
      <c r="L44" s="1"/>
      <c r="M44" s="265">
        <f t="shared" si="2"/>
        <v>8.2156640787734263E-3</v>
      </c>
      <c r="N44" s="265">
        <f t="shared" si="3"/>
        <v>1.0916737123076725E-2</v>
      </c>
      <c r="Q44" s="256" t="s">
        <v>216</v>
      </c>
      <c r="R44" s="262">
        <f>Utilidad!E41</f>
        <v>0.01</v>
      </c>
    </row>
    <row r="45" spans="2:18" ht="15.75" customHeight="1" x14ac:dyDescent="0.35">
      <c r="B45" s="256" t="s">
        <v>217</v>
      </c>
      <c r="C45" s="261">
        <f>Utilidad!A42</f>
        <v>1172</v>
      </c>
      <c r="D45" s="262">
        <f>IF(Utilidad!C42&gt;1,Utilidad!C42/100,Utilidad!C42)</f>
        <v>0.61</v>
      </c>
      <c r="F45" s="256" t="s">
        <v>217</v>
      </c>
      <c r="G45" s="261">
        <f>Utilidad!B42</f>
        <v>1172</v>
      </c>
      <c r="H45" s="262">
        <f>IF(Utilidad!D42&gt;1,Utilidad!D42/100,Utilidad!D42)</f>
        <v>0.61060999999999999</v>
      </c>
      <c r="J45" s="263">
        <f t="shared" si="0"/>
        <v>0</v>
      </c>
      <c r="K45" s="263">
        <f t="shared" si="1"/>
        <v>9.9999999999999915E-4</v>
      </c>
      <c r="L45" s="1"/>
      <c r="M45" s="265">
        <f t="shared" si="2"/>
        <v>0</v>
      </c>
      <c r="N45" s="265">
        <f t="shared" si="3"/>
        <v>9.9999999999999915E-4</v>
      </c>
      <c r="Q45" s="256" t="s">
        <v>217</v>
      </c>
      <c r="R45" s="262">
        <f>Utilidad!E42</f>
        <v>0.01</v>
      </c>
    </row>
    <row r="46" spans="2:18" ht="15.75" customHeight="1" x14ac:dyDescent="0.35">
      <c r="B46" s="256" t="s">
        <v>218</v>
      </c>
      <c r="C46" s="261">
        <f>Utilidad!A43</f>
        <v>1172</v>
      </c>
      <c r="D46" s="262">
        <f>IF(Utilidad!C43&gt;1,Utilidad!C43/100,Utilidad!C43)</f>
        <v>0.61</v>
      </c>
      <c r="F46" s="256" t="s">
        <v>218</v>
      </c>
      <c r="G46" s="261">
        <f>Utilidad!B43</f>
        <v>1172</v>
      </c>
      <c r="H46" s="262">
        <f>IF(Utilidad!D43&gt;1,Utilidad!D43/100,Utilidad!D43)</f>
        <v>0.61060999999999999</v>
      </c>
      <c r="J46" s="263">
        <f t="shared" si="0"/>
        <v>0</v>
      </c>
      <c r="K46" s="263">
        <f t="shared" si="1"/>
        <v>9.9999999999999915E-4</v>
      </c>
      <c r="L46" s="1"/>
      <c r="M46" s="265">
        <f t="shared" si="2"/>
        <v>0</v>
      </c>
      <c r="N46" s="265">
        <f t="shared" si="3"/>
        <v>9.9999999999999915E-4</v>
      </c>
      <c r="Q46" s="256" t="s">
        <v>218</v>
      </c>
      <c r="R46" s="262">
        <f>Utilidad!E43</f>
        <v>0.01</v>
      </c>
    </row>
    <row r="47" spans="2:18" ht="15.75" customHeight="1" x14ac:dyDescent="0.35">
      <c r="B47" s="256" t="s">
        <v>219</v>
      </c>
      <c r="C47" s="261">
        <f>Utilidad!A44</f>
        <v>0</v>
      </c>
      <c r="D47" s="262">
        <f>IF(Utilidad!C44&gt;1,Utilidad!C44/100,Utilidad!C44)</f>
        <v>0</v>
      </c>
      <c r="F47" s="256" t="s">
        <v>219</v>
      </c>
      <c r="G47" s="261">
        <f>Utilidad!B44</f>
        <v>0</v>
      </c>
      <c r="H47" s="262">
        <f>IF(Utilidad!D44&gt;1,Utilidad!D44/100,Utilidad!D44)</f>
        <v>0</v>
      </c>
      <c r="J47" s="263">
        <f t="shared" si="0"/>
        <v>0</v>
      </c>
      <c r="K47" s="263">
        <f t="shared" si="1"/>
        <v>0</v>
      </c>
      <c r="L47" s="1"/>
      <c r="M47" s="265">
        <f t="shared" si="2"/>
        <v>0</v>
      </c>
      <c r="N47" s="265">
        <f t="shared" si="3"/>
        <v>0</v>
      </c>
      <c r="Q47" s="256" t="s">
        <v>219</v>
      </c>
      <c r="R47" s="262">
        <f>Utilidad!E44</f>
        <v>0.01</v>
      </c>
    </row>
    <row r="48" spans="2:18" ht="15.75" customHeight="1" x14ac:dyDescent="0.35">
      <c r="B48" s="256" t="s">
        <v>220</v>
      </c>
      <c r="C48" s="261">
        <f>Utilidad!A45</f>
        <v>4205.8649999999998</v>
      </c>
      <c r="D48" s="262">
        <f>IF(Utilidad!C45&gt;1,Utilidad!C45/100,Utilidad!C45)</f>
        <v>0.65</v>
      </c>
      <c r="F48" s="256" t="s">
        <v>220</v>
      </c>
      <c r="G48" s="261">
        <f>Utilidad!B45</f>
        <v>1261.7594999999999</v>
      </c>
      <c r="H48" s="262">
        <f>IF(Utilidad!D45&gt;1,Utilidad!D45/100,Utilidad!D45)</f>
        <v>0.64476981155999991</v>
      </c>
      <c r="J48" s="263">
        <f t="shared" si="0"/>
        <v>-0.7</v>
      </c>
      <c r="K48" s="263">
        <f t="shared" si="1"/>
        <v>-8.0464437538463329E-3</v>
      </c>
      <c r="L48" s="1"/>
      <c r="M48" s="265">
        <f t="shared" si="2"/>
        <v>0.7</v>
      </c>
      <c r="N48" s="265">
        <f t="shared" si="3"/>
        <v>8.0464437538463329E-3</v>
      </c>
      <c r="Q48" s="256" t="s">
        <v>220</v>
      </c>
      <c r="R48" s="262">
        <f>Utilidad!E45</f>
        <v>0.01</v>
      </c>
    </row>
    <row r="49" spans="2:18" ht="15.75" customHeight="1" x14ac:dyDescent="0.35">
      <c r="B49" s="256" t="s">
        <v>221</v>
      </c>
      <c r="C49" s="261">
        <f>Utilidad!A46</f>
        <v>1261.7594999999999</v>
      </c>
      <c r="D49" s="262">
        <f>IF(Utilidad!C46&gt;1,Utilidad!C46/100,Utilidad!C46)</f>
        <v>0.65</v>
      </c>
      <c r="F49" s="256" t="s">
        <v>221</v>
      </c>
      <c r="G49" s="261">
        <f>Utilidad!B46</f>
        <v>1261.7594999999999</v>
      </c>
      <c r="H49" s="262">
        <f>IF(Utilidad!D46&gt;1,Utilidad!D46/100,Utilidad!D46)</f>
        <v>0.64476981155999991</v>
      </c>
      <c r="J49" s="263">
        <f t="shared" si="0"/>
        <v>0</v>
      </c>
      <c r="K49" s="263">
        <f t="shared" si="1"/>
        <v>-8.0464437538463329E-3</v>
      </c>
      <c r="L49" s="1"/>
      <c r="M49" s="265">
        <f t="shared" si="2"/>
        <v>0</v>
      </c>
      <c r="N49" s="265">
        <f t="shared" si="3"/>
        <v>8.0464437538463329E-3</v>
      </c>
      <c r="Q49" s="256" t="s">
        <v>221</v>
      </c>
      <c r="R49" s="262">
        <f>Utilidad!E46</f>
        <v>0.01</v>
      </c>
    </row>
    <row r="50" spans="2:18" ht="15.75" customHeight="1" x14ac:dyDescent="0.35">
      <c r="B50" s="256" t="s">
        <v>222</v>
      </c>
      <c r="C50" s="261">
        <f>Utilidad!A47</f>
        <v>0</v>
      </c>
      <c r="D50" s="262">
        <f>IF(Utilidad!C47&gt;1,Utilidad!C47/100,Utilidad!C47)</f>
        <v>0.65</v>
      </c>
      <c r="F50" s="256" t="s">
        <v>222</v>
      </c>
      <c r="G50" s="261">
        <f>Utilidad!B47</f>
        <v>0</v>
      </c>
      <c r="H50" s="262">
        <f>IF(Utilidad!D47&gt;1,Utilidad!D47/100,Utilidad!D47)</f>
        <v>0.64999983181000009</v>
      </c>
      <c r="J50" s="263">
        <f t="shared" si="0"/>
        <v>0</v>
      </c>
      <c r="K50" s="263">
        <f t="shared" si="1"/>
        <v>-2.5875384604198905E-7</v>
      </c>
      <c r="L50" s="1"/>
      <c r="M50" s="265">
        <f t="shared" si="2"/>
        <v>0</v>
      </c>
      <c r="N50" s="265">
        <f t="shared" si="3"/>
        <v>2.5875384604198905E-7</v>
      </c>
      <c r="Q50" s="256" t="s">
        <v>222</v>
      </c>
      <c r="R50" s="262">
        <f>Utilidad!E47</f>
        <v>0.01</v>
      </c>
    </row>
    <row r="51" spans="2:18" ht="15.75" customHeight="1" x14ac:dyDescent="0.35">
      <c r="B51" s="256" t="s">
        <v>223</v>
      </c>
      <c r="C51" s="261">
        <f>Utilidad!A48</f>
        <v>0</v>
      </c>
      <c r="D51" s="262">
        <f>IF(Utilidad!C48&gt;1,Utilidad!C48/100,Utilidad!C48)</f>
        <v>0.65</v>
      </c>
      <c r="F51" s="256" t="s">
        <v>223</v>
      </c>
      <c r="G51" s="261">
        <f>Utilidad!B48</f>
        <v>0</v>
      </c>
      <c r="H51" s="262">
        <f>IF(Utilidad!D48&gt;1,Utilidad!D48/100,Utilidad!D48)</f>
        <v>0.64999983181000009</v>
      </c>
      <c r="J51" s="263">
        <f t="shared" si="0"/>
        <v>0</v>
      </c>
      <c r="K51" s="263">
        <f t="shared" si="1"/>
        <v>-2.5875384604198905E-7</v>
      </c>
      <c r="L51" s="1"/>
      <c r="M51" s="265">
        <f t="shared" si="2"/>
        <v>0</v>
      </c>
      <c r="N51" s="265">
        <f t="shared" si="3"/>
        <v>2.5875384604198905E-7</v>
      </c>
      <c r="Q51" s="256" t="s">
        <v>223</v>
      </c>
      <c r="R51" s="262">
        <f>Utilidad!E48</f>
        <v>0.01</v>
      </c>
    </row>
    <row r="52" spans="2:18" ht="15.75" customHeight="1" x14ac:dyDescent="0.35">
      <c r="B52" s="256" t="s">
        <v>224</v>
      </c>
      <c r="C52" s="261">
        <f>Utilidad!A49</f>
        <v>27833</v>
      </c>
      <c r="D52" s="262">
        <f>IF(Utilidad!C49&gt;1,Utilidad!C49/100,Utilidad!C49)</f>
        <v>0.66269999999999996</v>
      </c>
      <c r="F52" s="256" t="s">
        <v>224</v>
      </c>
      <c r="G52" s="261">
        <f>Utilidad!B49</f>
        <v>27833</v>
      </c>
      <c r="H52" s="262">
        <f>IF(Utilidad!D49&gt;1,Utilidad!D49/100,Utilidad!D49)</f>
        <v>0.65607299999999991</v>
      </c>
      <c r="J52" s="263">
        <f t="shared" si="0"/>
        <v>0</v>
      </c>
      <c r="K52" s="263">
        <f t="shared" si="1"/>
        <v>-1.0000000000000075E-2</v>
      </c>
      <c r="L52" s="1"/>
      <c r="M52" s="265">
        <f t="shared" si="2"/>
        <v>0</v>
      </c>
      <c r="N52" s="265">
        <f t="shared" si="3"/>
        <v>1.0000000000000075E-2</v>
      </c>
      <c r="Q52" s="256" t="s">
        <v>224</v>
      </c>
      <c r="R52" s="262">
        <f>Utilidad!E49</f>
        <v>0.01</v>
      </c>
    </row>
    <row r="53" spans="2:18" ht="15.75" customHeight="1" x14ac:dyDescent="0.35">
      <c r="B53" s="256" t="s">
        <v>225</v>
      </c>
      <c r="C53" s="261">
        <f>Utilidad!A50</f>
        <v>11816</v>
      </c>
      <c r="D53" s="262">
        <f>IF(Utilidad!C50&gt;1,Utilidad!C50/100,Utilidad!C50)</f>
        <v>0.66269999999999996</v>
      </c>
      <c r="F53" s="256" t="s">
        <v>225</v>
      </c>
      <c r="G53" s="261">
        <f>Utilidad!B50</f>
        <v>11816</v>
      </c>
      <c r="H53" s="262">
        <f>IF(Utilidad!D50&gt;1,Utilidad!D50/100,Utilidad!D50)</f>
        <v>0.63420389999999993</v>
      </c>
      <c r="J53" s="263">
        <f t="shared" si="0"/>
        <v>0</v>
      </c>
      <c r="K53" s="263">
        <f t="shared" si="1"/>
        <v>-4.3000000000000038E-2</v>
      </c>
      <c r="L53" s="1"/>
      <c r="M53" s="265">
        <f t="shared" si="2"/>
        <v>0</v>
      </c>
      <c r="N53" s="265">
        <f t="shared" si="3"/>
        <v>4.3000000000000038E-2</v>
      </c>
      <c r="Q53" s="256" t="s">
        <v>225</v>
      </c>
      <c r="R53" s="262">
        <f>Utilidad!E50</f>
        <v>0.01</v>
      </c>
    </row>
    <row r="54" spans="2:18" ht="15.75" customHeight="1" x14ac:dyDescent="0.35">
      <c r="B54" s="256" t="s">
        <v>226</v>
      </c>
      <c r="C54" s="261">
        <f>Utilidad!A51</f>
        <v>0</v>
      </c>
      <c r="D54" s="262">
        <f>IF(Utilidad!C51&gt;1,Utilidad!C51/100,Utilidad!C51)</f>
        <v>0</v>
      </c>
      <c r="F54" s="256" t="s">
        <v>226</v>
      </c>
      <c r="G54" s="261">
        <f>Utilidad!B51</f>
        <v>0</v>
      </c>
      <c r="H54" s="262">
        <f>IF(Utilidad!D51&gt;1,Utilidad!D51/100,Utilidad!D51)</f>
        <v>0</v>
      </c>
      <c r="J54" s="263">
        <f t="shared" si="0"/>
        <v>0</v>
      </c>
      <c r="K54" s="263">
        <f t="shared" si="1"/>
        <v>0</v>
      </c>
      <c r="L54" s="1"/>
      <c r="M54" s="265">
        <f t="shared" si="2"/>
        <v>0</v>
      </c>
      <c r="N54" s="265">
        <f t="shared" si="3"/>
        <v>0</v>
      </c>
      <c r="Q54" s="256" t="s">
        <v>226</v>
      </c>
      <c r="R54" s="262">
        <f>Utilidad!E51</f>
        <v>0.01</v>
      </c>
    </row>
    <row r="55" spans="2:18" ht="15.75" customHeight="1" x14ac:dyDescent="0.35">
      <c r="B55" s="256" t="s">
        <v>227</v>
      </c>
      <c r="C55" s="261">
        <f>Utilidad!A52</f>
        <v>19016</v>
      </c>
      <c r="D55" s="262">
        <f>IF(Utilidad!C52&gt;1,Utilidad!C52/100,Utilidad!C52)</f>
        <v>0.66269999999999996</v>
      </c>
      <c r="F55" s="256" t="s">
        <v>227</v>
      </c>
      <c r="G55" s="261">
        <f>Utilidad!B52</f>
        <v>16017</v>
      </c>
      <c r="H55" s="262">
        <f>IF(Utilidad!D52&gt;1,Utilidad!D52/100,Utilidad!D52)</f>
        <v>0.67220618884000005</v>
      </c>
      <c r="J55" s="263">
        <f t="shared" si="0"/>
        <v>-0.15770929743374001</v>
      </c>
      <c r="K55" s="263">
        <f t="shared" si="1"/>
        <v>1.4344633831296359E-2</v>
      </c>
      <c r="L55" s="1"/>
      <c r="M55" s="265">
        <f t="shared" si="2"/>
        <v>0.15770929743374001</v>
      </c>
      <c r="N55" s="265">
        <f t="shared" si="3"/>
        <v>1.4344633831296359E-2</v>
      </c>
      <c r="Q55" s="256" t="s">
        <v>227</v>
      </c>
      <c r="R55" s="262">
        <f>Utilidad!E52</f>
        <v>0.01</v>
      </c>
    </row>
    <row r="56" spans="2:18" ht="15.75" customHeight="1" x14ac:dyDescent="0.35">
      <c r="B56" s="256" t="s">
        <v>123</v>
      </c>
      <c r="C56" s="261">
        <f>Utilidad!A53</f>
        <v>12594</v>
      </c>
      <c r="D56" s="262">
        <f>IF(Utilidad!C53&gt;1,Utilidad!C53/100,Utilidad!C53)</f>
        <v>0.61509999999999998</v>
      </c>
      <c r="F56" s="256" t="s">
        <v>123</v>
      </c>
      <c r="G56" s="261">
        <f>Utilidad!B53</f>
        <v>11462.60016</v>
      </c>
      <c r="H56" s="262">
        <f>IF(Utilidad!D53&gt;1,Utilidad!D53/100,Utilidad!D53)</f>
        <v>0.63355300000000003</v>
      </c>
      <c r="J56" s="263">
        <f t="shared" si="0"/>
        <v>-8.9836417341591243E-2</v>
      </c>
      <c r="K56" s="263">
        <f t="shared" si="1"/>
        <v>3.0000000000000086E-2</v>
      </c>
      <c r="L56" s="1"/>
      <c r="M56" s="265">
        <f t="shared" si="2"/>
        <v>8.9836417341591243E-2</v>
      </c>
      <c r="N56" s="265">
        <f t="shared" si="3"/>
        <v>3.0000000000000086E-2</v>
      </c>
      <c r="Q56" s="256" t="s">
        <v>123</v>
      </c>
      <c r="R56" s="262">
        <f>Utilidad!E53</f>
        <v>0.01</v>
      </c>
    </row>
    <row r="57" spans="2:18" ht="15.75" customHeight="1" x14ac:dyDescent="0.35">
      <c r="B57" s="256" t="s">
        <v>228</v>
      </c>
      <c r="C57" s="261">
        <f>Utilidad!A54</f>
        <v>0</v>
      </c>
      <c r="D57" s="262">
        <f>IF(Utilidad!C54&gt;1,Utilidad!C54/100,Utilidad!C54)</f>
        <v>0</v>
      </c>
      <c r="F57" s="256" t="s">
        <v>228</v>
      </c>
      <c r="G57" s="261">
        <f>Utilidad!B54</f>
        <v>0</v>
      </c>
      <c r="H57" s="262">
        <f>IF(Utilidad!D54&gt;1,Utilidad!D54/100,Utilidad!D54)</f>
        <v>0</v>
      </c>
      <c r="J57" s="263">
        <f t="shared" si="0"/>
        <v>0</v>
      </c>
      <c r="K57" s="263">
        <f t="shared" si="1"/>
        <v>0</v>
      </c>
      <c r="L57" s="1"/>
      <c r="M57" s="265">
        <f t="shared" si="2"/>
        <v>0</v>
      </c>
      <c r="N57" s="265">
        <f t="shared" si="3"/>
        <v>0</v>
      </c>
      <c r="Q57" s="256" t="s">
        <v>228</v>
      </c>
      <c r="R57" s="262">
        <f>Utilidad!E54</f>
        <v>0.01</v>
      </c>
    </row>
    <row r="58" spans="2:18" ht="15.75" customHeight="1" x14ac:dyDescent="0.35">
      <c r="B58" s="256" t="s">
        <v>19</v>
      </c>
      <c r="C58" s="261">
        <f>Utilidad!A55</f>
        <v>1525.3998398781</v>
      </c>
      <c r="D58" s="262">
        <f>IF(Utilidad!C55&gt;1,Utilidad!C55/100,Utilidad!C55)</f>
        <v>0.61509999999999998</v>
      </c>
      <c r="F58" s="256" t="s">
        <v>19</v>
      </c>
      <c r="G58" s="261">
        <f>Utilidad!B55</f>
        <v>1525.3998399</v>
      </c>
      <c r="H58" s="262">
        <f>IF(Utilidad!D55&gt;1,Utilidad!D55/100,Utilidad!D55)</f>
        <v>0.62096734140999998</v>
      </c>
      <c r="J58" s="263">
        <f t="shared" si="0"/>
        <v>1.4356858919964147E-11</v>
      </c>
      <c r="K58" s="263">
        <f t="shared" si="1"/>
        <v>9.5388415054462761E-3</v>
      </c>
      <c r="L58" s="1"/>
      <c r="M58" s="265">
        <f t="shared" si="2"/>
        <v>1.4356858919964147E-11</v>
      </c>
      <c r="N58" s="265">
        <f t="shared" si="3"/>
        <v>9.5388415054462761E-3</v>
      </c>
      <c r="Q58" s="256" t="s">
        <v>19</v>
      </c>
      <c r="R58" s="262">
        <f>Utilidad!E55</f>
        <v>0.01</v>
      </c>
    </row>
    <row r="59" spans="2:18" ht="15.75" customHeight="1" x14ac:dyDescent="0.35">
      <c r="B59" s="256" t="s">
        <v>229</v>
      </c>
      <c r="C59" s="261">
        <f>Utilidad!A56</f>
        <v>319149.63602673152</v>
      </c>
      <c r="D59" s="262">
        <f>IF(Utilidad!C56&gt;1,Utilidad!C56/100,Utilidad!C56)</f>
        <v>0.63656400000000002</v>
      </c>
      <c r="F59" s="256" t="s">
        <v>229</v>
      </c>
      <c r="G59" s="261">
        <f>Utilidad!B56</f>
        <v>319149.63602999999</v>
      </c>
      <c r="H59" s="262">
        <f>IF(Utilidad!D56&gt;1,Utilidad!D56/100,Utilidad!D56)</f>
        <v>0.63656400000000002</v>
      </c>
      <c r="J59" s="263">
        <f t="shared" si="0"/>
        <v>1.0241204145817228E-11</v>
      </c>
      <c r="K59" s="263">
        <f t="shared" si="1"/>
        <v>0</v>
      </c>
      <c r="L59" s="1"/>
      <c r="M59" s="265">
        <f t="shared" si="2"/>
        <v>1.0241204145817228E-11</v>
      </c>
      <c r="N59" s="265">
        <f t="shared" si="3"/>
        <v>0</v>
      </c>
      <c r="Q59" s="256" t="s">
        <v>229</v>
      </c>
      <c r="R59" s="262">
        <f>Utilidad!E56</f>
        <v>0.01</v>
      </c>
    </row>
    <row r="60" spans="2:18" ht="15.75" customHeight="1" x14ac:dyDescent="0.35">
      <c r="B60" s="256" t="s">
        <v>20</v>
      </c>
      <c r="C60" s="261">
        <f>Utilidad!A57</f>
        <v>-138698.29006039389</v>
      </c>
      <c r="D60" s="262">
        <f>IF(Utilidad!C57&gt;1,Utilidad!C57/100,Utilidad!C57)</f>
        <v>0.63656400000000002</v>
      </c>
      <c r="F60" s="256" t="s">
        <v>20</v>
      </c>
      <c r="G60" s="261">
        <f>Utilidad!B57</f>
        <v>-101238.57047000001</v>
      </c>
      <c r="H60" s="262">
        <f>IF(Utilidad!D57&gt;1,Utilidad!D57/100,Utilidad!D57)</f>
        <v>0.62221660624999997</v>
      </c>
      <c r="J60" s="263">
        <f t="shared" si="0"/>
        <v>-0.27008061580342962</v>
      </c>
      <c r="K60" s="263">
        <f t="shared" si="1"/>
        <v>-2.253880795960822E-2</v>
      </c>
      <c r="L60" s="1"/>
      <c r="M60" s="265">
        <f t="shared" si="2"/>
        <v>0.27008061580342962</v>
      </c>
      <c r="N60" s="265">
        <f t="shared" si="3"/>
        <v>2.253880795960822E-2</v>
      </c>
      <c r="Q60" s="256" t="s">
        <v>20</v>
      </c>
      <c r="R60" s="262">
        <f>Utilidad!E57</f>
        <v>0.01</v>
      </c>
    </row>
    <row r="61" spans="2:18" ht="15.75" customHeight="1" x14ac:dyDescent="0.35">
      <c r="B61" s="256" t="s">
        <v>230</v>
      </c>
      <c r="C61" s="261">
        <f>Utilidad!A58</f>
        <v>0</v>
      </c>
      <c r="D61" s="262">
        <f>IF(Utilidad!C58&gt;1,Utilidad!C58/100,Utilidad!C58)</f>
        <v>0</v>
      </c>
      <c r="F61" s="256" t="s">
        <v>230</v>
      </c>
      <c r="G61" s="261">
        <f>Utilidad!B58</f>
        <v>0</v>
      </c>
      <c r="H61" s="262">
        <f>IF(Utilidad!D58&gt;1,Utilidad!D58/100,Utilidad!D58)</f>
        <v>0</v>
      </c>
      <c r="J61" s="263">
        <f t="shared" si="0"/>
        <v>0</v>
      </c>
      <c r="K61" s="263">
        <f t="shared" si="1"/>
        <v>0</v>
      </c>
      <c r="L61" s="1"/>
      <c r="M61" s="265">
        <f t="shared" si="2"/>
        <v>0</v>
      </c>
      <c r="N61" s="265">
        <f t="shared" si="3"/>
        <v>0</v>
      </c>
      <c r="Q61" s="256" t="s">
        <v>230</v>
      </c>
      <c r="R61" s="262">
        <f>Utilidad!E58</f>
        <v>0.01</v>
      </c>
    </row>
    <row r="62" spans="2:18" ht="15.75" customHeight="1" x14ac:dyDescent="0.35">
      <c r="B62" s="256" t="s">
        <v>21</v>
      </c>
      <c r="C62" s="261">
        <f>Utilidad!A59</f>
        <v>0</v>
      </c>
      <c r="D62" s="262">
        <f>IF(Utilidad!C59&gt;1,Utilidad!C59/100,Utilidad!C59)</f>
        <v>0.654756</v>
      </c>
      <c r="F62" s="256" t="s">
        <v>21</v>
      </c>
      <c r="G62" s="261">
        <f>Utilidad!B59</f>
        <v>0</v>
      </c>
      <c r="H62" s="262">
        <f>IF(Utilidad!D59&gt;1,Utilidad!D59/100,Utilidad!D59)</f>
        <v>0.6547558281000001</v>
      </c>
      <c r="J62" s="263">
        <f t="shared" si="0"/>
        <v>0</v>
      </c>
      <c r="K62" s="263">
        <f t="shared" si="1"/>
        <v>-2.625405493056845E-7</v>
      </c>
      <c r="L62" s="1"/>
      <c r="M62" s="265">
        <f t="shared" si="2"/>
        <v>0</v>
      </c>
      <c r="N62" s="265">
        <f t="shared" si="3"/>
        <v>2.625405493056845E-7</v>
      </c>
      <c r="Q62" s="256" t="s">
        <v>21</v>
      </c>
      <c r="R62" s="262">
        <f>Utilidad!E59</f>
        <v>0.01</v>
      </c>
    </row>
    <row r="63" spans="2:18" ht="15.75" customHeight="1" x14ac:dyDescent="0.35">
      <c r="B63" s="256" t="s">
        <v>231</v>
      </c>
      <c r="C63" s="261">
        <f>Utilidad!A60</f>
        <v>961571.28708582534</v>
      </c>
      <c r="D63" s="262">
        <f>IF(Utilidad!C60&gt;1,Utilidad!C60/100,Utilidad!C60)</f>
        <v>0.65373000000000003</v>
      </c>
      <c r="F63" s="256" t="s">
        <v>231</v>
      </c>
      <c r="G63" s="261">
        <f>Utilidad!B60</f>
        <v>1014741.2459</v>
      </c>
      <c r="H63" s="262">
        <f>IF(Utilidad!D60&gt;1,Utilidad!D60/100,Utilidad!D60)</f>
        <v>0.65535782708000001</v>
      </c>
      <c r="J63" s="263">
        <f t="shared" si="0"/>
        <v>5.5294869479010279E-2</v>
      </c>
      <c r="K63" s="263">
        <f t="shared" si="1"/>
        <v>2.4900602389365291E-3</v>
      </c>
      <c r="L63" s="1"/>
      <c r="M63" s="265">
        <f t="shared" si="2"/>
        <v>5.5294869479010279E-2</v>
      </c>
      <c r="N63" s="265">
        <f t="shared" si="3"/>
        <v>2.4900602389365291E-3</v>
      </c>
      <c r="Q63" s="256" t="s">
        <v>231</v>
      </c>
      <c r="R63" s="262">
        <f>Utilidad!E60</f>
        <v>0.01</v>
      </c>
    </row>
    <row r="64" spans="2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A8D08D"/>
    <pageSetUpPr fitToPage="1"/>
  </sheetPr>
  <dimension ref="B2:AA1000"/>
  <sheetViews>
    <sheetView showGridLines="0" tabSelected="1" topLeftCell="A78" workbookViewId="0">
      <selection activeCell="I104" sqref="I104"/>
    </sheetView>
  </sheetViews>
  <sheetFormatPr baseColWidth="10" defaultColWidth="14.42578125" defaultRowHeight="15" customHeight="1" x14ac:dyDescent="0.25"/>
  <cols>
    <col min="1" max="1" width="2.42578125" customWidth="1"/>
    <col min="2" max="3" width="10.7109375" customWidth="1"/>
    <col min="4" max="4" width="14.140625" customWidth="1"/>
    <col min="5" max="5" width="17.140625" customWidth="1"/>
    <col min="6" max="6" width="12.42578125" customWidth="1"/>
    <col min="7" max="7" width="15.42578125" customWidth="1"/>
    <col min="8" max="8" width="15.7109375" customWidth="1"/>
    <col min="10" max="10" width="20.140625" customWidth="1"/>
    <col min="11" max="11" width="16.140625" customWidth="1"/>
    <col min="12" max="12" width="10.85546875" customWidth="1"/>
    <col min="13" max="13" width="12.42578125" customWidth="1"/>
    <col min="14" max="14" width="13" customWidth="1"/>
    <col min="15" max="15" width="13.42578125" customWidth="1"/>
    <col min="16" max="17" width="10.7109375" customWidth="1"/>
    <col min="18" max="18" width="15.140625" customWidth="1"/>
    <col min="19" max="19" width="12.140625" customWidth="1"/>
    <col min="20" max="20" width="11.42578125" customWidth="1"/>
    <col min="21" max="21" width="15" customWidth="1"/>
    <col min="22" max="22" width="18.42578125" customWidth="1"/>
    <col min="23" max="23" width="12" customWidth="1"/>
    <col min="24" max="27" width="10.7109375" customWidth="1"/>
  </cols>
  <sheetData>
    <row r="2" spans="2:24" x14ac:dyDescent="0.25">
      <c r="B2" s="7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76"/>
    </row>
    <row r="3" spans="2:24" x14ac:dyDescent="0.25">
      <c r="B3" s="7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8"/>
    </row>
    <row r="4" spans="2:24" ht="15.75" x14ac:dyDescent="0.25">
      <c r="B4" s="77"/>
      <c r="C4" s="1"/>
      <c r="D4" s="1"/>
      <c r="E4" s="1"/>
      <c r="F4" s="266">
        <f>+Utilidad!N67</f>
        <v>808136.74450999999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78"/>
    </row>
    <row r="5" spans="2:24" ht="15.75" x14ac:dyDescent="0.25">
      <c r="B5" s="77"/>
      <c r="C5" s="1"/>
      <c r="D5" s="1"/>
      <c r="E5" s="1"/>
      <c r="F5" s="267">
        <f>+Utilidad!O67</f>
        <v>0.61554367526999998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78"/>
    </row>
    <row r="6" spans="2:24" ht="15.75" x14ac:dyDescent="0.25">
      <c r="B6" s="77"/>
      <c r="C6" s="1"/>
      <c r="D6" s="1"/>
      <c r="E6" s="1"/>
      <c r="F6" s="268">
        <f>+Utilidad!P67</f>
        <v>497443.46183641837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78"/>
    </row>
    <row r="7" spans="2:24" x14ac:dyDescent="0.25">
      <c r="B7" s="7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78"/>
    </row>
    <row r="8" spans="2:24" x14ac:dyDescent="0.25">
      <c r="B8" s="7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78"/>
    </row>
    <row r="9" spans="2:24" ht="15.75" x14ac:dyDescent="0.25">
      <c r="B9" s="7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66">
        <f>+Utilidad!N68</f>
        <v>206448.46539999999</v>
      </c>
      <c r="P9" s="1"/>
      <c r="Q9" s="1"/>
      <c r="R9" s="1"/>
      <c r="S9" s="1"/>
      <c r="T9" s="1"/>
      <c r="U9" s="1"/>
      <c r="V9" s="1"/>
      <c r="W9" s="1"/>
      <c r="X9" s="78"/>
    </row>
    <row r="10" spans="2:24" ht="15.75" x14ac:dyDescent="0.25">
      <c r="B10" s="7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67">
        <f>+Utilidad!O68</f>
        <v>0.64376688000000004</v>
      </c>
      <c r="P10" s="1"/>
      <c r="Q10" s="1"/>
      <c r="R10" s="1"/>
      <c r="S10" s="1"/>
      <c r="T10" s="1"/>
      <c r="U10" s="1"/>
      <c r="V10" s="1"/>
      <c r="W10" s="1"/>
      <c r="X10" s="78"/>
    </row>
    <row r="11" spans="2:24" ht="15.75" x14ac:dyDescent="0.25">
      <c r="B11" s="7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68">
        <f>+Utilidad!P68</f>
        <v>132904.68445134597</v>
      </c>
      <c r="P11" s="1"/>
      <c r="Q11" s="1"/>
      <c r="R11" s="1"/>
      <c r="S11" s="1"/>
      <c r="T11" s="1"/>
      <c r="U11" s="1"/>
      <c r="V11" s="1"/>
      <c r="W11" s="1"/>
      <c r="X11" s="78"/>
    </row>
    <row r="12" spans="2:24" ht="15.75" x14ac:dyDescent="0.25">
      <c r="B12" s="77"/>
      <c r="C12" s="1"/>
      <c r="D12" s="1"/>
      <c r="E12" s="1"/>
      <c r="F12" s="1"/>
      <c r="G12" s="266">
        <f>Flujos!G6</f>
        <v>601688.27911</v>
      </c>
      <c r="H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78"/>
    </row>
    <row r="13" spans="2:24" ht="15.75" x14ac:dyDescent="0.25">
      <c r="B13" s="77"/>
      <c r="C13" s="1"/>
      <c r="D13" s="1"/>
      <c r="E13" s="1"/>
      <c r="F13" s="1"/>
      <c r="G13" s="267">
        <f>+Utilidad!O69</f>
        <v>0.60585986139000003</v>
      </c>
      <c r="H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78"/>
    </row>
    <row r="14" spans="2:24" ht="15.75" x14ac:dyDescent="0.25">
      <c r="B14" s="77"/>
      <c r="C14" s="1"/>
      <c r="D14" s="1"/>
      <c r="E14" s="1"/>
      <c r="F14" s="1"/>
      <c r="G14" s="268">
        <f>+Utilidad!P69</f>
        <v>389190.16778553033</v>
      </c>
      <c r="H14" s="1"/>
      <c r="I14" s="1"/>
      <c r="J14" s="1"/>
      <c r="K14" s="1"/>
      <c r="L14" s="266">
        <f>+Utilidad!N110</f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8"/>
    </row>
    <row r="15" spans="2:24" ht="15.75" x14ac:dyDescent="0.25">
      <c r="B15" s="77"/>
      <c r="C15" s="1"/>
      <c r="D15" s="1"/>
      <c r="E15" s="1"/>
      <c r="F15" s="1"/>
      <c r="G15" s="1"/>
      <c r="H15" s="1"/>
      <c r="I15" s="1"/>
      <c r="J15" s="1"/>
      <c r="K15" s="1"/>
      <c r="L15" s="267">
        <f>+Utilidad!O110</f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78"/>
    </row>
    <row r="16" spans="2:24" ht="15.75" x14ac:dyDescent="0.25">
      <c r="B16" s="77"/>
      <c r="C16" s="1"/>
      <c r="D16" s="1"/>
      <c r="E16" s="1"/>
      <c r="F16" s="1"/>
      <c r="G16" s="1"/>
      <c r="H16" s="1"/>
      <c r="I16" s="81">
        <f>+Utilidad!N70</f>
        <v>-30921.023289000001</v>
      </c>
      <c r="J16" s="1"/>
      <c r="K16" s="1"/>
      <c r="L16" s="268">
        <f>+Utilidad!P110</f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78"/>
    </row>
    <row r="17" spans="2:27" ht="15.75" x14ac:dyDescent="0.25">
      <c r="B17" s="77"/>
      <c r="C17" s="1"/>
      <c r="D17" s="1"/>
      <c r="E17" s="1"/>
      <c r="F17" s="1"/>
      <c r="G17" s="1"/>
      <c r="H17" s="1"/>
      <c r="I17" s="85">
        <f>+Utilidad!P70</f>
        <v>-19197.788699975692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79">
        <f>+Utilidad!N122</f>
        <v>319149.63602999999</v>
      </c>
      <c r="V17" s="1"/>
      <c r="W17" s="1"/>
      <c r="X17" s="78"/>
    </row>
    <row r="18" spans="2:27" ht="15.75" x14ac:dyDescent="0.25">
      <c r="B18" s="7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69">
        <f>+Utilidad!N123</f>
        <v>-101238.57047000001</v>
      </c>
      <c r="S18" s="1"/>
      <c r="T18" s="1"/>
      <c r="U18" s="82">
        <f>+Utilidad!O122</f>
        <v>0.63656400000000002</v>
      </c>
      <c r="V18" s="1"/>
      <c r="W18" s="1"/>
      <c r="X18" s="78"/>
    </row>
    <row r="19" spans="2:27" ht="15.75" x14ac:dyDescent="0.25">
      <c r="B19" s="77"/>
      <c r="C19" s="1"/>
      <c r="D19" s="1"/>
      <c r="E19" s="1"/>
      <c r="F19" s="1"/>
      <c r="G19" s="1"/>
      <c r="H19" s="1"/>
      <c r="I19" s="80">
        <f>+Utilidad!N71</f>
        <v>632609.30240000004</v>
      </c>
      <c r="J19" s="1"/>
      <c r="K19" s="1"/>
      <c r="L19" s="1"/>
      <c r="M19" s="1"/>
      <c r="N19" s="1"/>
      <c r="O19" s="1"/>
      <c r="P19" s="1"/>
      <c r="Q19" s="1"/>
      <c r="R19" s="84">
        <f>+Utilidad!P123</f>
        <v>-62992.319739444865</v>
      </c>
      <c r="S19" s="1"/>
      <c r="T19" s="1"/>
      <c r="U19" s="84">
        <f>+Utilidad!P122</f>
        <v>203159.16890980091</v>
      </c>
      <c r="V19" s="1"/>
      <c r="W19" s="1"/>
      <c r="X19" s="78"/>
    </row>
    <row r="20" spans="2:27" ht="15.75" x14ac:dyDescent="0.25">
      <c r="B20" s="77"/>
      <c r="C20" s="1"/>
      <c r="D20" s="1"/>
      <c r="E20" s="1"/>
      <c r="F20" s="1"/>
      <c r="G20" s="1"/>
      <c r="H20" s="1"/>
      <c r="I20" s="83">
        <f>+Utilidad!O71</f>
        <v>0.60659330274000001</v>
      </c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78"/>
    </row>
    <row r="21" spans="2:27" ht="15.75" customHeight="1" x14ac:dyDescent="0.25">
      <c r="B21" s="77"/>
      <c r="C21" s="1"/>
      <c r="D21" s="1"/>
      <c r="E21" s="1"/>
      <c r="F21" s="1"/>
      <c r="G21" s="1"/>
      <c r="H21" s="1"/>
      <c r="I21" s="85">
        <f>+Utilidad!P71</f>
        <v>383736.56608686346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78"/>
    </row>
    <row r="22" spans="2:27" ht="15.75" customHeight="1" x14ac:dyDescent="0.25">
      <c r="B22" s="7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9">
        <f>+Utilidad!N119</f>
        <v>11462.60016</v>
      </c>
      <c r="S22" s="1"/>
      <c r="U22" s="1"/>
      <c r="V22" s="1"/>
      <c r="W22" s="1"/>
      <c r="X22" s="78"/>
    </row>
    <row r="23" spans="2:27" ht="15.75" customHeight="1" x14ac:dyDescent="0.25">
      <c r="B23" s="77"/>
      <c r="C23" s="1"/>
      <c r="D23" s="1"/>
      <c r="E23" s="1"/>
      <c r="F23" s="1"/>
      <c r="G23" s="1"/>
      <c r="H23" s="1"/>
      <c r="I23" s="1"/>
      <c r="J23" s="1"/>
      <c r="K23" s="270"/>
      <c r="L23" s="1"/>
      <c r="M23" s="1"/>
      <c r="N23" s="1"/>
      <c r="O23" s="1"/>
      <c r="P23" s="1"/>
      <c r="Q23" s="1"/>
      <c r="R23" s="82">
        <f>+Utilidad!O119</f>
        <v>0.63355300000000003</v>
      </c>
      <c r="S23" s="1"/>
      <c r="T23" s="1"/>
      <c r="U23" s="1"/>
      <c r="V23" s="1"/>
      <c r="W23" s="1"/>
      <c r="X23" s="78"/>
    </row>
    <row r="24" spans="2:27" ht="15.75" customHeight="1" x14ac:dyDescent="0.25">
      <c r="B24" s="7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4">
        <f>+Utilidad!P119</f>
        <v>7262.1647191684806</v>
      </c>
      <c r="S24" s="1"/>
      <c r="T24" s="1"/>
      <c r="U24" s="1"/>
      <c r="V24" s="1"/>
      <c r="W24" s="1"/>
      <c r="X24" s="78"/>
    </row>
    <row r="25" spans="2:27" ht="15.75" customHeight="1" x14ac:dyDescent="0.25">
      <c r="B25" s="77"/>
      <c r="C25" s="1"/>
      <c r="D25" s="1"/>
      <c r="E25" s="1"/>
      <c r="F25" s="1"/>
      <c r="G25" s="1"/>
      <c r="H25" s="1"/>
      <c r="I25" s="1"/>
      <c r="J25" s="1"/>
      <c r="K25" s="27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78"/>
    </row>
    <row r="26" spans="2:27" ht="15.75" customHeight="1" x14ac:dyDescent="0.25">
      <c r="B26" s="77"/>
      <c r="C26" s="1"/>
      <c r="D26" s="1"/>
      <c r="E26" s="1"/>
      <c r="F26" s="1"/>
      <c r="G26" s="1"/>
      <c r="H26" s="1"/>
      <c r="I26" s="81">
        <f>+Utilidad!N72</f>
        <v>-3702.9173034999999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9"/>
      <c r="U26" s="1"/>
      <c r="V26" s="1"/>
      <c r="W26" s="1"/>
      <c r="X26" s="78"/>
    </row>
    <row r="27" spans="2:27" ht="15.75" customHeight="1" x14ac:dyDescent="0.25">
      <c r="B27" s="77"/>
      <c r="C27" s="1"/>
      <c r="D27" s="1"/>
      <c r="E27" s="1"/>
      <c r="F27" s="1"/>
      <c r="G27" s="1"/>
      <c r="H27" s="1"/>
      <c r="I27" s="85">
        <f>+Utilidad!P72</f>
        <v>-2241.3550381160094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78"/>
    </row>
    <row r="28" spans="2:27" ht="15.75" customHeight="1" x14ac:dyDescent="0.25">
      <c r="B28" s="77"/>
      <c r="C28" s="1"/>
      <c r="D28" s="1"/>
      <c r="E28" s="1"/>
      <c r="F28" s="51"/>
      <c r="G28" s="1"/>
      <c r="H28" s="1"/>
      <c r="I28" s="1"/>
      <c r="J28" s="1"/>
      <c r="K28" s="83"/>
      <c r="L28" s="1"/>
      <c r="M28" s="1"/>
      <c r="N28" s="1"/>
      <c r="O28" s="1"/>
      <c r="P28" s="1"/>
      <c r="Q28" s="1"/>
      <c r="R28" s="1"/>
      <c r="S28" s="1"/>
      <c r="T28" s="1"/>
      <c r="U28" s="1"/>
      <c r="V28" s="19">
        <f>11624+Y37</f>
        <v>15960</v>
      </c>
      <c r="W28" s="1"/>
      <c r="X28" s="78"/>
    </row>
    <row r="29" spans="2:27" ht="15.75" customHeight="1" x14ac:dyDescent="0.25">
      <c r="B29" s="77"/>
      <c r="C29" s="1"/>
      <c r="D29" s="1"/>
      <c r="E29" s="1"/>
      <c r="F29" s="1"/>
      <c r="G29" s="1"/>
      <c r="H29" s="1"/>
      <c r="I29" s="80">
        <f>+Utilidad!N73</f>
        <v>636312.21970000002</v>
      </c>
      <c r="J29" s="1"/>
      <c r="K29" s="1"/>
      <c r="L29" s="1"/>
      <c r="M29" s="1"/>
      <c r="N29" s="79">
        <f>+Utilidad!N107</f>
        <v>6505.9</v>
      </c>
      <c r="O29" s="1"/>
      <c r="P29" s="1"/>
      <c r="Q29" s="1"/>
      <c r="R29" s="1"/>
      <c r="S29" s="1"/>
      <c r="T29" s="1"/>
      <c r="U29" s="1"/>
      <c r="V29" s="1"/>
      <c r="W29" s="1"/>
      <c r="X29" s="78"/>
    </row>
    <row r="30" spans="2:27" ht="15.75" customHeight="1" x14ac:dyDescent="0.25">
      <c r="B30" s="77"/>
      <c r="C30" s="1"/>
      <c r="D30" s="1"/>
      <c r="E30" s="1"/>
      <c r="F30" s="1"/>
      <c r="G30" s="1"/>
      <c r="H30" s="1"/>
      <c r="I30" s="83">
        <f>+Utilidad!O73</f>
        <v>0.60658574386999997</v>
      </c>
      <c r="J30" s="270"/>
      <c r="K30" s="1"/>
      <c r="L30" s="1"/>
      <c r="M30" s="1"/>
      <c r="N30" s="82">
        <f>+Utilidad!O107</f>
        <v>0.65709587912999989</v>
      </c>
      <c r="O30" s="1"/>
      <c r="P30" s="1"/>
      <c r="Q30" s="1"/>
      <c r="R30" s="1"/>
      <c r="S30" s="1"/>
      <c r="T30" s="1"/>
      <c r="U30" s="1"/>
      <c r="V30" s="19">
        <f>V28-Y37</f>
        <v>11624</v>
      </c>
      <c r="W30" s="1"/>
      <c r="X30" s="78"/>
      <c r="AA30" s="19">
        <f>4336-R35-Q40</f>
        <v>3164</v>
      </c>
    </row>
    <row r="31" spans="2:27" ht="15.75" customHeight="1" x14ac:dyDescent="0.25">
      <c r="B31" s="77"/>
      <c r="C31" s="1"/>
      <c r="D31" s="1"/>
      <c r="E31" s="1"/>
      <c r="F31" s="266">
        <f>+Utilidad!N75</f>
        <v>89824.393987999996</v>
      </c>
      <c r="G31" s="1"/>
      <c r="H31" s="1"/>
      <c r="I31" s="85">
        <f>+Utilidad!P73</f>
        <v>385977.92112029536</v>
      </c>
      <c r="J31" s="1"/>
      <c r="K31" s="1"/>
      <c r="L31" s="1"/>
      <c r="M31" s="1"/>
      <c r="N31" s="84">
        <f>+Utilidad!P107</f>
        <v>4275.0000800318658</v>
      </c>
      <c r="O31" s="1"/>
      <c r="P31" s="1"/>
      <c r="Q31" s="1"/>
      <c r="R31" s="1"/>
      <c r="S31" s="1"/>
      <c r="T31" s="1"/>
      <c r="U31" s="1"/>
      <c r="V31" s="1"/>
      <c r="W31" s="1"/>
      <c r="X31" s="78"/>
    </row>
    <row r="32" spans="2:27" ht="15.75" customHeight="1" x14ac:dyDescent="0.25">
      <c r="B32" s="77"/>
      <c r="C32" s="1"/>
      <c r="D32" s="1"/>
      <c r="E32" s="1"/>
      <c r="F32" s="267">
        <f>+Utilidad!O75</f>
        <v>8.2393310999999997E-2</v>
      </c>
      <c r="G32" s="1"/>
      <c r="H32" s="1"/>
      <c r="I32" s="1"/>
      <c r="J32" s="1"/>
      <c r="K32" s="1"/>
      <c r="L32" s="1"/>
      <c r="M32" s="1"/>
      <c r="O32" s="1"/>
      <c r="P32" s="272">
        <f>+Q32/O34</f>
        <v>0.15264590578152881</v>
      </c>
      <c r="Q32" s="79">
        <f>+Utilidad!N108</f>
        <v>1172</v>
      </c>
      <c r="R32" s="1"/>
      <c r="S32" s="1"/>
      <c r="T32" s="1"/>
      <c r="U32" s="1"/>
      <c r="V32" s="1"/>
      <c r="W32" s="1"/>
      <c r="X32" s="78"/>
    </row>
    <row r="33" spans="2:25" ht="15.75" customHeight="1" x14ac:dyDescent="0.25">
      <c r="B33" s="77"/>
      <c r="C33" s="1"/>
      <c r="D33" s="1"/>
      <c r="E33" s="1"/>
      <c r="F33" s="268">
        <f>+Utilidad!P75</f>
        <v>7400.929229239814</v>
      </c>
      <c r="G33" s="1"/>
      <c r="H33" s="1"/>
      <c r="I33" s="1"/>
      <c r="J33" s="1"/>
      <c r="K33" s="1"/>
      <c r="L33" s="1"/>
      <c r="M33" s="1"/>
      <c r="N33" s="1"/>
      <c r="O33" s="19"/>
      <c r="P33" s="1"/>
      <c r="Q33" s="82">
        <f>+Utilidad!O108</f>
        <v>0.61060999999999999</v>
      </c>
      <c r="R33" s="1"/>
      <c r="S33" s="1"/>
      <c r="T33" s="1"/>
      <c r="U33" s="1"/>
      <c r="V33" s="1"/>
      <c r="W33" s="1"/>
      <c r="X33" s="78"/>
    </row>
    <row r="34" spans="2:25" ht="15.75" customHeight="1" x14ac:dyDescent="0.25">
      <c r="B34" s="77"/>
      <c r="C34" s="1"/>
      <c r="D34" s="1"/>
      <c r="E34" s="1"/>
      <c r="F34" s="1"/>
      <c r="G34" s="1"/>
      <c r="H34" s="1"/>
      <c r="I34" s="1"/>
      <c r="J34" s="80">
        <f>+Utilidad!N74</f>
        <v>0</v>
      </c>
      <c r="K34" s="1"/>
      <c r="L34" s="1"/>
      <c r="M34" s="1"/>
      <c r="N34" s="1"/>
      <c r="O34" s="80">
        <f>+Utilidad!N106</f>
        <v>7677.9</v>
      </c>
      <c r="P34" s="1"/>
      <c r="Q34" s="84">
        <f>+Utilidad!P108</f>
        <v>715.63491999999997</v>
      </c>
      <c r="R34" s="1"/>
      <c r="S34" s="1"/>
      <c r="T34" s="1"/>
      <c r="U34" s="1"/>
      <c r="V34" s="1"/>
      <c r="W34" s="1"/>
      <c r="X34" s="78"/>
    </row>
    <row r="35" spans="2:25" ht="15.75" customHeight="1" x14ac:dyDescent="0.25">
      <c r="B35" s="77"/>
      <c r="C35" s="1"/>
      <c r="D35" s="1"/>
      <c r="E35" s="1"/>
      <c r="F35" s="1"/>
      <c r="G35" s="1"/>
      <c r="H35" s="1"/>
      <c r="I35" s="1"/>
      <c r="J35" s="83">
        <f>+Utilidad!O74</f>
        <v>0.62024485386999995</v>
      </c>
      <c r="K35" s="1"/>
      <c r="L35" s="1"/>
      <c r="M35" s="1"/>
      <c r="N35" s="1"/>
      <c r="O35" s="83">
        <f>+Utilidad!O106</f>
        <v>0.65</v>
      </c>
      <c r="P35" s="1"/>
      <c r="Q35" s="1"/>
      <c r="R35" s="79">
        <f>+Utilidad!N109</f>
        <v>1172</v>
      </c>
      <c r="S35" s="1"/>
      <c r="T35" s="1"/>
      <c r="U35" s="1"/>
      <c r="V35" s="1"/>
      <c r="W35" s="1"/>
      <c r="X35" s="78"/>
    </row>
    <row r="36" spans="2:25" ht="15.75" customHeight="1" x14ac:dyDescent="0.25">
      <c r="B36" s="77"/>
      <c r="C36" s="1"/>
      <c r="D36" s="1"/>
      <c r="E36" s="1"/>
      <c r="F36" s="1"/>
      <c r="G36" s="1"/>
      <c r="H36" s="1"/>
      <c r="I36" s="1"/>
      <c r="J36" s="85">
        <f>+Utilidad!P74</f>
        <v>0</v>
      </c>
      <c r="K36" s="1"/>
      <c r="L36" s="80">
        <f>+J34+J44+J53+K59</f>
        <v>2947.0469229</v>
      </c>
      <c r="M36" s="1"/>
      <c r="O36" s="85">
        <f>+Utilidad!P106</f>
        <v>4990.6350000000002</v>
      </c>
      <c r="P36" s="1"/>
      <c r="Q36" s="1"/>
      <c r="R36" s="82">
        <f>+Utilidad!O109</f>
        <v>0.61060999999999999</v>
      </c>
      <c r="S36" s="1"/>
      <c r="T36" s="1"/>
      <c r="U36" s="1"/>
      <c r="V36" s="1"/>
      <c r="W36" s="1"/>
      <c r="X36" s="78"/>
    </row>
    <row r="37" spans="2:25" ht="15.75" customHeight="1" x14ac:dyDescent="0.25">
      <c r="B37" s="77"/>
      <c r="C37" s="1"/>
      <c r="D37" s="1"/>
      <c r="E37" s="1"/>
      <c r="F37" s="19">
        <f>+G53+F31+J34</f>
        <v>317403.552578</v>
      </c>
      <c r="G37" s="1"/>
      <c r="H37" s="1"/>
      <c r="I37" s="80">
        <f>+Utilidad!N76</f>
        <v>546487.82571999996</v>
      </c>
      <c r="J37" s="1"/>
      <c r="K37" s="1"/>
      <c r="L37" s="83">
        <f>+IF(L36&lt;&gt;0,(J34*J35+J44*J45+J53*J54+K59*K60)/L36,0)</f>
        <v>0.65064999999999995</v>
      </c>
      <c r="M37" s="1"/>
      <c r="P37" s="1"/>
      <c r="Q37" s="1"/>
      <c r="R37" s="84">
        <f>+Utilidad!P109</f>
        <v>715.63491999999997</v>
      </c>
      <c r="S37" s="1"/>
      <c r="T37" s="1"/>
      <c r="U37" s="1"/>
      <c r="V37" s="1"/>
      <c r="W37" s="1"/>
      <c r="X37" s="78"/>
      <c r="Y37" s="19">
        <f>R35+AA30</f>
        <v>4336</v>
      </c>
    </row>
    <row r="38" spans="2:25" ht="15.75" customHeight="1" x14ac:dyDescent="0.25">
      <c r="B38" s="77"/>
      <c r="C38" s="1"/>
      <c r="D38" s="1"/>
      <c r="E38" s="1"/>
      <c r="F38" s="1">
        <f>+I37/I29</f>
        <v>0.85883597517214227</v>
      </c>
      <c r="G38" s="1"/>
      <c r="H38" s="1"/>
      <c r="I38" s="83">
        <f>+Utilidad!O76</f>
        <v>0.69274551798000006</v>
      </c>
      <c r="J38" s="1"/>
      <c r="K38" s="1"/>
      <c r="L38" s="85">
        <f>+L36*L37</f>
        <v>1917.4960803848849</v>
      </c>
      <c r="M38" s="81">
        <f>+Utilidad!N93</f>
        <v>1775.0469229</v>
      </c>
      <c r="P38" s="1"/>
      <c r="Q38" s="1"/>
      <c r="R38" s="1"/>
      <c r="S38" s="1"/>
      <c r="T38" s="1"/>
      <c r="U38" s="1"/>
      <c r="V38" s="1"/>
      <c r="W38" s="1"/>
      <c r="X38" s="78"/>
    </row>
    <row r="39" spans="2:25" ht="15.75" customHeight="1" x14ac:dyDescent="0.25">
      <c r="B39" s="77"/>
      <c r="C39" s="1"/>
      <c r="D39" s="1"/>
      <c r="E39" s="1"/>
      <c r="F39" s="1"/>
      <c r="G39" s="1"/>
      <c r="H39" s="1"/>
      <c r="I39" s="85">
        <f>+Utilidad!P76</f>
        <v>378576.99189816538</v>
      </c>
      <c r="J39" s="1"/>
      <c r="K39" s="1"/>
      <c r="L39" s="1"/>
      <c r="M39" s="1"/>
      <c r="N39" s="1"/>
      <c r="O39" s="80">
        <f>+Utilidad!N112</f>
        <v>1261.7594999999999</v>
      </c>
      <c r="P39" s="1"/>
      <c r="R39" s="1"/>
      <c r="S39" s="1"/>
      <c r="T39" s="79">
        <f>+Utilidad!N120</f>
        <v>0</v>
      </c>
      <c r="U39" s="1"/>
      <c r="V39" s="1"/>
      <c r="W39" s="1"/>
      <c r="X39" s="78"/>
      <c r="Y39" s="19">
        <f>N29+Y37</f>
        <v>10841.9</v>
      </c>
    </row>
    <row r="40" spans="2:25" ht="15.75" customHeight="1" x14ac:dyDescent="0.25">
      <c r="B40" s="7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83">
        <f>+Utilidad!O112</f>
        <v>0.64476981155999991</v>
      </c>
      <c r="P40" s="1"/>
      <c r="Q40" s="79">
        <f>+Utilidad!N113</f>
        <v>0</v>
      </c>
      <c r="R40" s="1"/>
      <c r="S40" s="81">
        <f>+Utilidad!N121</f>
        <v>1525.3998399</v>
      </c>
      <c r="T40" s="82">
        <f>+Utilidad!O120</f>
        <v>0</v>
      </c>
      <c r="U40" s="1"/>
      <c r="V40" s="1"/>
      <c r="W40" s="1"/>
      <c r="X40" s="78"/>
    </row>
    <row r="41" spans="2:25" ht="15.75" customHeight="1" x14ac:dyDescent="0.25">
      <c r="B41" s="7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85">
        <f>+Utilidad!P112</f>
        <v>813.54443504903963</v>
      </c>
      <c r="P41" s="1"/>
      <c r="Q41" s="82">
        <f>+Utilidad!O113</f>
        <v>0.64999983181000009</v>
      </c>
      <c r="R41" s="1"/>
      <c r="S41" s="85">
        <f>+Utilidad!P121</f>
        <v>947.2234831699426</v>
      </c>
      <c r="T41" s="84">
        <f>+Utilidad!P120</f>
        <v>0</v>
      </c>
      <c r="U41" s="1"/>
      <c r="V41" s="1"/>
      <c r="W41" s="1"/>
      <c r="X41" s="78"/>
    </row>
    <row r="42" spans="2:25" ht="15.75" customHeight="1" x14ac:dyDescent="0.25">
      <c r="B42" s="7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84">
        <f>+Utilidad!P113</f>
        <v>0</v>
      </c>
      <c r="R42" s="1"/>
      <c r="S42" s="1"/>
      <c r="T42" s="1"/>
      <c r="U42" s="1"/>
      <c r="V42" s="1"/>
      <c r="W42" s="1"/>
      <c r="X42" s="78"/>
    </row>
    <row r="43" spans="2:25" ht="15.75" customHeight="1" x14ac:dyDescent="0.25">
      <c r="B43" s="7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9"/>
      <c r="T43" s="1"/>
      <c r="U43" s="1"/>
      <c r="V43" s="1"/>
      <c r="W43" s="1"/>
      <c r="X43" s="78"/>
    </row>
    <row r="44" spans="2:25" ht="15.75" customHeight="1" x14ac:dyDescent="0.25">
      <c r="B44" s="77"/>
      <c r="C44" s="80">
        <f>+Utilidad!N89</f>
        <v>213575.72039999999</v>
      </c>
      <c r="D44" s="1"/>
      <c r="E44" s="1"/>
      <c r="F44" s="80">
        <f>+Utilidad!N87</f>
        <v>223095.88159999999</v>
      </c>
      <c r="G44" s="1"/>
      <c r="H44" s="1"/>
      <c r="I44" s="1"/>
      <c r="J44" s="80">
        <f>+Utilidad!N78</f>
        <v>0</v>
      </c>
      <c r="K44" s="1"/>
      <c r="L44" s="1"/>
      <c r="M44" s="1"/>
      <c r="O44" s="80">
        <f>+Utilidad!N111</f>
        <v>1261.7594999999999</v>
      </c>
      <c r="P44" s="1"/>
      <c r="Q44" s="1"/>
      <c r="R44" s="1"/>
      <c r="S44" s="1"/>
      <c r="T44" s="1"/>
      <c r="U44" s="1"/>
      <c r="V44" s="1"/>
      <c r="W44" s="1"/>
      <c r="X44" s="78"/>
    </row>
    <row r="45" spans="2:25" ht="15.75" customHeight="1" x14ac:dyDescent="0.25">
      <c r="B45" s="77"/>
      <c r="C45" s="83">
        <f>+Utilidad!O89</f>
        <v>0.68480000000000008</v>
      </c>
      <c r="D45" s="1"/>
      <c r="E45" s="1"/>
      <c r="F45" s="83">
        <f>+Utilidad!O87</f>
        <v>0.68486958087999994</v>
      </c>
      <c r="G45" s="1"/>
      <c r="H45" s="1"/>
      <c r="I45" s="1"/>
      <c r="J45" s="83">
        <f>+Utilidad!O78</f>
        <v>0</v>
      </c>
      <c r="K45" s="1"/>
      <c r="L45" s="1"/>
      <c r="M45" s="1"/>
      <c r="O45" s="83">
        <f>+Utilidad!O111</f>
        <v>0.64476981155999991</v>
      </c>
      <c r="P45" s="1"/>
      <c r="Q45" s="79"/>
      <c r="R45" s="79">
        <f>+Utilidad!N116</f>
        <v>11816</v>
      </c>
      <c r="S45" s="19"/>
      <c r="T45" s="1"/>
      <c r="U45" s="1"/>
      <c r="V45" s="1"/>
      <c r="W45" s="80">
        <f>+Utilidad!N126</f>
        <v>1014741.2459</v>
      </c>
      <c r="X45" s="78"/>
    </row>
    <row r="46" spans="2:25" ht="15.75" customHeight="1" x14ac:dyDescent="0.25">
      <c r="B46" s="77"/>
      <c r="C46" s="85">
        <f>+Utilidad!P89</f>
        <v>146256.65332992002</v>
      </c>
      <c r="D46" s="81">
        <f>+Utilidad!N88</f>
        <v>14003.438187</v>
      </c>
      <c r="E46" s="1"/>
      <c r="F46" s="85">
        <f>+Utilidad!P87</f>
        <v>152791.58292744608</v>
      </c>
      <c r="G46" s="1"/>
      <c r="H46" s="81">
        <f>+Utilidad!N77</f>
        <v>-3420</v>
      </c>
      <c r="J46" s="85">
        <f>+Utilidad!P78</f>
        <v>0</v>
      </c>
      <c r="K46" s="1"/>
      <c r="L46" s="1"/>
      <c r="M46" s="81">
        <f>+Utilidad!N95</f>
        <v>1471.68</v>
      </c>
      <c r="O46" s="85">
        <f>+Utilidad!P111</f>
        <v>813.54443504903963</v>
      </c>
      <c r="P46" s="1"/>
      <c r="Q46" s="82"/>
      <c r="R46" s="82">
        <f>+Utilidad!O116</f>
        <v>0.63420389999999993</v>
      </c>
      <c r="S46" s="1"/>
      <c r="T46" s="1"/>
      <c r="U46" s="1"/>
      <c r="V46" s="1"/>
      <c r="W46" s="83">
        <f>+Utilidad!O126</f>
        <v>0.65535782708000001</v>
      </c>
      <c r="X46" s="78"/>
    </row>
    <row r="47" spans="2:25" ht="15.75" customHeight="1" x14ac:dyDescent="0.25">
      <c r="B47" s="77"/>
      <c r="C47" s="1"/>
      <c r="D47" s="85">
        <f>+Utilidad!P88</f>
        <v>9554.7180472626096</v>
      </c>
      <c r="E47" s="1"/>
      <c r="F47" s="1"/>
      <c r="G47" s="1"/>
      <c r="H47" s="85">
        <f>+Utilidad!P77</f>
        <v>-2347.5794542199997</v>
      </c>
      <c r="I47" s="1"/>
      <c r="J47" s="1"/>
      <c r="K47" s="1"/>
      <c r="L47" s="1"/>
      <c r="M47" s="85">
        <f>+Utilidad!P95</f>
        <v>957.54859199999999</v>
      </c>
      <c r="N47" s="1"/>
      <c r="O47" s="1"/>
      <c r="P47" s="1"/>
      <c r="Q47" s="84"/>
      <c r="R47" s="84">
        <f>+Utilidad!P116</f>
        <v>7493.7532823999991</v>
      </c>
      <c r="S47" s="1"/>
      <c r="T47" s="1"/>
      <c r="U47" s="1"/>
      <c r="V47" s="1"/>
      <c r="W47" s="85">
        <f>+Utilidad!P126</f>
        <v>665018.61796147597</v>
      </c>
      <c r="X47" s="78"/>
      <c r="Y47" s="1" t="s">
        <v>232</v>
      </c>
    </row>
    <row r="48" spans="2:25" ht="15.75" customHeight="1" x14ac:dyDescent="0.25">
      <c r="B48" s="77"/>
      <c r="C48" s="1"/>
      <c r="D48" s="1"/>
      <c r="E48" s="1"/>
      <c r="F48" s="1"/>
      <c r="G48" s="1"/>
      <c r="H48" s="1"/>
      <c r="I48" s="80">
        <f>+Utilidad!N79</f>
        <v>549907.82571999996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79">
        <f>Utilidad!N124</f>
        <v>0</v>
      </c>
      <c r="U48" s="1"/>
      <c r="V48" s="1"/>
      <c r="W48" s="1"/>
      <c r="X48" s="78"/>
    </row>
    <row r="49" spans="2:25" ht="15.75" customHeight="1" x14ac:dyDescent="0.25">
      <c r="B49" s="77"/>
      <c r="C49" s="1"/>
      <c r="D49" s="80">
        <f>+Utilidad!N86</f>
        <v>4483.2769841999998</v>
      </c>
      <c r="E49" s="1"/>
      <c r="F49" s="1"/>
      <c r="G49" s="1"/>
      <c r="H49" s="1"/>
      <c r="I49" s="83">
        <f>+Utilidad!O79</f>
        <v>0.69270622008999994</v>
      </c>
      <c r="J49" s="1"/>
      <c r="K49" s="1"/>
      <c r="L49" s="1"/>
      <c r="M49" s="1"/>
      <c r="P49" s="1"/>
      <c r="Q49" s="1"/>
      <c r="R49" s="1"/>
      <c r="S49" s="1"/>
      <c r="T49" s="82">
        <f>+Utilidad!O124</f>
        <v>0</v>
      </c>
      <c r="U49" s="1"/>
      <c r="V49" s="1"/>
      <c r="W49" s="1"/>
      <c r="X49" s="78"/>
    </row>
    <row r="50" spans="2:25" ht="15.75" customHeight="1" x14ac:dyDescent="0.25">
      <c r="B50" s="77"/>
      <c r="C50" s="1"/>
      <c r="D50" s="83">
        <f>+Utilidad!O86</f>
        <v>0.67356722755999998</v>
      </c>
      <c r="E50" s="1"/>
      <c r="F50" s="1"/>
      <c r="G50" s="1"/>
      <c r="H50" s="1"/>
      <c r="I50" s="85">
        <f>+Utilidad!P79</f>
        <v>380924.57135241164</v>
      </c>
      <c r="J50" s="1"/>
      <c r="K50" s="273">
        <f>+L50/(F65+I57)</f>
        <v>4.3018129266612784E-3</v>
      </c>
      <c r="L50" s="80">
        <f>+Utilidad!N94</f>
        <v>1471.68</v>
      </c>
      <c r="M50" s="1"/>
      <c r="P50" s="1"/>
      <c r="Q50" s="1"/>
      <c r="R50" s="1"/>
      <c r="S50" s="1"/>
      <c r="T50" s="84">
        <f>+Utilidad!P124</f>
        <v>0</v>
      </c>
      <c r="U50" s="1"/>
      <c r="V50" s="1"/>
      <c r="W50" s="1"/>
      <c r="X50" s="78"/>
    </row>
    <row r="51" spans="2:25" ht="15.75" customHeight="1" x14ac:dyDescent="0.25">
      <c r="B51" s="77"/>
      <c r="C51" s="1"/>
      <c r="D51" s="85">
        <f>+Utilidad!P86</f>
        <v>3019.7884486311518</v>
      </c>
      <c r="E51" s="1"/>
      <c r="F51" s="1"/>
      <c r="G51" s="1"/>
      <c r="H51" s="1"/>
      <c r="I51" s="1"/>
      <c r="J51" s="1"/>
      <c r="K51" s="1"/>
      <c r="L51" s="83">
        <f>+Utilidad!O94</f>
        <v>0.65064999999999995</v>
      </c>
      <c r="M51" s="1"/>
      <c r="O51" s="79">
        <f>+Utilidad!N115</f>
        <v>27833</v>
      </c>
      <c r="P51" s="1"/>
      <c r="Q51" s="1"/>
      <c r="R51" s="79">
        <f>+Utilidad!N117</f>
        <v>0</v>
      </c>
      <c r="S51" s="1"/>
      <c r="T51" s="1"/>
      <c r="U51" s="1"/>
      <c r="V51" s="1"/>
      <c r="W51" s="1"/>
      <c r="X51" s="78"/>
    </row>
    <row r="52" spans="2:25" ht="15.75" customHeight="1" x14ac:dyDescent="0.25">
      <c r="B52" s="77"/>
      <c r="C52" s="1"/>
      <c r="D52" s="1"/>
      <c r="E52" s="1"/>
      <c r="F52" s="1"/>
      <c r="G52" s="1"/>
      <c r="H52" s="1"/>
      <c r="I52" s="1"/>
      <c r="J52" s="1"/>
      <c r="K52" s="1"/>
      <c r="L52" s="85">
        <f>+Utilidad!P94</f>
        <v>957.54859199999999</v>
      </c>
      <c r="M52" s="1"/>
      <c r="N52" s="1"/>
      <c r="O52" s="82">
        <f>+Utilidad!O115</f>
        <v>0.65607299999999991</v>
      </c>
      <c r="P52" s="1"/>
      <c r="Q52" s="1"/>
      <c r="R52" s="82">
        <f>+Utilidad!O117</f>
        <v>0</v>
      </c>
      <c r="S52" s="1"/>
      <c r="T52" s="1"/>
      <c r="U52" s="19">
        <f>R45+R35</f>
        <v>12988</v>
      </c>
      <c r="V52" s="1"/>
      <c r="W52" s="1"/>
      <c r="X52" s="78"/>
    </row>
    <row r="53" spans="2:25" ht="15.75" customHeight="1" x14ac:dyDescent="0.25">
      <c r="B53" s="77"/>
      <c r="C53" s="1"/>
      <c r="D53" s="1"/>
      <c r="E53" s="1"/>
      <c r="F53" s="1"/>
      <c r="G53" s="80">
        <f>+Utilidad!N80</f>
        <v>227579.15859000001</v>
      </c>
      <c r="H53" s="1"/>
      <c r="I53" s="1"/>
      <c r="J53" s="80">
        <f>+Utilidad!N82</f>
        <v>0</v>
      </c>
      <c r="K53" s="1"/>
      <c r="L53" s="1"/>
      <c r="M53" s="1"/>
      <c r="N53" s="1"/>
      <c r="O53" s="84">
        <f>+Utilidad!P115</f>
        <v>18260.479808999997</v>
      </c>
      <c r="P53" s="1"/>
      <c r="Q53" s="1"/>
      <c r="R53" s="84">
        <f>+Utilidad!P117</f>
        <v>0</v>
      </c>
      <c r="T53" s="1"/>
      <c r="U53" s="1"/>
      <c r="V53" s="1"/>
      <c r="W53" s="1"/>
      <c r="X53" s="78"/>
    </row>
    <row r="54" spans="2:25" ht="15.75" customHeight="1" x14ac:dyDescent="0.25">
      <c r="B54" s="77"/>
      <c r="C54" s="1"/>
      <c r="D54" s="1"/>
      <c r="E54" s="1"/>
      <c r="F54" s="1"/>
      <c r="G54" s="83">
        <f>+Utilidad!O80</f>
        <v>0.68464692613</v>
      </c>
      <c r="H54" s="1"/>
      <c r="I54" s="1"/>
      <c r="J54" s="83">
        <f>+Utilidad!O82</f>
        <v>0.68799980055999999</v>
      </c>
      <c r="K54" s="1"/>
      <c r="L54" s="1"/>
      <c r="M54" s="1"/>
      <c r="N54" s="1"/>
      <c r="O54" s="1"/>
      <c r="P54" s="1"/>
      <c r="Q54" s="1"/>
      <c r="R54" s="84"/>
      <c r="S54" s="1"/>
      <c r="T54" s="1"/>
      <c r="U54" s="1"/>
      <c r="V54" s="1"/>
      <c r="W54" s="1"/>
      <c r="X54" s="78"/>
    </row>
    <row r="55" spans="2:25" ht="15.75" customHeight="1" x14ac:dyDescent="0.25">
      <c r="B55" s="77"/>
      <c r="C55" s="1"/>
      <c r="D55" s="1"/>
      <c r="E55" s="274">
        <f>+Utilidad!N83</f>
        <v>4483.2769841999998</v>
      </c>
      <c r="F55" s="1"/>
      <c r="G55" s="85">
        <f>+Utilidad!P80</f>
        <v>155811.37137989528</v>
      </c>
      <c r="H55" s="1"/>
      <c r="I55" s="1"/>
      <c r="J55" s="85">
        <f>+Utilidad!P82</f>
        <v>0</v>
      </c>
      <c r="K55" s="1"/>
      <c r="L55" s="1"/>
      <c r="N55" s="1"/>
      <c r="P55" s="1"/>
      <c r="Q55" s="1"/>
      <c r="R55" s="1"/>
      <c r="S55" s="1"/>
      <c r="T55" s="1"/>
      <c r="U55" s="1"/>
      <c r="V55" s="1"/>
      <c r="W55" s="1"/>
      <c r="X55" s="78"/>
    </row>
    <row r="56" spans="2:25" ht="15.75" customHeight="1" x14ac:dyDescent="0.25">
      <c r="B56" s="77"/>
      <c r="C56" s="1"/>
      <c r="D56" s="1"/>
      <c r="E56" s="275">
        <f>+Utilidad!O83</f>
        <v>0.67356722755999998</v>
      </c>
      <c r="F56" s="1"/>
      <c r="G56" s="1"/>
      <c r="H56" s="1"/>
      <c r="I56" s="1"/>
      <c r="J56" s="1"/>
      <c r="K56" s="1"/>
      <c r="L56" s="83"/>
      <c r="M56" s="1"/>
      <c r="N56" s="1"/>
      <c r="O56" s="81">
        <f>+Utilidad!N102</f>
        <v>-12534.875</v>
      </c>
      <c r="P56" s="1"/>
      <c r="Q56" s="1"/>
      <c r="R56" s="80">
        <f>+Utilidad!N118</f>
        <v>16017</v>
      </c>
      <c r="T56" s="1"/>
      <c r="U56" s="1"/>
      <c r="V56" s="1"/>
      <c r="W56" s="1"/>
      <c r="X56" s="78"/>
    </row>
    <row r="57" spans="2:25" ht="15.75" customHeight="1" x14ac:dyDescent="0.25">
      <c r="B57" s="77"/>
      <c r="C57" s="1"/>
      <c r="D57" s="81">
        <f>+E55-D49-E60</f>
        <v>0</v>
      </c>
      <c r="E57" s="276">
        <f>+Utilidad!P83</f>
        <v>3019.7884486311518</v>
      </c>
      <c r="F57" s="1"/>
      <c r="G57" s="1"/>
      <c r="H57" s="1"/>
      <c r="I57" s="80">
        <f>+Utilidad!N81</f>
        <v>322328.66713000002</v>
      </c>
      <c r="J57" s="1"/>
      <c r="K57" s="1"/>
      <c r="L57" s="1"/>
      <c r="M57" s="1"/>
      <c r="O57" s="85">
        <f>+Utilidad!P102</f>
        <v>-8227.7068876124758</v>
      </c>
      <c r="P57" s="1"/>
      <c r="Q57" s="1"/>
      <c r="R57" s="83">
        <f>+Utilidad!O118</f>
        <v>0.67220618884000005</v>
      </c>
      <c r="S57" s="81">
        <f>+Utilidad!N125</f>
        <v>0</v>
      </c>
      <c r="T57" s="1"/>
      <c r="U57" s="1"/>
      <c r="V57" s="1"/>
      <c r="W57" s="1"/>
      <c r="X57" s="78"/>
    </row>
    <row r="58" spans="2:25" ht="15.75" customHeight="1" x14ac:dyDescent="0.25">
      <c r="B58" s="77"/>
      <c r="C58" s="1"/>
      <c r="D58" s="1"/>
      <c r="E58" s="1"/>
      <c r="F58" s="1"/>
      <c r="G58" s="1"/>
      <c r="H58" s="1"/>
      <c r="I58" s="83">
        <f>+Utilidad!O81</f>
        <v>0.69839645966000008</v>
      </c>
      <c r="J58" s="1"/>
      <c r="K58" s="1"/>
      <c r="L58" s="1"/>
      <c r="N58" s="79">
        <f>+Utilidad!N101</f>
        <v>15298.125</v>
      </c>
      <c r="O58" s="1"/>
      <c r="P58" s="1"/>
      <c r="Q58" s="1"/>
      <c r="R58" s="85">
        <f>+Utilidad!P118</f>
        <v>10766.72652665028</v>
      </c>
      <c r="S58" s="85">
        <f>+Utilidad!P125</f>
        <v>0</v>
      </c>
      <c r="T58" s="1"/>
      <c r="U58" s="1"/>
      <c r="V58" s="1"/>
      <c r="W58" s="1"/>
      <c r="X58" s="78"/>
    </row>
    <row r="59" spans="2:25" ht="15.75" customHeight="1" x14ac:dyDescent="0.25">
      <c r="B59" s="77"/>
      <c r="C59" s="1"/>
      <c r="D59" s="1"/>
      <c r="E59" s="1"/>
      <c r="F59" s="1"/>
      <c r="G59" s="1"/>
      <c r="H59" s="1"/>
      <c r="I59" s="85">
        <f>+Utilidad!P81</f>
        <v>225113.19997051865</v>
      </c>
      <c r="J59" s="273">
        <f>+K59/(I57+F65)</f>
        <v>8.6144029601601998E-3</v>
      </c>
      <c r="K59" s="80">
        <f>+Utilidad!N92</f>
        <v>2947.0469229</v>
      </c>
      <c r="L59" s="1"/>
      <c r="N59" s="82">
        <f>+Utilidad!O101</f>
        <v>0.65581716200000006</v>
      </c>
      <c r="O59" s="1"/>
      <c r="P59" s="1"/>
      <c r="Q59" s="1"/>
      <c r="R59" s="1"/>
      <c r="S59" s="1"/>
      <c r="T59" s="1"/>
      <c r="U59" s="1"/>
      <c r="V59" s="1"/>
      <c r="W59" s="1"/>
      <c r="X59" s="78"/>
    </row>
    <row r="60" spans="2:25" ht="15.75" customHeight="1" x14ac:dyDescent="0.25">
      <c r="B60" s="77"/>
      <c r="C60" s="1"/>
      <c r="D60" s="1"/>
      <c r="E60" s="80">
        <f>+Utilidad!N85</f>
        <v>0</v>
      </c>
      <c r="F60" s="1"/>
      <c r="G60" s="1"/>
      <c r="H60" s="1"/>
      <c r="I60" s="1"/>
      <c r="J60" s="1"/>
      <c r="K60" s="83">
        <f>+Utilidad!O92</f>
        <v>0.65064999999999995</v>
      </c>
      <c r="L60" s="1"/>
      <c r="N60" s="84">
        <f>+Utilidad!P101</f>
        <v>10032.77292142125</v>
      </c>
      <c r="O60" s="1"/>
      <c r="P60" s="1"/>
      <c r="Q60" s="1"/>
      <c r="R60" s="1"/>
      <c r="S60" s="1"/>
      <c r="T60" s="1"/>
      <c r="U60" s="1"/>
      <c r="V60" s="1"/>
      <c r="W60" s="1"/>
      <c r="X60" s="78"/>
    </row>
    <row r="61" spans="2:25" ht="15.75" customHeight="1" x14ac:dyDescent="0.25">
      <c r="B61" s="77"/>
      <c r="C61" s="1"/>
      <c r="D61" s="1"/>
      <c r="E61" s="83">
        <f>+Utilidad!O85</f>
        <v>0</v>
      </c>
      <c r="F61" s="1"/>
      <c r="G61" s="1"/>
      <c r="H61" s="1"/>
      <c r="I61" s="1"/>
      <c r="J61" s="1"/>
      <c r="K61" s="85">
        <f>+Utilidad!P92</f>
        <v>1917.4960803848849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78"/>
    </row>
    <row r="62" spans="2:25" ht="15.75" customHeight="1" x14ac:dyDescent="0.25">
      <c r="B62" s="77"/>
      <c r="C62" s="1"/>
      <c r="D62" s="1"/>
      <c r="E62" s="85">
        <f>+Utilidad!P85</f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80">
        <f>+Utilidad!N103</f>
        <v>323574</v>
      </c>
      <c r="S62" s="1"/>
      <c r="T62" s="79">
        <f>+Utilidad!N105</f>
        <v>482015.88945999998</v>
      </c>
      <c r="U62" s="1"/>
      <c r="V62" s="1"/>
      <c r="W62" s="1"/>
      <c r="X62" s="78"/>
    </row>
    <row r="63" spans="2:25" ht="15.75" customHeight="1" x14ac:dyDescent="0.25">
      <c r="B63" s="7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83">
        <f>+Utilidad!O103</f>
        <v>0.65581716200000006</v>
      </c>
      <c r="S63" s="1"/>
      <c r="T63" s="82">
        <f>+Utilidad!O105</f>
        <v>0.654756</v>
      </c>
      <c r="U63" s="1"/>
      <c r="V63" s="1"/>
      <c r="W63" s="1"/>
      <c r="X63" s="78"/>
    </row>
    <row r="64" spans="2:25" ht="15.75" customHeight="1" x14ac:dyDescent="0.25">
      <c r="B64" s="7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85">
        <f>+Utilidad!P103</f>
        <v>212205.38237698801</v>
      </c>
      <c r="S64" s="1"/>
      <c r="T64" s="84">
        <f>+Utilidad!P105</f>
        <v>315602.79571927176</v>
      </c>
      <c r="U64" s="1"/>
      <c r="V64" s="1"/>
      <c r="W64" s="1"/>
      <c r="X64" s="78"/>
      <c r="Y64" s="51"/>
    </row>
    <row r="65" spans="2:24" ht="15.75" customHeight="1" x14ac:dyDescent="0.25">
      <c r="B65" s="77"/>
      <c r="C65" s="1"/>
      <c r="D65" s="1"/>
      <c r="E65" s="1"/>
      <c r="F65" s="80">
        <f>+Utilidad!N90</f>
        <v>19778.259667999999</v>
      </c>
      <c r="G65" s="1"/>
      <c r="H65" s="1"/>
      <c r="I65" s="1"/>
      <c r="J65" s="1">
        <f>+K59/H67</f>
        <v>8.614402960109839E-3</v>
      </c>
      <c r="K65" s="1"/>
      <c r="L65" s="1"/>
      <c r="M65" s="1"/>
      <c r="N65" s="1"/>
      <c r="O65" s="1"/>
      <c r="P65" s="1"/>
      <c r="Q65" s="1"/>
      <c r="R65" s="1"/>
      <c r="S65" s="81">
        <f>+Utilidad!N104</f>
        <v>-142424.88946000001</v>
      </c>
      <c r="T65" s="1"/>
      <c r="U65" s="1"/>
      <c r="V65" s="1"/>
      <c r="W65" s="1"/>
      <c r="X65" s="277"/>
    </row>
    <row r="66" spans="2:24" ht="15.75" customHeight="1" x14ac:dyDescent="0.25">
      <c r="B66" s="77"/>
      <c r="C66" s="1"/>
      <c r="D66" s="1"/>
      <c r="E66" s="1"/>
      <c r="F66" s="83">
        <f>+Utilidad!O90</f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84">
        <f>+Utilidad!P104</f>
        <v>-92630.686816117523</v>
      </c>
      <c r="T66" s="1"/>
      <c r="U66" s="1"/>
      <c r="V66" s="1"/>
      <c r="W66" s="1"/>
      <c r="X66" s="78"/>
    </row>
    <row r="67" spans="2:24" ht="15.75" customHeight="1" x14ac:dyDescent="0.25">
      <c r="B67" s="77"/>
      <c r="C67" s="1"/>
      <c r="D67" s="1"/>
      <c r="E67" s="1"/>
      <c r="F67" s="85">
        <f>+Utilidad!P90</f>
        <v>0</v>
      </c>
      <c r="G67" s="1"/>
      <c r="H67" s="79">
        <f>+Utilidad!N91</f>
        <v>342106.92680000002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78"/>
    </row>
    <row r="68" spans="2:24" ht="15.75" customHeight="1" x14ac:dyDescent="0.25">
      <c r="B68" s="77"/>
      <c r="C68" s="1"/>
      <c r="D68" s="1"/>
      <c r="E68" s="1"/>
      <c r="F68" s="1"/>
      <c r="G68" s="1"/>
      <c r="H68" s="82">
        <f>+Utilidad!O91</f>
        <v>0.65802000000000005</v>
      </c>
      <c r="I68" s="1"/>
      <c r="J68" s="1"/>
      <c r="K68" s="1"/>
      <c r="L68" s="79">
        <f>+Utilidad!N98</f>
        <v>338872.125</v>
      </c>
      <c r="M68" s="1"/>
      <c r="N68" s="1"/>
      <c r="O68" s="80">
        <f>+Utilidad!N99</f>
        <v>0</v>
      </c>
      <c r="P68" s="1"/>
      <c r="Q68" s="19"/>
      <c r="R68" s="19"/>
      <c r="S68" s="1"/>
      <c r="T68" s="1"/>
      <c r="U68" s="79">
        <f t="shared" ref="U68:U70" si="0">+C44</f>
        <v>213575.72039999999</v>
      </c>
      <c r="V68" s="1"/>
      <c r="W68" s="1"/>
      <c r="X68" s="278"/>
    </row>
    <row r="69" spans="2:24" ht="15.75" customHeight="1" x14ac:dyDescent="0.25">
      <c r="B69" s="77"/>
      <c r="C69" s="1"/>
      <c r="D69" s="1"/>
      <c r="E69" s="1"/>
      <c r="F69" s="1"/>
      <c r="G69" s="1"/>
      <c r="H69" s="84">
        <f>+Utilidad!P91</f>
        <v>225113.19997293604</v>
      </c>
      <c r="I69" s="1"/>
      <c r="J69" s="1"/>
      <c r="K69" s="1"/>
      <c r="L69" s="82">
        <f>+Utilidad!O98</f>
        <v>0.65581716200000006</v>
      </c>
      <c r="M69" s="1"/>
      <c r="N69" s="1"/>
      <c r="O69" s="83">
        <f>+Utilidad!O99</f>
        <v>0</v>
      </c>
      <c r="P69" s="1"/>
      <c r="Q69" s="1"/>
      <c r="R69" s="1"/>
      <c r="S69" s="1"/>
      <c r="T69" s="1"/>
      <c r="U69" s="82">
        <f t="shared" si="0"/>
        <v>0.68480000000000008</v>
      </c>
      <c r="V69" s="1"/>
      <c r="W69" s="1"/>
      <c r="X69" s="78"/>
    </row>
    <row r="70" spans="2:24" ht="15.75" customHeight="1" x14ac:dyDescent="0.25">
      <c r="B70" s="77"/>
      <c r="C70" s="1"/>
      <c r="D70" s="1"/>
      <c r="E70" s="1"/>
      <c r="F70" s="1"/>
      <c r="G70" s="1"/>
      <c r="H70" s="1"/>
      <c r="I70" s="1"/>
      <c r="J70" s="1"/>
      <c r="K70" s="1"/>
      <c r="L70" s="84">
        <f>+Utilidad!P98</f>
        <v>222238.15529840929</v>
      </c>
      <c r="M70" s="1"/>
      <c r="N70" s="1"/>
      <c r="O70" s="85">
        <f>+Utilidad!P99</f>
        <v>0</v>
      </c>
      <c r="P70" s="1"/>
      <c r="Q70" s="1"/>
      <c r="R70" s="1"/>
      <c r="S70" s="1"/>
      <c r="T70" s="1"/>
      <c r="U70" s="84">
        <f t="shared" si="0"/>
        <v>146256.65332992002</v>
      </c>
      <c r="V70" s="1"/>
      <c r="W70" s="1"/>
      <c r="X70" s="78"/>
    </row>
    <row r="71" spans="2:24" ht="15.75" customHeight="1" x14ac:dyDescent="0.25">
      <c r="B71" s="7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9">
        <f>+Utilidad!N114</f>
        <v>0</v>
      </c>
      <c r="Q71" s="1"/>
      <c r="R71" s="1"/>
      <c r="S71" s="1"/>
      <c r="T71" s="1"/>
      <c r="U71" s="1"/>
      <c r="V71" s="1"/>
      <c r="W71" s="1"/>
      <c r="X71" s="78"/>
    </row>
    <row r="72" spans="2:24" ht="15.75" customHeight="1" x14ac:dyDescent="0.25">
      <c r="B72" s="77"/>
      <c r="C72" s="1"/>
      <c r="D72" s="1"/>
      <c r="E72" s="1"/>
      <c r="F72" s="1"/>
      <c r="G72" s="1"/>
      <c r="H72" s="1"/>
      <c r="I72" s="1"/>
      <c r="J72" s="1"/>
      <c r="K72" s="1"/>
      <c r="L72" s="1"/>
      <c r="M72" s="79">
        <f>+Utilidad!N97</f>
        <v>0</v>
      </c>
      <c r="N72" s="1"/>
      <c r="O72" s="1"/>
      <c r="P72" s="82">
        <f>+Utilidad!O114</f>
        <v>0.64999983181000009</v>
      </c>
      <c r="Q72" s="1"/>
      <c r="R72" s="1"/>
      <c r="S72" s="1"/>
      <c r="T72" s="1"/>
      <c r="U72" s="1"/>
      <c r="V72" s="1"/>
      <c r="W72" s="1"/>
      <c r="X72" s="78"/>
    </row>
    <row r="73" spans="2:24" ht="15.75" customHeight="1" x14ac:dyDescent="0.25">
      <c r="B73" s="77"/>
      <c r="C73" s="1"/>
      <c r="D73" s="1"/>
      <c r="E73" s="1"/>
      <c r="F73" s="1"/>
      <c r="G73" s="1"/>
      <c r="H73" s="1"/>
      <c r="I73" s="1"/>
      <c r="J73" s="1"/>
      <c r="K73" s="1"/>
      <c r="L73" s="1"/>
      <c r="M73" s="82">
        <f>+Utilidad!O97</f>
        <v>0.64999997253999997</v>
      </c>
      <c r="N73" s="1"/>
      <c r="O73" s="1"/>
      <c r="P73" s="84">
        <f>+Utilidad!P114</f>
        <v>0</v>
      </c>
      <c r="Q73" s="1"/>
      <c r="R73" s="1"/>
      <c r="S73" s="1"/>
      <c r="T73" s="1"/>
      <c r="U73" s="1"/>
      <c r="V73" s="1"/>
      <c r="W73" s="1"/>
      <c r="X73" s="278"/>
    </row>
    <row r="74" spans="2:24" ht="15.75" customHeight="1" x14ac:dyDescent="0.25">
      <c r="B74" s="77"/>
      <c r="C74" s="1"/>
      <c r="D74" s="1"/>
      <c r="E74" s="1"/>
      <c r="F74" s="1"/>
      <c r="G74" s="80">
        <f>+Utilidad!N96</f>
        <v>1183.9251262</v>
      </c>
      <c r="H74" s="1"/>
      <c r="I74" s="1"/>
      <c r="J74" s="1"/>
      <c r="K74" s="1"/>
      <c r="L74" s="1"/>
      <c r="M74" s="84">
        <f>+Utilidad!P97</f>
        <v>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78"/>
    </row>
    <row r="75" spans="2:24" ht="15.75" customHeight="1" x14ac:dyDescent="0.25">
      <c r="B75" s="77"/>
      <c r="C75" s="1"/>
      <c r="D75" s="1"/>
      <c r="E75" s="1"/>
      <c r="F75" s="1"/>
      <c r="G75" s="83">
        <f>+Utilidad!O96</f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78"/>
    </row>
    <row r="76" spans="2:24" ht="15.75" customHeight="1" x14ac:dyDescent="0.25">
      <c r="B76" s="77"/>
      <c r="C76" s="1"/>
      <c r="D76" s="1"/>
      <c r="E76" s="1"/>
      <c r="F76" s="1"/>
      <c r="G76" s="85">
        <f>+Utilidad!P96</f>
        <v>0</v>
      </c>
      <c r="H76" s="1"/>
      <c r="I76" s="1"/>
      <c r="J76" s="1"/>
      <c r="K76" s="19"/>
      <c r="L76" s="1"/>
      <c r="M76" s="1"/>
      <c r="N76" s="1"/>
      <c r="O76" s="81">
        <f>+Utilidad!N100</f>
        <v>0</v>
      </c>
      <c r="P76" s="1"/>
      <c r="Q76" s="1"/>
      <c r="R76" s="1"/>
      <c r="S76" s="1"/>
      <c r="T76" s="1"/>
      <c r="U76" s="1"/>
      <c r="V76" s="1"/>
      <c r="W76" s="1"/>
      <c r="X76" s="78"/>
    </row>
    <row r="77" spans="2:24" ht="15.75" customHeight="1" x14ac:dyDescent="0.25">
      <c r="B77" s="7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5">
        <f>+Utilidad!P100</f>
        <v>0</v>
      </c>
      <c r="P77" s="1"/>
      <c r="Q77" s="1"/>
      <c r="R77" s="1"/>
      <c r="S77" s="1"/>
      <c r="T77" s="1"/>
      <c r="U77" s="1"/>
      <c r="V77" s="1"/>
      <c r="W77" s="1"/>
      <c r="X77" s="78"/>
    </row>
    <row r="78" spans="2:24" ht="15.75" customHeight="1" x14ac:dyDescent="0.25">
      <c r="B78" s="7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78"/>
    </row>
    <row r="79" spans="2:24" ht="15.75" customHeight="1" x14ac:dyDescent="0.25">
      <c r="B79" s="7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78"/>
    </row>
    <row r="80" spans="2:24" ht="15.75" customHeight="1" x14ac:dyDescent="0.25">
      <c r="B80" s="7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78"/>
    </row>
    <row r="81" spans="2:25" ht="15.75" customHeight="1" x14ac:dyDescent="0.25">
      <c r="B81" s="7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78"/>
    </row>
    <row r="82" spans="2:25" ht="15.75" customHeight="1" x14ac:dyDescent="0.25">
      <c r="B82" s="89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1"/>
    </row>
    <row r="83" spans="2:25" ht="15.75" customHeight="1" x14ac:dyDescent="0.25">
      <c r="K83" s="1"/>
      <c r="P83" s="1"/>
      <c r="Q83" s="1"/>
    </row>
    <row r="84" spans="2:25" ht="15.75" customHeight="1" x14ac:dyDescent="0.25">
      <c r="E84" s="92"/>
      <c r="F84" s="92"/>
      <c r="G84" s="1"/>
      <c r="H84" s="389"/>
      <c r="I84" s="332"/>
      <c r="J84" s="332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</row>
    <row r="85" spans="2:25" ht="30" customHeight="1" x14ac:dyDescent="0.25">
      <c r="C85" s="390" t="s">
        <v>79</v>
      </c>
      <c r="D85" s="305"/>
      <c r="E85" s="279" t="s">
        <v>233</v>
      </c>
      <c r="F85" s="279" t="s">
        <v>234</v>
      </c>
      <c r="G85" s="279" t="s">
        <v>235</v>
      </c>
      <c r="H85" s="279" t="s">
        <v>236</v>
      </c>
      <c r="I85" s="279" t="s">
        <v>237</v>
      </c>
      <c r="J85" s="279" t="s">
        <v>238</v>
      </c>
      <c r="K85" s="279" t="s">
        <v>239</v>
      </c>
      <c r="L85" s="279" t="s">
        <v>240</v>
      </c>
      <c r="M85" s="279" t="s">
        <v>241</v>
      </c>
      <c r="N85" s="279" t="s">
        <v>242</v>
      </c>
      <c r="O85" s="279" t="s">
        <v>243</v>
      </c>
      <c r="P85" s="279" t="s">
        <v>244</v>
      </c>
      <c r="Q85" s="280" t="s">
        <v>245</v>
      </c>
      <c r="R85" s="1"/>
      <c r="S85" s="1"/>
      <c r="T85" s="1"/>
      <c r="U85" s="1"/>
      <c r="V85" s="1"/>
      <c r="W85" s="1"/>
      <c r="X85" s="1"/>
      <c r="Y85" s="1"/>
    </row>
    <row r="86" spans="2:25" ht="18" customHeight="1" x14ac:dyDescent="0.25">
      <c r="B86" s="281">
        <f>'Datos Extra'!B21</f>
        <v>325200</v>
      </c>
      <c r="C86" s="316" t="s">
        <v>246</v>
      </c>
      <c r="D86" s="305"/>
      <c r="E86" s="282">
        <f>+R62/(1-'Datos Extra'!D21)</f>
        <v>325200</v>
      </c>
      <c r="F86" s="283">
        <v>19110</v>
      </c>
      <c r="G86" s="284">
        <f>+T62/(1-'Datos Extra'!D22)</f>
        <v>486163.00000091392</v>
      </c>
      <c r="H86" s="282"/>
      <c r="I86" s="282"/>
      <c r="J86" s="282">
        <f t="shared" ref="J86:J88" si="1">+E86+H86</f>
        <v>325200</v>
      </c>
      <c r="K86" s="282">
        <f t="shared" ref="K86:K88" si="2">+G86+I86</f>
        <v>486163.00000091392</v>
      </c>
      <c r="L86" s="285">
        <f>'Datos Extra'!B38</f>
        <v>180373</v>
      </c>
      <c r="M86" s="286">
        <f t="shared" ref="M86:M88" si="3">+L86+J86-K86+F86</f>
        <v>38519.999999086082</v>
      </c>
      <c r="N86" s="283">
        <f>'Datos Extra'!C38+H86-I86</f>
        <v>39914</v>
      </c>
      <c r="O86" s="287">
        <f t="shared" ref="O86:O98" si="4">N86-M86</f>
        <v>1394.0000009139185</v>
      </c>
      <c r="P86" s="288">
        <v>79.209999999999994</v>
      </c>
      <c r="Q86" s="289">
        <f t="shared" ref="Q86:Q98" si="5">+O86*P86</f>
        <v>110418.74007239148</v>
      </c>
      <c r="R86" s="290"/>
      <c r="S86" s="291"/>
      <c r="T86" s="1"/>
      <c r="U86" s="1"/>
      <c r="V86" s="1">
        <v>65.569999999999993</v>
      </c>
      <c r="W86" s="1"/>
      <c r="X86" s="1"/>
      <c r="Y86" s="1"/>
    </row>
    <row r="87" spans="2:25" ht="14.25" customHeight="1" x14ac:dyDescent="0.25">
      <c r="B87" s="281">
        <f>'Datos Extra'!B19</f>
        <v>15375</v>
      </c>
      <c r="C87" s="316" t="s">
        <v>135</v>
      </c>
      <c r="D87" s="305"/>
      <c r="E87" s="292">
        <f>+N58/(1-'Datos Extra'!D19)</f>
        <v>15375</v>
      </c>
      <c r="F87" s="283">
        <f>-19110-11875</f>
        <v>-30985</v>
      </c>
      <c r="G87" s="284">
        <f>+T48/(1-'Datos Extra'!D32)</f>
        <v>0</v>
      </c>
      <c r="H87" s="292"/>
      <c r="I87" s="292"/>
      <c r="J87" s="292">
        <f t="shared" si="1"/>
        <v>15375</v>
      </c>
      <c r="K87" s="292">
        <f t="shared" si="2"/>
        <v>0</v>
      </c>
      <c r="L87" s="285">
        <f>'Datos Extra'!B39</f>
        <v>28868</v>
      </c>
      <c r="M87" s="293">
        <f t="shared" si="3"/>
        <v>13258</v>
      </c>
      <c r="N87" s="283">
        <f>'Datos Extra'!C39+H87-I87</f>
        <v>11524</v>
      </c>
      <c r="O87" s="287">
        <f t="shared" si="4"/>
        <v>-1734</v>
      </c>
      <c r="P87" s="288">
        <v>33.365380000000002</v>
      </c>
      <c r="Q87" s="289">
        <f t="shared" si="5"/>
        <v>-57855.568920000005</v>
      </c>
      <c r="R87" s="290"/>
      <c r="S87" s="291"/>
      <c r="T87" s="1"/>
      <c r="U87" s="1"/>
      <c r="V87" s="1">
        <v>65.540000000000006</v>
      </c>
      <c r="W87" s="1"/>
      <c r="X87" s="1"/>
      <c r="Y87" s="1"/>
    </row>
    <row r="88" spans="2:25" ht="14.25" customHeight="1" x14ac:dyDescent="0.25">
      <c r="B88" s="281">
        <f>'Datos Extra'!B13+'Datos Extra'!B14</f>
        <v>249748.00000154829</v>
      </c>
      <c r="C88" s="316" t="s">
        <v>136</v>
      </c>
      <c r="D88" s="305"/>
      <c r="E88" s="292">
        <f>+(F44+D49)/(1-'Datos Extra'!D14)</f>
        <v>249747.99999862473</v>
      </c>
      <c r="F88" s="283"/>
      <c r="G88" s="284">
        <f>+Diagrama!U68/(1-'Datos Extra'!D15)</f>
        <v>232198</v>
      </c>
      <c r="H88" s="292"/>
      <c r="I88" s="292"/>
      <c r="J88" s="292">
        <f t="shared" si="1"/>
        <v>249747.99999862473</v>
      </c>
      <c r="K88" s="292">
        <f t="shared" si="2"/>
        <v>232198</v>
      </c>
      <c r="L88" s="285">
        <f>'Datos Extra'!B40</f>
        <v>80567</v>
      </c>
      <c r="M88" s="293">
        <f t="shared" si="3"/>
        <v>98116.999998624728</v>
      </c>
      <c r="N88" s="283">
        <f>'Datos Extra'!C40+H88-I88</f>
        <v>101557</v>
      </c>
      <c r="O88" s="287">
        <f t="shared" si="4"/>
        <v>3440.0000013752724</v>
      </c>
      <c r="P88" s="288">
        <v>39.83</v>
      </c>
      <c r="Q88" s="289">
        <f t="shared" si="5"/>
        <v>137015.20005477709</v>
      </c>
      <c r="R88" s="290"/>
      <c r="S88" s="291"/>
      <c r="T88" s="1"/>
      <c r="U88" s="1"/>
      <c r="V88" s="1">
        <v>68.400000000000006</v>
      </c>
      <c r="W88" s="1"/>
      <c r="X88" s="1"/>
      <c r="Y88" s="1"/>
    </row>
    <row r="89" spans="2:25" ht="14.25" customHeight="1" x14ac:dyDescent="0.25">
      <c r="B89" s="281">
        <f>'Datos Extra'!B5</f>
        <v>637453.95243853284</v>
      </c>
      <c r="C89" s="316" t="s">
        <v>247</v>
      </c>
      <c r="D89" s="305"/>
      <c r="E89" s="294">
        <f>+I19/(1-'Datos Extra'!D5)</f>
        <v>637453.95243853296</v>
      </c>
      <c r="F89" s="283"/>
      <c r="G89" s="285"/>
      <c r="H89" s="294"/>
      <c r="I89" s="294"/>
      <c r="J89" s="294"/>
      <c r="K89" s="294"/>
      <c r="L89" s="285">
        <f>'Datos Extra'!B41</f>
        <v>0</v>
      </c>
      <c r="M89" s="293"/>
      <c r="N89" s="283">
        <f>'Datos Extra'!C41+H89-I89</f>
        <v>0</v>
      </c>
      <c r="O89" s="287">
        <f t="shared" si="4"/>
        <v>0</v>
      </c>
      <c r="P89" s="288"/>
      <c r="Q89" s="289">
        <f t="shared" si="5"/>
        <v>0</v>
      </c>
      <c r="R89" s="290"/>
      <c r="S89" s="1"/>
      <c r="T89" s="1"/>
      <c r="U89" s="1"/>
      <c r="V89" s="1"/>
      <c r="W89" s="1"/>
      <c r="X89" s="1"/>
      <c r="Y89" s="1"/>
    </row>
    <row r="90" spans="2:25" ht="14.25" customHeight="1" x14ac:dyDescent="0.25">
      <c r="B90" s="295"/>
      <c r="C90" s="316" t="s">
        <v>138</v>
      </c>
      <c r="D90" s="305"/>
      <c r="E90" s="294">
        <f>+I37/(1-'Datos Extra'!D14)</f>
        <v>599722.05867291836</v>
      </c>
      <c r="F90" s="283"/>
      <c r="G90" s="285"/>
      <c r="H90" s="294"/>
      <c r="J90" s="294">
        <f>+E90+H90</f>
        <v>599722.05867291836</v>
      </c>
      <c r="K90" s="294"/>
      <c r="L90" s="285">
        <f>'Datos Extra'!B42</f>
        <v>0</v>
      </c>
      <c r="M90" s="293"/>
      <c r="N90" s="283">
        <f>'Datos Extra'!C42+H90-I90</f>
        <v>0</v>
      </c>
      <c r="O90" s="287">
        <f t="shared" si="4"/>
        <v>0</v>
      </c>
      <c r="P90" s="288"/>
      <c r="Q90" s="289">
        <f t="shared" si="5"/>
        <v>0</v>
      </c>
      <c r="R90" s="290"/>
      <c r="S90" s="1"/>
      <c r="T90" s="1"/>
      <c r="U90" s="1"/>
      <c r="V90" s="1"/>
      <c r="W90" s="1"/>
      <c r="X90" s="1"/>
      <c r="Y90" s="1"/>
    </row>
    <row r="91" spans="2:25" ht="14.25" customHeight="1" x14ac:dyDescent="0.25">
      <c r="B91" s="295"/>
      <c r="C91" s="316" t="s">
        <v>248</v>
      </c>
      <c r="D91" s="305"/>
      <c r="E91" s="296">
        <f>I37/I19*100</f>
        <v>86.386308839710154</v>
      </c>
      <c r="F91" s="283"/>
      <c r="G91" s="285"/>
      <c r="H91" s="294"/>
      <c r="I91" s="294"/>
      <c r="J91" s="294">
        <f>F38*100</f>
        <v>85.883597517214227</v>
      </c>
      <c r="K91" s="294"/>
      <c r="L91" s="285">
        <f>'Datos Extra'!B43</f>
        <v>0</v>
      </c>
      <c r="M91" s="293"/>
      <c r="N91" s="283">
        <f>'Datos Extra'!C43+H91-I91</f>
        <v>0</v>
      </c>
      <c r="O91" s="287">
        <f t="shared" si="4"/>
        <v>0</v>
      </c>
      <c r="P91" s="288"/>
      <c r="Q91" s="289">
        <f t="shared" si="5"/>
        <v>0</v>
      </c>
      <c r="R91" s="290"/>
      <c r="S91" s="1"/>
      <c r="T91" s="1"/>
      <c r="U91" s="1"/>
      <c r="V91" s="1"/>
      <c r="W91" s="1"/>
      <c r="X91" s="1"/>
      <c r="Y91" s="1"/>
    </row>
    <row r="92" spans="2:25" ht="14.25" customHeight="1" x14ac:dyDescent="0.25">
      <c r="B92" s="295"/>
      <c r="C92" s="316" t="s">
        <v>140</v>
      </c>
      <c r="D92" s="305"/>
      <c r="E92" s="294">
        <f>+F31</f>
        <v>89824.393987999996</v>
      </c>
      <c r="F92" s="283"/>
      <c r="G92" s="285"/>
      <c r="H92" s="294"/>
      <c r="I92" s="294"/>
      <c r="J92" s="294">
        <f t="shared" ref="J92:J95" si="6">+E92+H92</f>
        <v>89824.393987999996</v>
      </c>
      <c r="K92" s="294"/>
      <c r="L92" s="285">
        <f>'Datos Extra'!B44</f>
        <v>0</v>
      </c>
      <c r="M92" s="293"/>
      <c r="N92" s="283">
        <f>'Datos Extra'!C44+H92-I92</f>
        <v>0</v>
      </c>
      <c r="O92" s="287">
        <f t="shared" si="4"/>
        <v>0</v>
      </c>
      <c r="P92" s="288"/>
      <c r="Q92" s="289">
        <f t="shared" si="5"/>
        <v>0</v>
      </c>
      <c r="R92" s="290"/>
      <c r="S92" s="1"/>
      <c r="T92" s="1"/>
      <c r="U92" s="1"/>
      <c r="V92" s="1"/>
      <c r="W92" s="1"/>
      <c r="X92" s="1"/>
      <c r="Y92" s="1"/>
    </row>
    <row r="93" spans="2:25" ht="14.25" customHeight="1" x14ac:dyDescent="0.25">
      <c r="B93" s="281">
        <f>'Datos Extra'!B2</f>
        <v>607463</v>
      </c>
      <c r="C93" s="316" t="s">
        <v>141</v>
      </c>
      <c r="D93" s="305"/>
      <c r="E93" s="294">
        <f>+G12/(1-'Datos Extra'!D2)</f>
        <v>607462.99999850499</v>
      </c>
      <c r="F93" s="283"/>
      <c r="G93" s="285">
        <f>E89</f>
        <v>637453.95243853296</v>
      </c>
      <c r="H93" s="292"/>
      <c r="I93" s="292"/>
      <c r="J93" s="292">
        <f t="shared" si="6"/>
        <v>607462.99999850499</v>
      </c>
      <c r="K93" s="292">
        <f t="shared" ref="K93:K95" si="7">+G93+I93</f>
        <v>637453.95243853296</v>
      </c>
      <c r="L93" s="285">
        <f>'Datos Extra'!B45</f>
        <v>59520</v>
      </c>
      <c r="M93" s="293">
        <f t="shared" ref="M93:M95" si="8">+L93+J93-K93+F93</f>
        <v>29529.047559972038</v>
      </c>
      <c r="N93" s="283">
        <f>'Datos Extra'!C45+H93-I93</f>
        <v>26439</v>
      </c>
      <c r="O93" s="287">
        <f t="shared" si="4"/>
        <v>-3090.0475599720376</v>
      </c>
      <c r="P93" s="288">
        <f>+T94</f>
        <v>0</v>
      </c>
      <c r="Q93" s="289">
        <f t="shared" si="5"/>
        <v>0</v>
      </c>
      <c r="R93" s="290"/>
      <c r="S93" s="291"/>
      <c r="T93" s="1"/>
      <c r="U93" s="1"/>
      <c r="V93" s="1"/>
      <c r="W93" s="1"/>
      <c r="X93" s="1"/>
      <c r="Y93" s="1"/>
    </row>
    <row r="94" spans="2:25" ht="14.25" customHeight="1" x14ac:dyDescent="0.25">
      <c r="B94" s="281">
        <f>'Datos Extra'!B3</f>
        <v>208058</v>
      </c>
      <c r="C94" s="316" t="s">
        <v>142</v>
      </c>
      <c r="D94" s="305"/>
      <c r="E94" s="292">
        <f>+O9/(1-'Datos Extra'!D3)</f>
        <v>208058.0000031582</v>
      </c>
      <c r="F94" s="283">
        <f>11875+810</f>
        <v>12685</v>
      </c>
      <c r="G94" s="297">
        <f>+U17/(1-'Datos Extra'!D29)</f>
        <v>322488.0000033027</v>
      </c>
      <c r="H94" s="292"/>
      <c r="I94" s="292"/>
      <c r="J94" s="292">
        <f t="shared" si="6"/>
        <v>208058.0000031582</v>
      </c>
      <c r="K94" s="292">
        <f t="shared" si="7"/>
        <v>322488.0000033027</v>
      </c>
      <c r="L94" s="285">
        <f>'Datos Extra'!B46</f>
        <v>175938</v>
      </c>
      <c r="M94" s="293">
        <f t="shared" si="8"/>
        <v>74192.999999855529</v>
      </c>
      <c r="N94" s="283">
        <f>'Datos Extra'!C46+H94-I94</f>
        <v>74822</v>
      </c>
      <c r="O94" s="287">
        <f t="shared" si="4"/>
        <v>629.00000014447141</v>
      </c>
      <c r="P94" s="288">
        <v>15.38</v>
      </c>
      <c r="Q94" s="289">
        <f t="shared" si="5"/>
        <v>9674.0200022219706</v>
      </c>
      <c r="R94" s="290"/>
      <c r="S94" s="291"/>
      <c r="T94" s="1"/>
      <c r="U94" s="1"/>
      <c r="V94" s="1"/>
      <c r="W94" s="1"/>
      <c r="X94" s="1"/>
      <c r="Y94" s="1"/>
    </row>
    <row r="95" spans="2:25" ht="14.25" customHeight="1" x14ac:dyDescent="0.25">
      <c r="B95" s="281">
        <f>'Datos Extra'!B26</f>
        <v>1212</v>
      </c>
      <c r="C95" s="316" t="s">
        <v>143</v>
      </c>
      <c r="D95" s="305"/>
      <c r="E95" s="292">
        <f>+(R35+Q40)/(1-'Datos Extra'!D26)</f>
        <v>1211.8705407920588</v>
      </c>
      <c r="F95" s="283">
        <v>-810</v>
      </c>
      <c r="G95" s="298">
        <f>+T39/(1-'Datos Extra'!D28)</f>
        <v>0</v>
      </c>
      <c r="H95" s="292"/>
      <c r="I95" s="292"/>
      <c r="J95" s="292">
        <f t="shared" si="6"/>
        <v>1211.8705407920588</v>
      </c>
      <c r="K95" s="292">
        <f t="shared" si="7"/>
        <v>0</v>
      </c>
      <c r="L95" s="285">
        <f>'Datos Extra'!B47</f>
        <v>20572</v>
      </c>
      <c r="M95" s="293">
        <f t="shared" si="8"/>
        <v>20973.870540792057</v>
      </c>
      <c r="N95" s="283">
        <f>'Datos Extra'!C47+H95-I95</f>
        <v>18319</v>
      </c>
      <c r="O95" s="287">
        <f t="shared" si="4"/>
        <v>-2654.870540792057</v>
      </c>
      <c r="P95" s="288">
        <v>8.5485399999999991</v>
      </c>
      <c r="Q95" s="289">
        <f t="shared" si="5"/>
        <v>-22695.267012782529</v>
      </c>
      <c r="R95" s="290"/>
      <c r="S95" s="1"/>
      <c r="T95" s="1"/>
      <c r="U95" s="1"/>
      <c r="V95" s="1"/>
      <c r="W95" s="1"/>
      <c r="X95" s="1"/>
      <c r="Y95" s="1"/>
    </row>
    <row r="96" spans="2:25" ht="14.25" customHeight="1" x14ac:dyDescent="0.25">
      <c r="B96" s="1"/>
      <c r="C96" s="316" t="s">
        <v>144</v>
      </c>
      <c r="D96" s="305"/>
      <c r="E96" s="294"/>
      <c r="F96" s="294"/>
      <c r="G96" s="294"/>
      <c r="H96" s="294"/>
      <c r="I96" s="294"/>
      <c r="J96" s="294"/>
      <c r="K96" s="294"/>
      <c r="L96" s="285">
        <f>'Datos Extra'!B48</f>
        <v>27</v>
      </c>
      <c r="M96" s="293">
        <f t="shared" ref="M96:M98" si="9">+L96+E96-G96+F96</f>
        <v>27</v>
      </c>
      <c r="N96" s="283">
        <f>'Datos Extra'!C48+H96-I96</f>
        <v>1413.125</v>
      </c>
      <c r="O96" s="287">
        <f t="shared" si="4"/>
        <v>1386.125</v>
      </c>
      <c r="P96" s="288">
        <v>29.163329999999998</v>
      </c>
      <c r="Q96" s="289">
        <f t="shared" si="5"/>
        <v>40424.020796249999</v>
      </c>
      <c r="R96" s="290"/>
      <c r="S96" s="1"/>
      <c r="T96" s="1"/>
      <c r="U96" s="1"/>
      <c r="V96" s="1"/>
      <c r="W96" s="1"/>
      <c r="X96" s="1"/>
      <c r="Y96" s="1"/>
    </row>
    <row r="97" spans="2:25" ht="14.25" customHeight="1" x14ac:dyDescent="0.25">
      <c r="B97" s="1"/>
      <c r="C97" s="316" t="s">
        <v>145</v>
      </c>
      <c r="D97" s="305"/>
      <c r="E97" s="294"/>
      <c r="F97" s="294"/>
      <c r="G97" s="294"/>
      <c r="H97" s="294"/>
      <c r="I97" s="294"/>
      <c r="J97" s="294"/>
      <c r="K97" s="294"/>
      <c r="L97" s="285">
        <f>'Datos Extra'!B49</f>
        <v>72341.902000000002</v>
      </c>
      <c r="M97" s="293">
        <f t="shared" si="9"/>
        <v>72341.902000000002</v>
      </c>
      <c r="N97" s="283">
        <f>'Datos Extra'!C49+H97-I97</f>
        <v>74822</v>
      </c>
      <c r="O97" s="287">
        <f t="shared" si="4"/>
        <v>2480.0979999999981</v>
      </c>
      <c r="P97" s="288">
        <v>58.779760000000003</v>
      </c>
      <c r="Q97" s="289">
        <f t="shared" si="5"/>
        <v>145779.56521647991</v>
      </c>
      <c r="R97" s="290"/>
      <c r="S97" s="1"/>
      <c r="T97" s="1"/>
      <c r="U97" s="1"/>
      <c r="V97" s="1"/>
      <c r="W97" s="1"/>
      <c r="X97" s="1"/>
      <c r="Y97" s="1"/>
    </row>
    <row r="98" spans="2:25" ht="14.25" customHeight="1" x14ac:dyDescent="0.25">
      <c r="B98" s="1"/>
      <c r="C98" s="316" t="s">
        <v>146</v>
      </c>
      <c r="D98" s="305"/>
      <c r="E98" s="294"/>
      <c r="F98" s="294"/>
      <c r="G98" s="294"/>
      <c r="H98" s="294"/>
      <c r="I98" s="294"/>
      <c r="J98" s="294"/>
      <c r="K98" s="294"/>
      <c r="L98" s="285">
        <f>'Datos Extra'!B50</f>
        <v>31619</v>
      </c>
      <c r="M98" s="293">
        <f t="shared" si="9"/>
        <v>31619</v>
      </c>
      <c r="N98" s="283">
        <f>'Datos Extra'!C50+H98-I98</f>
        <v>0</v>
      </c>
      <c r="O98" s="287">
        <f t="shared" si="4"/>
        <v>-31619</v>
      </c>
      <c r="P98" s="288">
        <v>41.606699999999996</v>
      </c>
      <c r="Q98" s="289">
        <f t="shared" si="5"/>
        <v>-1315562.2472999999</v>
      </c>
      <c r="R98" s="1"/>
      <c r="S98" s="1"/>
      <c r="T98" s="1"/>
      <c r="U98" s="1"/>
      <c r="V98" s="1"/>
      <c r="W98" s="1"/>
      <c r="X98" s="1"/>
      <c r="Y98" s="1"/>
    </row>
    <row r="99" spans="2:25" ht="15.75" customHeight="1" x14ac:dyDescent="0.25">
      <c r="C99" s="299"/>
      <c r="D99" s="299"/>
      <c r="E99" s="300">
        <f>+E86+E87+E88+E94+E95</f>
        <v>799592.87054257491</v>
      </c>
      <c r="F99" s="235"/>
      <c r="G99" s="300">
        <f>+G86+G87+G88+G94+G95</f>
        <v>1040849.0000042166</v>
      </c>
      <c r="H99" s="19"/>
      <c r="I99" s="19"/>
      <c r="J99" s="300">
        <f t="shared" ref="J99:K99" si="10">+J86+J87+J88+J94+J95</f>
        <v>799592.87054257491</v>
      </c>
      <c r="K99" s="300">
        <f t="shared" si="10"/>
        <v>1040849.0000042166</v>
      </c>
      <c r="L99" s="235"/>
      <c r="M99" s="235"/>
      <c r="N99" s="235"/>
      <c r="O99" s="300">
        <f>SUM(O86:O98)</f>
        <v>-29768.695098330434</v>
      </c>
      <c r="P99" s="29"/>
      <c r="Q99" s="301">
        <f>SUM(Q86:Q98)</f>
        <v>-952801.53709066205</v>
      </c>
      <c r="R99" s="1"/>
      <c r="S99" s="1"/>
      <c r="T99" s="1"/>
      <c r="U99" s="1"/>
      <c r="V99" s="1"/>
      <c r="W99" s="1"/>
      <c r="X99" s="1"/>
      <c r="Y99" s="1"/>
    </row>
    <row r="100" spans="2:25" ht="14.25" customHeight="1" x14ac:dyDescent="0.25">
      <c r="C100" s="235"/>
      <c r="D100" s="235"/>
      <c r="E100" s="19"/>
      <c r="F100" s="19"/>
      <c r="G100" s="19"/>
      <c r="H100" s="19"/>
      <c r="I100" s="19"/>
      <c r="J100" s="19"/>
      <c r="K100" s="19"/>
      <c r="O100" s="300">
        <f>SUM(O86:O98)-O93</f>
        <v>-26678.647538358397</v>
      </c>
      <c r="P100" s="29"/>
      <c r="Q100" s="301">
        <f>SUM(Q86:Q98)-Q93</f>
        <v>-952801.53709066205</v>
      </c>
      <c r="R100" s="1"/>
      <c r="S100" s="1"/>
      <c r="T100" s="1"/>
      <c r="U100" s="1"/>
      <c r="V100" s="1"/>
      <c r="W100" s="1"/>
      <c r="X100" s="1"/>
      <c r="Y100" s="1"/>
    </row>
    <row r="101" spans="2:25" ht="15.75" customHeight="1" x14ac:dyDescent="0.25">
      <c r="E101" s="1"/>
      <c r="F101" s="92"/>
      <c r="G101" s="1"/>
      <c r="H101" s="1"/>
      <c r="I101" s="1"/>
      <c r="J101" s="19"/>
      <c r="K101" s="29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2:25" ht="14.25" customHeight="1" x14ac:dyDescent="0.25"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2:25" ht="14.25" customHeight="1" x14ac:dyDescent="0.25">
      <c r="C103" s="302" t="s">
        <v>249</v>
      </c>
      <c r="D103" s="32">
        <f>I37/I19</f>
        <v>0.86386308839710146</v>
      </c>
      <c r="E103" s="291"/>
      <c r="F103" s="291"/>
      <c r="G103" s="291">
        <f>IF(T48&gt;0,T48/(1-Flujos!#REF!),0)</f>
        <v>0</v>
      </c>
      <c r="H103" s="291"/>
      <c r="I103" s="291"/>
      <c r="J103" s="291"/>
      <c r="K103" s="291"/>
      <c r="L103" s="291"/>
      <c r="M103" s="291"/>
      <c r="N103" s="291"/>
      <c r="O103" s="1"/>
      <c r="P103" s="1"/>
      <c r="Q103" s="1"/>
      <c r="R103" s="391"/>
      <c r="S103" s="363"/>
      <c r="T103" s="19"/>
      <c r="U103" s="19"/>
      <c r="V103" s="19"/>
    </row>
    <row r="104" spans="2:25" ht="15.75" customHeight="1" x14ac:dyDescent="0.25">
      <c r="E104" s="303"/>
      <c r="F104" s="291"/>
      <c r="G104" s="291"/>
      <c r="H104" s="291"/>
      <c r="I104" s="291"/>
      <c r="J104" s="291"/>
      <c r="K104" s="291"/>
      <c r="L104" s="291"/>
      <c r="M104" s="291"/>
      <c r="N104" s="291"/>
      <c r="O104" s="1"/>
      <c r="P104" s="391"/>
      <c r="Q104" s="363"/>
      <c r="R104" s="19"/>
      <c r="S104" s="19"/>
      <c r="T104" s="19"/>
    </row>
    <row r="105" spans="2:25" ht="15.75" customHeight="1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9"/>
      <c r="O105" s="1"/>
      <c r="P105" s="391"/>
      <c r="Q105" s="363"/>
      <c r="R105" s="19"/>
      <c r="S105" s="19"/>
      <c r="T105" s="19"/>
    </row>
    <row r="106" spans="2:25" ht="14.25" customHeight="1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9"/>
      <c r="O106" s="1"/>
      <c r="P106" s="391"/>
      <c r="Q106" s="363"/>
      <c r="R106" s="19"/>
      <c r="S106" s="19"/>
      <c r="T106" s="19"/>
    </row>
    <row r="107" spans="2:25" ht="14.25" customHeight="1" x14ac:dyDescent="0.25">
      <c r="E107" s="1"/>
      <c r="F107" s="92"/>
      <c r="G107" s="1"/>
      <c r="H107" s="1"/>
      <c r="I107" s="1"/>
      <c r="J107" s="291"/>
      <c r="K107" s="1"/>
      <c r="L107" s="1"/>
      <c r="M107" s="1"/>
      <c r="N107" s="19"/>
      <c r="O107" s="1"/>
      <c r="P107" s="391"/>
      <c r="Q107" s="363"/>
      <c r="R107" s="19"/>
      <c r="S107" s="19"/>
      <c r="T107" s="19"/>
    </row>
    <row r="108" spans="2:25" ht="14.25" customHeight="1" x14ac:dyDescent="0.25">
      <c r="E108" s="1"/>
      <c r="F108" s="92"/>
      <c r="G108" s="1"/>
      <c r="H108" s="1"/>
      <c r="I108" s="1"/>
      <c r="J108" s="291"/>
      <c r="K108" s="1"/>
      <c r="L108" s="1"/>
      <c r="M108" s="1"/>
      <c r="N108" s="19"/>
      <c r="O108" s="1"/>
      <c r="P108" s="391"/>
      <c r="Q108" s="363"/>
      <c r="R108" s="19"/>
      <c r="S108" s="19"/>
      <c r="T108" s="19"/>
    </row>
    <row r="109" spans="2:25" ht="14.25" customHeight="1" x14ac:dyDescent="0.25">
      <c r="E109" s="1"/>
      <c r="F109" s="92"/>
      <c r="G109" s="1"/>
      <c r="H109" s="1"/>
      <c r="I109" s="1"/>
      <c r="J109" s="1"/>
      <c r="K109" s="1"/>
      <c r="L109" s="1"/>
      <c r="M109" s="1"/>
      <c r="N109" s="1"/>
      <c r="O109" s="1"/>
      <c r="P109" s="391"/>
      <c r="Q109" s="363"/>
      <c r="R109" s="19"/>
      <c r="S109" s="19"/>
    </row>
    <row r="110" spans="2:25" ht="14.25" customHeight="1" x14ac:dyDescent="0.25">
      <c r="E110" s="1"/>
      <c r="F110" s="92"/>
      <c r="G110" s="1"/>
      <c r="H110" s="1"/>
      <c r="I110" s="1"/>
      <c r="J110" s="1"/>
      <c r="K110" s="1"/>
      <c r="L110" s="1"/>
      <c r="M110" s="1"/>
      <c r="N110" s="1"/>
      <c r="O110" s="1"/>
      <c r="P110" s="391"/>
      <c r="Q110" s="363"/>
      <c r="R110" s="19"/>
      <c r="S110" s="19"/>
    </row>
    <row r="111" spans="2:25" ht="14.25" customHeight="1" x14ac:dyDescent="0.25">
      <c r="E111" s="1"/>
      <c r="F111" s="92"/>
      <c r="G111" s="1"/>
      <c r="H111" s="1"/>
      <c r="I111" s="1"/>
      <c r="J111" s="1"/>
      <c r="K111" s="1"/>
      <c r="L111" s="1"/>
      <c r="M111" s="1"/>
      <c r="N111" s="1"/>
      <c r="O111" s="1"/>
      <c r="P111" s="391"/>
      <c r="Q111" s="363"/>
      <c r="R111" s="19"/>
      <c r="S111" s="19"/>
    </row>
    <row r="112" spans="2:25" ht="14.25" customHeight="1" x14ac:dyDescent="0.25">
      <c r="E112" s="1"/>
      <c r="F112" s="92"/>
      <c r="G112" s="1"/>
      <c r="H112" s="1"/>
      <c r="I112" s="1"/>
      <c r="J112" s="1"/>
      <c r="K112" s="1"/>
      <c r="L112" s="1"/>
      <c r="M112" s="1"/>
      <c r="N112" s="1"/>
      <c r="O112" s="1"/>
      <c r="P112" s="391"/>
      <c r="Q112" s="363"/>
      <c r="R112" s="19"/>
      <c r="S112" s="19"/>
    </row>
    <row r="113" spans="5:18" ht="14.25" customHeight="1" x14ac:dyDescent="0.25">
      <c r="E113" s="1"/>
      <c r="F113" s="9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9"/>
    </row>
    <row r="114" spans="5:18" ht="14.25" customHeight="1" x14ac:dyDescent="0.25">
      <c r="E114" s="1"/>
      <c r="F114" s="9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9"/>
    </row>
    <row r="115" spans="5:18" ht="14.25" customHeight="1" x14ac:dyDescent="0.25">
      <c r="E115" s="1"/>
      <c r="F115" s="9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9"/>
    </row>
    <row r="116" spans="5:18" ht="14.25" customHeight="1" x14ac:dyDescent="0.25">
      <c r="E116" s="1"/>
      <c r="F116" s="9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9"/>
    </row>
    <row r="117" spans="5:18" ht="14.25" customHeight="1" x14ac:dyDescent="0.25">
      <c r="E117" s="1"/>
      <c r="F117" s="9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9"/>
    </row>
    <row r="118" spans="5:18" ht="14.25" customHeight="1" x14ac:dyDescent="0.25">
      <c r="E118" s="1"/>
      <c r="F118" s="9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9"/>
    </row>
    <row r="119" spans="5:18" ht="15.75" customHeight="1" x14ac:dyDescent="0.25">
      <c r="E119" s="1"/>
      <c r="F119" s="9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5:18" ht="15.75" customHeight="1" x14ac:dyDescent="0.25">
      <c r="E120" s="1"/>
      <c r="F120" s="9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5:18" ht="15.75" customHeight="1" x14ac:dyDescent="0.25">
      <c r="E121" s="1"/>
      <c r="F121" s="9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5:18" ht="15.75" customHeight="1" x14ac:dyDescent="0.25">
      <c r="F122" s="92"/>
      <c r="G122" s="1"/>
      <c r="H122" s="1"/>
      <c r="I122" s="1"/>
      <c r="J122" s="1"/>
      <c r="K122" s="1"/>
      <c r="L122" s="1"/>
      <c r="M122" s="1"/>
      <c r="N122" s="1"/>
      <c r="P122" s="1"/>
      <c r="Q122" s="1"/>
    </row>
    <row r="123" spans="5:18" ht="15.75" customHeight="1" x14ac:dyDescent="0.25">
      <c r="F123" s="92"/>
      <c r="G123" s="1"/>
      <c r="H123" s="1"/>
      <c r="I123" s="1"/>
      <c r="J123" s="1"/>
      <c r="K123" s="1"/>
      <c r="L123" s="1"/>
      <c r="M123" s="1"/>
      <c r="N123" s="1"/>
      <c r="P123" s="1"/>
      <c r="Q123" s="1"/>
    </row>
    <row r="124" spans="5:18" ht="15.75" customHeight="1" x14ac:dyDescent="0.25"/>
    <row r="125" spans="5:18" ht="15.75" customHeight="1" x14ac:dyDescent="0.25"/>
    <row r="126" spans="5:18" ht="15.75" customHeight="1" x14ac:dyDescent="0.25"/>
    <row r="127" spans="5:18" ht="15.75" customHeight="1" x14ac:dyDescent="0.25"/>
    <row r="128" spans="5:1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5">
    <mergeCell ref="P110:Q110"/>
    <mergeCell ref="P111:Q111"/>
    <mergeCell ref="P112:Q112"/>
    <mergeCell ref="C98:D98"/>
    <mergeCell ref="R103:S103"/>
    <mergeCell ref="P104:Q104"/>
    <mergeCell ref="P105:Q105"/>
    <mergeCell ref="P106:Q106"/>
    <mergeCell ref="P107:Q107"/>
    <mergeCell ref="P108:Q108"/>
    <mergeCell ref="C94:D94"/>
    <mergeCell ref="C95:D95"/>
    <mergeCell ref="C96:D96"/>
    <mergeCell ref="C97:D97"/>
    <mergeCell ref="P109:Q109"/>
    <mergeCell ref="C89:D89"/>
    <mergeCell ref="C90:D90"/>
    <mergeCell ref="C91:D91"/>
    <mergeCell ref="C92:D92"/>
    <mergeCell ref="C93:D93"/>
    <mergeCell ref="H84:J84"/>
    <mergeCell ref="C85:D85"/>
    <mergeCell ref="C86:D86"/>
    <mergeCell ref="C87:D87"/>
    <mergeCell ref="C88:D88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153</vt:i4>
      </vt:variant>
    </vt:vector>
  </HeadingPairs>
  <TitlesOfParts>
    <vt:vector size="161" baseType="lpstr">
      <vt:lpstr>Nodos Variac Inventarios</vt:lpstr>
      <vt:lpstr>Bal Los Colorados</vt:lpstr>
      <vt:lpstr>Diag Proc Los Colorados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Sergio Salvador Trujillo Araya</cp:lastModifiedBy>
  <dcterms:created xsi:type="dcterms:W3CDTF">2021-07-26T15:39:49Z</dcterms:created>
  <dcterms:modified xsi:type="dcterms:W3CDTF">2023-01-05T14:18:17Z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