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8_{3F3A400A-9718-D242-B6F4-8BEB3F482076}" xr6:coauthVersionLast="45" xr6:coauthVersionMax="45" xr10:uidLastSave="{00000000-0000-0000-0000-000000000000}"/>
  <bookViews>
    <workbookView xWindow="820" yWindow="0" windowWidth="27980" windowHeight="18000" tabRatio="749" activeTab="3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Resumen Planta Pellets" sheetId="17" r:id="rId4"/>
    <sheet name="Utilidad" sheetId="1" r:id="rId5"/>
    <sheet name="Flujos" sheetId="16" r:id="rId6"/>
    <sheet name="Diagrama" sheetId="13" r:id="rId7"/>
  </sheets>
  <externalReferences>
    <externalReference r:id="rId8"/>
    <externalReference r:id="rId9"/>
  </externalReferences>
  <definedNames>
    <definedName name="_PAG1" localSheetId="3">#REF!</definedName>
    <definedName name="_PAG1">#REF!</definedName>
    <definedName name="_PAG3" localSheetId="3">#REF!</definedName>
    <definedName name="_PAG3">#REF!</definedName>
    <definedName name="_PAG4">#REF!</definedName>
    <definedName name="_PAG5">#REF!</definedName>
    <definedName name="_PAG6">#REF!</definedName>
    <definedName name="\P" localSheetId="3">#REF!</definedName>
    <definedName name="\P">#REF!</definedName>
    <definedName name="\W" localSheetId="3">#REF!</definedName>
    <definedName name="\W">#REF!</definedName>
    <definedName name="\Z" localSheetId="3">#REF!</definedName>
    <definedName name="\Z">#REF!</definedName>
    <definedName name="CONC" localSheetId="3">#REF!</definedName>
    <definedName name="CONC">#REF!</definedName>
    <definedName name="CuNuevo_ConPelaCama_tmf" localSheetId="3">[1]FUNDICIÓN!$P$73</definedName>
    <definedName name="CuNuevo_ConPelaCama_tmf">[1]FUNDICIÓN!$P$73</definedName>
    <definedName name="CuNuevo_ConPelaCama_tms" localSheetId="3">[1]FUNDICIÓN!$O$73</definedName>
    <definedName name="CuNuevo_ConPelaCama_tms">[1]FUNDICIÓN!$O$73</definedName>
    <definedName name="ECL_DelBal_por" localSheetId="3">'Resumen Planta Pellets'!$G$37</definedName>
    <definedName name="ECL_DelBal_tmf" localSheetId="3">'Resumen Planta Pellets'!$F$37</definedName>
    <definedName name="FEED" localSheetId="3">#REF!</definedName>
    <definedName name="FEED">#REF!</definedName>
    <definedName name="feed1">#REF!</definedName>
    <definedName name="GCONC" localSheetId="3">#REF!</definedName>
    <definedName name="GCONC">#REF!</definedName>
    <definedName name="GFEED" localSheetId="3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_xlnm.Print_Area" localSheetId="3">'Resumen Planta Pellets'!$B$1:$P$39</definedName>
    <definedName name="solver_adj" localSheetId="1" hidden="1">'Bal Los Colorados'!$M$46:$N$69</definedName>
    <definedName name="solver_adj" localSheetId="3" hidden="1">'Resumen Planta Pellets'!$N$10</definedName>
    <definedName name="solver_adj" localSheetId="4" hidden="1">Utilidad!$N$67:$O$126</definedName>
    <definedName name="solver_cvg" localSheetId="1" hidden="1">0.0001</definedName>
    <definedName name="solver_cvg" localSheetId="6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6" hidden="1">2</definedName>
    <definedName name="solver_drv" localSheetId="3" hidden="1">1</definedName>
    <definedName name="solver_drv" localSheetId="4" hidden="1">1</definedName>
    <definedName name="solver_eng" localSheetId="1" hidden="1">1</definedName>
    <definedName name="solver_eng" localSheetId="6" hidden="1">1</definedName>
    <definedName name="solver_eng" localSheetId="3" hidden="1">1</definedName>
    <definedName name="solver_eng" localSheetId="4" hidden="1">1</definedName>
    <definedName name="solver_est" localSheetId="1" hidden="1">1</definedName>
    <definedName name="solver_est" localSheetId="6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6" hidden="1">2147483647</definedName>
    <definedName name="solver_itr" localSheetId="3" hidden="1">2147483647</definedName>
    <definedName name="solver_itr" localSheetId="4" hidden="1">2147483647</definedName>
    <definedName name="solver_lhs1" localSheetId="1" hidden="1">'Bal Los Colorados'!$AB$45</definedName>
    <definedName name="solver_lhs1" localSheetId="4" hidden="1">Utilidad!$AB$67:$AB$90</definedName>
    <definedName name="solver_lhs10" localSheetId="1" hidden="1">'Bal Los Colorados'!$AB$54</definedName>
    <definedName name="solver_lhs10" localSheetId="4" hidden="1">Utilidad!$U$68</definedName>
    <definedName name="solver_lhs11" localSheetId="1" hidden="1">'Bal Los Colorados'!$AB$55</definedName>
    <definedName name="solver_lhs11" localSheetId="4" hidden="1">Utilidad!$U$69</definedName>
    <definedName name="solver_lhs12" localSheetId="1" hidden="1">'Bal Los Colorados'!$AC$45</definedName>
    <definedName name="solver_lhs12" localSheetId="4" hidden="1">Utilidad!$U$80</definedName>
    <definedName name="solver_lhs13" localSheetId="1" hidden="1">'Bal Los Colorados'!$AC$46</definedName>
    <definedName name="solver_lhs13" localSheetId="4" hidden="1">Utilidad!$U$89</definedName>
    <definedName name="solver_lhs14" localSheetId="1" hidden="1">'Bal Los Colorados'!$AC$47</definedName>
    <definedName name="solver_lhs14" localSheetId="4" hidden="1">Utilidad!$V$120</definedName>
    <definedName name="solver_lhs15" localSheetId="1" hidden="1">'Bal Los Colorados'!$AC$48</definedName>
    <definedName name="solver_lhs15" localSheetId="4" hidden="1">Utilidad!$W$105</definedName>
    <definedName name="solver_lhs16" localSheetId="1" hidden="1">'Bal Los Colorados'!$AC$49</definedName>
    <definedName name="solver_lhs16" localSheetId="4" hidden="1">Utilidad!$W$122</definedName>
    <definedName name="solver_lhs17" localSheetId="1" hidden="1">'Bal Los Colorados'!$AC$50</definedName>
    <definedName name="solver_lhs17" localSheetId="4" hidden="1">Utilidad!$W$124</definedName>
    <definedName name="solver_lhs18" localSheetId="1" hidden="1">'Bal Los Colorados'!$AC$51</definedName>
    <definedName name="solver_lhs18" localSheetId="4" hidden="1">Utilidad!$W$68</definedName>
    <definedName name="solver_lhs19" localSheetId="1" hidden="1">'Bal Los Colorados'!$AC$52</definedName>
    <definedName name="solver_lhs19" localSheetId="4" hidden="1">Utilidad!$W$89</definedName>
    <definedName name="solver_lhs2" localSheetId="1" hidden="1">'Bal Los Colorados'!$AB$46</definedName>
    <definedName name="solver_lhs2" localSheetId="4" hidden="1">Utilidad!$AC$67:$AC$90</definedName>
    <definedName name="solver_lhs20" localSheetId="1" hidden="1">'Bal Los Colorados'!$AC$53</definedName>
    <definedName name="solver_lhs20" localSheetId="4" hidden="1">Utilidad!$W$89</definedName>
    <definedName name="solver_lhs21" localSheetId="1" hidden="1">'Bal Los Colorados'!$AC$54</definedName>
    <definedName name="solver_lhs21" localSheetId="4" hidden="1">Utilidad!$W$101</definedName>
    <definedName name="solver_lhs22" localSheetId="1" hidden="1">'Bal Los Colorados'!$AC$55</definedName>
    <definedName name="solver_lhs22" localSheetId="4" hidden="1">Utilidad!$W$101</definedName>
    <definedName name="solver_lhs23" localSheetId="1" hidden="1">'Bal Los Colorados'!$T$48</definedName>
    <definedName name="solver_lhs23" localSheetId="4" hidden="1">Utilidad!$W$101</definedName>
    <definedName name="solver_lhs24" localSheetId="1" hidden="1">'Bal Los Colorados'!$T$53</definedName>
    <definedName name="solver_lhs24" localSheetId="4" hidden="1">Utilidad!$W$101</definedName>
    <definedName name="solver_lhs25" localSheetId="1" hidden="1">'Bal Los Colorados'!$T$55</definedName>
    <definedName name="solver_lhs25" localSheetId="4" hidden="1">Utilidad!$W$89</definedName>
    <definedName name="solver_lhs26" localSheetId="1" hidden="1">'Bal Los Colorados'!$T$57</definedName>
    <definedName name="solver_lhs26" localSheetId="4" hidden="1">Utilidad!$W$101</definedName>
    <definedName name="solver_lhs27" localSheetId="1" hidden="1">'Bal Los Colorados'!$T$58</definedName>
    <definedName name="solver_lhs27" localSheetId="4" hidden="1">Utilidad!$W$101</definedName>
    <definedName name="solver_lhs28" localSheetId="1" hidden="1">'Bal Los Colorados'!$T$59</definedName>
    <definedName name="solver_lhs28" localSheetId="4" hidden="1">Utilidad!#REF!</definedName>
    <definedName name="solver_lhs29" localSheetId="1" hidden="1">'Bal Los Colorados'!$T$68</definedName>
    <definedName name="solver_lhs29" localSheetId="4" hidden="1">Utilidad!#REF!</definedName>
    <definedName name="solver_lhs3" localSheetId="1" hidden="1">'Bal Los Colorados'!$AB$47</definedName>
    <definedName name="solver_lhs3" localSheetId="4" hidden="1">Utilidad!$U$101</definedName>
    <definedName name="solver_lhs30" localSheetId="1" hidden="1">'Bal Los Colorados'!$T$69</definedName>
    <definedName name="solver_lhs30" localSheetId="4" hidden="1">Utilidad!#REF!</definedName>
    <definedName name="solver_lhs31" localSheetId="1" hidden="1">'Bal Los Colorados'!$V$46</definedName>
    <definedName name="solver_lhs31" localSheetId="4" hidden="1">Utilidad!#REF!</definedName>
    <definedName name="solver_lhs32" localSheetId="1" hidden="1">'Bal Los Colorados'!$V$55</definedName>
    <definedName name="solver_lhs32" localSheetId="4" hidden="1">Utilidad!#REF!</definedName>
    <definedName name="solver_lhs33" localSheetId="1" hidden="1">'Bal Los Colorados'!$V$57</definedName>
    <definedName name="solver_lhs33" localSheetId="4" hidden="1">Utilidad!#REF!</definedName>
    <definedName name="solver_lhs34" localSheetId="1" hidden="1">'Bal Los Colorados'!$V$59</definedName>
    <definedName name="solver_lhs34" localSheetId="4" hidden="1">Utilidad!#REF!</definedName>
    <definedName name="solver_lhs35" localSheetId="1" hidden="1">'Bal Los Colorados'!$V$63</definedName>
    <definedName name="solver_lhs35" localSheetId="4" hidden="1">Utilidad!#REF!</definedName>
    <definedName name="solver_lhs36" localSheetId="1" hidden="1">'Bal Los Colorados'!$V$66</definedName>
    <definedName name="solver_lhs36" localSheetId="4" hidden="1">Utilidad!#REF!</definedName>
    <definedName name="solver_lhs37" localSheetId="1" hidden="1">'Bal Los Colorados'!$V$68</definedName>
    <definedName name="solver_lhs37" localSheetId="4" hidden="1">Utilidad!#REF!</definedName>
    <definedName name="solver_lhs38" localSheetId="1" hidden="1">'Bal Los Colorados'!$V$69</definedName>
    <definedName name="solver_lhs38" localSheetId="4" hidden="1">Utilidad!#REF!</definedName>
    <definedName name="solver_lhs39" localSheetId="1" hidden="1">'Bal Los Colorados'!$V$69</definedName>
    <definedName name="solver_lhs39" localSheetId="4" hidden="1">Utilidad!#REF!</definedName>
    <definedName name="solver_lhs4" localSheetId="1" hidden="1">'Bal Los Colorados'!$AB$48</definedName>
    <definedName name="solver_lhs4" localSheetId="4" hidden="1">Utilidad!$U$103</definedName>
    <definedName name="solver_lhs40" localSheetId="1" hidden="1">'Bal Los Colorados'!$AB$49</definedName>
    <definedName name="solver_lhs40" localSheetId="4" hidden="1">Utilidad!#REF!</definedName>
    <definedName name="solver_lhs41" localSheetId="1" hidden="1">'Bal Los Colorados'!$AB$49</definedName>
    <definedName name="solver_lhs41" localSheetId="4" hidden="1">Utilidad!#REF!</definedName>
    <definedName name="solver_lhs42" localSheetId="4" hidden="1">Utilidad!#REF!</definedName>
    <definedName name="solver_lhs43" localSheetId="4" hidden="1">Utilidad!#REF!</definedName>
    <definedName name="solver_lhs44" localSheetId="4" hidden="1">Utilidad!#REF!</definedName>
    <definedName name="solver_lhs45" localSheetId="4" hidden="1">Utilidad!#REF!</definedName>
    <definedName name="solver_lhs46" localSheetId="4" hidden="1">Utilidad!#REF!</definedName>
    <definedName name="solver_lhs47" localSheetId="4" hidden="1">Utilidad!#REF!</definedName>
    <definedName name="solver_lhs48" localSheetId="4" hidden="1">Utilidad!#REF!</definedName>
    <definedName name="solver_lhs49" localSheetId="4" hidden="1">Utilidad!#REF!</definedName>
    <definedName name="solver_lhs5" localSheetId="1" hidden="1">'Bal Los Colorados'!$AB$49</definedName>
    <definedName name="solver_lhs5" localSheetId="4" hidden="1">Utilidad!$U$105</definedName>
    <definedName name="solver_lhs50" localSheetId="4" hidden="1">Utilidad!#REF!</definedName>
    <definedName name="solver_lhs51" localSheetId="4" hidden="1">Utilidad!#REF!</definedName>
    <definedName name="solver_lhs52" localSheetId="4" hidden="1">Utilidad!#REF!</definedName>
    <definedName name="solver_lhs53" localSheetId="4" hidden="1">Utilidad!#REF!</definedName>
    <definedName name="solver_lhs54" localSheetId="4" hidden="1">Utilidad!#REF!</definedName>
    <definedName name="solver_lhs55" localSheetId="4" hidden="1">Utilidad!#REF!</definedName>
    <definedName name="solver_lhs56" localSheetId="4" hidden="1">Utilidad!#REF!</definedName>
    <definedName name="solver_lhs57" localSheetId="4" hidden="1">Utilidad!#REF!</definedName>
    <definedName name="solver_lhs58" localSheetId="4" hidden="1">Utilidad!#REF!</definedName>
    <definedName name="solver_lhs59" localSheetId="4" hidden="1">Utilidad!#REF!</definedName>
    <definedName name="solver_lhs6" localSheetId="1" hidden="1">'Bal Los Colorados'!$AB$50</definedName>
    <definedName name="solver_lhs6" localSheetId="4" hidden="1">Utilidad!$U$122</definedName>
    <definedName name="solver_lhs60" localSheetId="4" hidden="1">Utilidad!#REF!</definedName>
    <definedName name="solver_lhs61" localSheetId="4" hidden="1">Utilidad!#REF!</definedName>
    <definedName name="solver_lhs62" localSheetId="4" hidden="1">Utilidad!#REF!</definedName>
    <definedName name="solver_lhs63" localSheetId="4" hidden="1">Utilidad!#REF!</definedName>
    <definedName name="solver_lhs64" localSheetId="4" hidden="1">Utilidad!#REF!</definedName>
    <definedName name="solver_lhs65" localSheetId="4" hidden="1">Utilidad!#REF!</definedName>
    <definedName name="solver_lhs66" localSheetId="4" hidden="1">Utilidad!$W$90</definedName>
    <definedName name="solver_lhs67" localSheetId="4" hidden="1">Utilidad!$W$96</definedName>
    <definedName name="solver_lhs68" localSheetId="4" hidden="1">Utilidad!$W$96</definedName>
    <definedName name="solver_lhs69" localSheetId="4" hidden="1">Utilidad!$W$96</definedName>
    <definedName name="solver_lhs7" localSheetId="1" hidden="1">'Bal Los Colorados'!$AB$51</definedName>
    <definedName name="solver_lhs7" localSheetId="4" hidden="1">Utilidad!$U$124</definedName>
    <definedName name="solver_lhs70" localSheetId="4" hidden="1">Utilidad!$W$96</definedName>
    <definedName name="solver_lhs71" localSheetId="4" hidden="1">Utilidad!$W$96</definedName>
    <definedName name="solver_lhs72" localSheetId="4" hidden="1">Utilidad!$W$96</definedName>
    <definedName name="solver_lhs73" localSheetId="4" hidden="1">Utilidad!$W$96</definedName>
    <definedName name="solver_lhs74" localSheetId="4" hidden="1">Utilidad!$W$96</definedName>
    <definedName name="solver_lhs75" localSheetId="4" hidden="1">Utilidad!$W$96</definedName>
    <definedName name="solver_lhs76" localSheetId="4" hidden="1">Utilidad!$W$96</definedName>
    <definedName name="solver_lhs77" localSheetId="4" hidden="1">Utilidad!$W$96</definedName>
    <definedName name="solver_lhs78" localSheetId="4" hidden="1">Utilidad!$W$96</definedName>
    <definedName name="solver_lhs79" localSheetId="4" hidden="1">Utilidad!$W$96</definedName>
    <definedName name="solver_lhs8" localSheetId="1" hidden="1">'Bal Los Colorados'!$AB$52</definedName>
    <definedName name="solver_lhs8" localSheetId="4" hidden="1">Utilidad!$U$126</definedName>
    <definedName name="solver_lhs80" localSheetId="4" hidden="1">Utilidad!$W$96</definedName>
    <definedName name="solver_lhs81" localSheetId="4" hidden="1">Utilidad!#REF!</definedName>
    <definedName name="solver_lhs82" localSheetId="4" hidden="1">Utilidad!$W$96</definedName>
    <definedName name="solver_lhs9" localSheetId="1" hidden="1">'Bal Los Colorados'!$AB$53</definedName>
    <definedName name="solver_lhs9" localSheetId="4" hidden="1">Utilidad!$U$67</definedName>
    <definedName name="solver_lin" localSheetId="4" hidden="1">2</definedName>
    <definedName name="solver_mip" localSheetId="1" hidden="1">2147483647</definedName>
    <definedName name="solver_mip" localSheetId="6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6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6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6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6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6" hidden="1">2147483647</definedName>
    <definedName name="solver_nod" localSheetId="3" hidden="1">2147483647</definedName>
    <definedName name="solver_nod" localSheetId="4" hidden="1">2147483647</definedName>
    <definedName name="solver_num" localSheetId="1" hidden="1">38</definedName>
    <definedName name="solver_num" localSheetId="6" hidden="1">0</definedName>
    <definedName name="solver_num" localSheetId="3" hidden="1">0</definedName>
    <definedName name="solver_num" localSheetId="4" hidden="1">19</definedName>
    <definedName name="solver_nwt" localSheetId="1" hidden="1">1</definedName>
    <definedName name="solver_nwt" localSheetId="6" hidden="1">1</definedName>
    <definedName name="solver_nwt" localSheetId="3" hidden="1">1</definedName>
    <definedName name="solver_nwt" localSheetId="4" hidden="1">1</definedName>
    <definedName name="solver_opt" localSheetId="1" hidden="1">'Bal Los Colorados'!$AB$58</definedName>
    <definedName name="solver_opt" localSheetId="6" hidden="1">Diagrama!$Q$32</definedName>
    <definedName name="solver_opt" localSheetId="3" hidden="1">'Resumen Planta Pellets'!$R$15</definedName>
    <definedName name="solver_opt" localSheetId="4" hidden="1">Utilidad!$AB$93</definedName>
    <definedName name="solver_pre" localSheetId="1" hidden="1">0.000001</definedName>
    <definedName name="solver_pre" localSheetId="6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6" hidden="1">2</definedName>
    <definedName name="solver_rbv" localSheetId="3" hidden="1">1</definedName>
    <definedName name="solver_rbv" localSheetId="4" hidden="1">1</definedName>
    <definedName name="solver_rel1" localSheetId="1" hidden="1">2</definedName>
    <definedName name="solver_rel1" localSheetId="4" hidden="1">2</definedName>
    <definedName name="solver_rel10" localSheetId="1" hidden="1">2</definedName>
    <definedName name="solver_rel10" localSheetId="4" hidden="1">1</definedName>
    <definedName name="solver_rel11" localSheetId="1" hidden="1">2</definedName>
    <definedName name="solver_rel11" localSheetId="4" hidden="1">1</definedName>
    <definedName name="solver_rel12" localSheetId="1" hidden="1">2</definedName>
    <definedName name="solver_rel12" localSheetId="4" hidden="1">1</definedName>
    <definedName name="solver_rel13" localSheetId="1" hidden="1">2</definedName>
    <definedName name="solver_rel13" localSheetId="4" hidden="1">1</definedName>
    <definedName name="solver_rel14" localSheetId="1" hidden="1">2</definedName>
    <definedName name="solver_rel14" localSheetId="4" hidden="1">1</definedName>
    <definedName name="solver_rel15" localSheetId="1" hidden="1">2</definedName>
    <definedName name="solver_rel15" localSheetId="4" hidden="1">1</definedName>
    <definedName name="solver_rel16" localSheetId="1" hidden="1">2</definedName>
    <definedName name="solver_rel16" localSheetId="4" hidden="1">1</definedName>
    <definedName name="solver_rel17" localSheetId="1" hidden="1">2</definedName>
    <definedName name="solver_rel17" localSheetId="4" hidden="1">1</definedName>
    <definedName name="solver_rel18" localSheetId="1" hidden="1">2</definedName>
    <definedName name="solver_rel18" localSheetId="4" hidden="1">1</definedName>
    <definedName name="solver_rel19" localSheetId="1" hidden="1">2</definedName>
    <definedName name="solver_rel19" localSheetId="4" hidden="1">1</definedName>
    <definedName name="solver_rel2" localSheetId="1" hidden="1">2</definedName>
    <definedName name="solver_rel2" localSheetId="4" hidden="1">2</definedName>
    <definedName name="solver_rel20" localSheetId="1" hidden="1">2</definedName>
    <definedName name="solver_rel20" localSheetId="4" hidden="1">1</definedName>
    <definedName name="solver_rel21" localSheetId="1" hidden="1">2</definedName>
    <definedName name="solver_rel21" localSheetId="4" hidden="1">1</definedName>
    <definedName name="solver_rel22" localSheetId="1" hidden="1">2</definedName>
    <definedName name="solver_rel22" localSheetId="4" hidden="1">1</definedName>
    <definedName name="solver_rel23" localSheetId="1" hidden="1">1</definedName>
    <definedName name="solver_rel23" localSheetId="4" hidden="1">1</definedName>
    <definedName name="solver_rel24" localSheetId="1" hidden="1">1</definedName>
    <definedName name="solver_rel24" localSheetId="4" hidden="1">1</definedName>
    <definedName name="solver_rel25" localSheetId="1" hidden="1">1</definedName>
    <definedName name="solver_rel25" localSheetId="4" hidden="1">1</definedName>
    <definedName name="solver_rel26" localSheetId="1" hidden="1">1</definedName>
    <definedName name="solver_rel26" localSheetId="4" hidden="1">1</definedName>
    <definedName name="solver_rel27" localSheetId="1" hidden="1">1</definedName>
    <definedName name="solver_rel27" localSheetId="4" hidden="1">1</definedName>
    <definedName name="solver_rel28" localSheetId="1" hidden="1">1</definedName>
    <definedName name="solver_rel28" localSheetId="4" hidden="1">2</definedName>
    <definedName name="solver_rel29" localSheetId="1" hidden="1">1</definedName>
    <definedName name="solver_rel29" localSheetId="4" hidden="1">2</definedName>
    <definedName name="solver_rel3" localSheetId="1" hidden="1">2</definedName>
    <definedName name="solver_rel3" localSheetId="4" hidden="1">1</definedName>
    <definedName name="solver_rel30" localSheetId="1" hidden="1">1</definedName>
    <definedName name="solver_rel30" localSheetId="4" hidden="1">2</definedName>
    <definedName name="solver_rel31" localSheetId="1" hidden="1">1</definedName>
    <definedName name="solver_rel31" localSheetId="4" hidden="1">2</definedName>
    <definedName name="solver_rel32" localSheetId="1" hidden="1">1</definedName>
    <definedName name="solver_rel32" localSheetId="4" hidden="1">2</definedName>
    <definedName name="solver_rel33" localSheetId="1" hidden="1">1</definedName>
    <definedName name="solver_rel33" localSheetId="4" hidden="1">2</definedName>
    <definedName name="solver_rel34" localSheetId="1" hidden="1">1</definedName>
    <definedName name="solver_rel34" localSheetId="4" hidden="1">2</definedName>
    <definedName name="solver_rel35" localSheetId="1" hidden="1">1</definedName>
    <definedName name="solver_rel35" localSheetId="4" hidden="1">2</definedName>
    <definedName name="solver_rel36" localSheetId="1" hidden="1">1</definedName>
    <definedName name="solver_rel36" localSheetId="4" hidden="1">2</definedName>
    <definedName name="solver_rel37" localSheetId="1" hidden="1">1</definedName>
    <definedName name="solver_rel37" localSheetId="4" hidden="1">2</definedName>
    <definedName name="solver_rel38" localSheetId="1" hidden="1">1</definedName>
    <definedName name="solver_rel38" localSheetId="4" hidden="1">2</definedName>
    <definedName name="solver_rel39" localSheetId="1" hidden="1">1</definedName>
    <definedName name="solver_rel39" localSheetId="4" hidden="1">2</definedName>
    <definedName name="solver_rel4" localSheetId="1" hidden="1">2</definedName>
    <definedName name="solver_rel4" localSheetId="4" hidden="1">1</definedName>
    <definedName name="solver_rel40" localSheetId="1" hidden="1">2</definedName>
    <definedName name="solver_rel40" localSheetId="4" hidden="1">2</definedName>
    <definedName name="solver_rel41" localSheetId="1" hidden="1">2</definedName>
    <definedName name="solver_rel41" localSheetId="4" hidden="1">2</definedName>
    <definedName name="solver_rel42" localSheetId="4" hidden="1">2</definedName>
    <definedName name="solver_rel43" localSheetId="4" hidden="1">2</definedName>
    <definedName name="solver_rel44" localSheetId="4" hidden="1">2</definedName>
    <definedName name="solver_rel45" localSheetId="4" hidden="1">2</definedName>
    <definedName name="solver_rel46" localSheetId="4" hidden="1">2</definedName>
    <definedName name="solver_rel47" localSheetId="4" hidden="1">2</definedName>
    <definedName name="solver_rel48" localSheetId="4" hidden="1">2</definedName>
    <definedName name="solver_rel49" localSheetId="4" hidden="1">2</definedName>
    <definedName name="solver_rel5" localSheetId="1" hidden="1">2</definedName>
    <definedName name="solver_rel5" localSheetId="4" hidden="1">1</definedName>
    <definedName name="solver_rel50" localSheetId="4" hidden="1">2</definedName>
    <definedName name="solver_rel51" localSheetId="4" hidden="1">2</definedName>
    <definedName name="solver_rel52" localSheetId="4" hidden="1">2</definedName>
    <definedName name="solver_rel53" localSheetId="4" hidden="1">2</definedName>
    <definedName name="solver_rel54" localSheetId="4" hidden="1">2</definedName>
    <definedName name="solver_rel55" localSheetId="4" hidden="1">2</definedName>
    <definedName name="solver_rel56" localSheetId="4" hidden="1">2</definedName>
    <definedName name="solver_rel57" localSheetId="4" hidden="1">2</definedName>
    <definedName name="solver_rel58" localSheetId="4" hidden="1">2</definedName>
    <definedName name="solver_rel59" localSheetId="4" hidden="1">2</definedName>
    <definedName name="solver_rel6" localSheetId="1" hidden="1">2</definedName>
    <definedName name="solver_rel6" localSheetId="4" hidden="1">1</definedName>
    <definedName name="solver_rel60" localSheetId="4" hidden="1">2</definedName>
    <definedName name="solver_rel61" localSheetId="4" hidden="1">2</definedName>
    <definedName name="solver_rel62" localSheetId="4" hidden="1">2</definedName>
    <definedName name="solver_rel63" localSheetId="4" hidden="1">2</definedName>
    <definedName name="solver_rel64" localSheetId="4" hidden="1">2</definedName>
    <definedName name="solver_rel65" localSheetId="4" hidden="1">2</definedName>
    <definedName name="solver_rel66" localSheetId="4" hidden="1">1</definedName>
    <definedName name="solver_rel67" localSheetId="4" hidden="1">1</definedName>
    <definedName name="solver_rel68" localSheetId="4" hidden="1">1</definedName>
    <definedName name="solver_rel69" localSheetId="4" hidden="1">1</definedName>
    <definedName name="solver_rel7" localSheetId="1" hidden="1">2</definedName>
    <definedName name="solver_rel7" localSheetId="4" hidden="1">1</definedName>
    <definedName name="solver_rel70" localSheetId="4" hidden="1">1</definedName>
    <definedName name="solver_rel71" localSheetId="4" hidden="1">1</definedName>
    <definedName name="solver_rel72" localSheetId="4" hidden="1">1</definedName>
    <definedName name="solver_rel73" localSheetId="4" hidden="1">1</definedName>
    <definedName name="solver_rel74" localSheetId="4" hidden="1">1</definedName>
    <definedName name="solver_rel75" localSheetId="4" hidden="1">1</definedName>
    <definedName name="solver_rel76" localSheetId="4" hidden="1">1</definedName>
    <definedName name="solver_rel77" localSheetId="4" hidden="1">1</definedName>
    <definedName name="solver_rel78" localSheetId="4" hidden="1">1</definedName>
    <definedName name="solver_rel79" localSheetId="4" hidden="1">1</definedName>
    <definedName name="solver_rel8" localSheetId="1" hidden="1">2</definedName>
    <definedName name="solver_rel8" localSheetId="4" hidden="1">1</definedName>
    <definedName name="solver_rel80" localSheetId="4" hidden="1">1</definedName>
    <definedName name="solver_rel81" localSheetId="4" hidden="1">2</definedName>
    <definedName name="solver_rel82" localSheetId="4" hidden="1">1</definedName>
    <definedName name="solver_rel9" localSheetId="1" hidden="1">2</definedName>
    <definedName name="solver_rel9" localSheetId="4" hidden="1">1</definedName>
    <definedName name="solver_rhs1" localSheetId="1" hidden="1">0</definedName>
    <definedName name="solver_rhs1" localSheetId="4" hidden="1">Utilidad!$AE$67:$AE$90</definedName>
    <definedName name="solver_rhs10" localSheetId="1" hidden="1">0</definedName>
    <definedName name="solver_rhs10" localSheetId="4" hidden="1">Utilidad!$V$68</definedName>
    <definedName name="solver_rhs11" localSheetId="1" hidden="1">0</definedName>
    <definedName name="solver_rhs11" localSheetId="4" hidden="1">Utilidad!$V$69</definedName>
    <definedName name="solver_rhs12" localSheetId="1" hidden="1">0</definedName>
    <definedName name="solver_rhs12" localSheetId="4" hidden="1">Utilidad!$V$80</definedName>
    <definedName name="solver_rhs13" localSheetId="1" hidden="1">0</definedName>
    <definedName name="solver_rhs13" localSheetId="4" hidden="1">Utilidad!$V$89</definedName>
    <definedName name="solver_rhs14" localSheetId="1" hidden="1">0</definedName>
    <definedName name="solver_rhs14" localSheetId="4" hidden="1">Utilidad!$X$120</definedName>
    <definedName name="solver_rhs15" localSheetId="1" hidden="1">0</definedName>
    <definedName name="solver_rhs15" localSheetId="4" hidden="1">Utilidad!$X$105</definedName>
    <definedName name="solver_rhs16" localSheetId="1" hidden="1">0</definedName>
    <definedName name="solver_rhs16" localSheetId="4" hidden="1">Utilidad!$X$122</definedName>
    <definedName name="solver_rhs17" localSheetId="1" hidden="1">0</definedName>
    <definedName name="solver_rhs17" localSheetId="4" hidden="1">Utilidad!$X$124</definedName>
    <definedName name="solver_rhs18" localSheetId="1" hidden="1">0</definedName>
    <definedName name="solver_rhs18" localSheetId="4" hidden="1">Utilidad!$X$68</definedName>
    <definedName name="solver_rhs19" localSheetId="1" hidden="1">0</definedName>
    <definedName name="solver_rhs19" localSheetId="4" hidden="1">Utilidad!$X$89</definedName>
    <definedName name="solver_rhs2" localSheetId="1" hidden="1">0</definedName>
    <definedName name="solver_rhs2" localSheetId="4" hidden="1">Utilidad!$AE$67:$AE$90</definedName>
    <definedName name="solver_rhs20" localSheetId="1" hidden="1">0</definedName>
    <definedName name="solver_rhs20" localSheetId="4" hidden="1">Utilidad!$X$89</definedName>
    <definedName name="solver_rhs21" localSheetId="1" hidden="1">0</definedName>
    <definedName name="solver_rhs21" localSheetId="4" hidden="1">Utilidad!$X$101</definedName>
    <definedName name="solver_rhs22" localSheetId="1" hidden="1">0</definedName>
    <definedName name="solver_rhs22" localSheetId="4" hidden="1">Utilidad!$X$101</definedName>
    <definedName name="solver_rhs23" localSheetId="1" hidden="1">'Bal Los Colorados'!$U$48</definedName>
    <definedName name="solver_rhs23" localSheetId="4" hidden="1">Utilidad!$X$101</definedName>
    <definedName name="solver_rhs24" localSheetId="1" hidden="1">'Bal Los Colorados'!$U$53</definedName>
    <definedName name="solver_rhs24" localSheetId="4" hidden="1">Utilidad!$X$101</definedName>
    <definedName name="solver_rhs25" localSheetId="1" hidden="1">'Bal Los Colorados'!$U$55</definedName>
    <definedName name="solver_rhs25" localSheetId="4" hidden="1">Utilidad!$X$89</definedName>
    <definedName name="solver_rhs26" localSheetId="1" hidden="1">'Bal Los Colorados'!$U$57</definedName>
    <definedName name="solver_rhs26" localSheetId="4" hidden="1">Utilidad!$X$101</definedName>
    <definedName name="solver_rhs27" localSheetId="1" hidden="1">'Bal Los Colorados'!$U$58</definedName>
    <definedName name="solver_rhs27" localSheetId="4" hidden="1">Utilidad!$X$101</definedName>
    <definedName name="solver_rhs28" localSheetId="1" hidden="1">'Bal Los Colorados'!$U$59</definedName>
    <definedName name="solver_rhs28" localSheetId="4" hidden="1">0</definedName>
    <definedName name="solver_rhs29" localSheetId="1" hidden="1">'Bal Los Colorados'!$U$68</definedName>
    <definedName name="solver_rhs29" localSheetId="4" hidden="1">0</definedName>
    <definedName name="solver_rhs3" localSheetId="1" hidden="1">0</definedName>
    <definedName name="solver_rhs3" localSheetId="4" hidden="1">Utilidad!$V$101</definedName>
    <definedName name="solver_rhs30" localSheetId="1" hidden="1">'Bal Los Colorados'!$U$69</definedName>
    <definedName name="solver_rhs30" localSheetId="4" hidden="1">0</definedName>
    <definedName name="solver_rhs31" localSheetId="1" hidden="1">'Bal Los Colorados'!$W$46</definedName>
    <definedName name="solver_rhs31" localSheetId="4" hidden="1">0</definedName>
    <definedName name="solver_rhs32" localSheetId="1" hidden="1">'Bal Los Colorados'!$W$55</definedName>
    <definedName name="solver_rhs32" localSheetId="4" hidden="1">0</definedName>
    <definedName name="solver_rhs33" localSheetId="1" hidden="1">'Bal Los Colorados'!$W$57</definedName>
    <definedName name="solver_rhs33" localSheetId="4" hidden="1">0</definedName>
    <definedName name="solver_rhs34" localSheetId="1" hidden="1">'Bal Los Colorados'!$W$59</definedName>
    <definedName name="solver_rhs34" localSheetId="4" hidden="1">0</definedName>
    <definedName name="solver_rhs35" localSheetId="1" hidden="1">'Bal Los Colorados'!$W$63</definedName>
    <definedName name="solver_rhs35" localSheetId="4" hidden="1">0</definedName>
    <definedName name="solver_rhs36" localSheetId="1" hidden="1">'Bal Los Colorados'!$W$66</definedName>
    <definedName name="solver_rhs36" localSheetId="4" hidden="1">0</definedName>
    <definedName name="solver_rhs37" localSheetId="1" hidden="1">'Bal Los Colorados'!$W$68</definedName>
    <definedName name="solver_rhs37" localSheetId="4" hidden="1">0</definedName>
    <definedName name="solver_rhs38" localSheetId="1" hidden="1">'Bal Los Colorados'!$W$69</definedName>
    <definedName name="solver_rhs38" localSheetId="4" hidden="1">0</definedName>
    <definedName name="solver_rhs39" localSheetId="1" hidden="1">'Bal Los Colorados'!$W$69</definedName>
    <definedName name="solver_rhs39" localSheetId="4" hidden="1">0</definedName>
    <definedName name="solver_rhs4" localSheetId="1" hidden="1">0</definedName>
    <definedName name="solver_rhs4" localSheetId="4" hidden="1">Utilidad!$V$103</definedName>
    <definedName name="solver_rhs40" localSheetId="1" hidden="1">0</definedName>
    <definedName name="solver_rhs40" localSheetId="4" hidden="1">0</definedName>
    <definedName name="solver_rhs41" localSheetId="1" hidden="1">0</definedName>
    <definedName name="solver_rhs41" localSheetId="4" hidden="1">0</definedName>
    <definedName name="solver_rhs42" localSheetId="4" hidden="1">0</definedName>
    <definedName name="solver_rhs43" localSheetId="4" hidden="1">0</definedName>
    <definedName name="solver_rhs44" localSheetId="4" hidden="1">0</definedName>
    <definedName name="solver_rhs45" localSheetId="4" hidden="1">0</definedName>
    <definedName name="solver_rhs46" localSheetId="4" hidden="1">0</definedName>
    <definedName name="solver_rhs47" localSheetId="4" hidden="1">0</definedName>
    <definedName name="solver_rhs48" localSheetId="4" hidden="1">0</definedName>
    <definedName name="solver_rhs49" localSheetId="4" hidden="1">0</definedName>
    <definedName name="solver_rhs5" localSheetId="1" hidden="1">0</definedName>
    <definedName name="solver_rhs5" localSheetId="4" hidden="1">Utilidad!$V$105</definedName>
    <definedName name="solver_rhs50" localSheetId="4" hidden="1">0</definedName>
    <definedName name="solver_rhs51" localSheetId="4" hidden="1">0</definedName>
    <definedName name="solver_rhs52" localSheetId="4" hidden="1">0</definedName>
    <definedName name="solver_rhs53" localSheetId="4" hidden="1">0</definedName>
    <definedName name="solver_rhs54" localSheetId="4" hidden="1">0</definedName>
    <definedName name="solver_rhs55" localSheetId="4" hidden="1">0</definedName>
    <definedName name="solver_rhs56" localSheetId="4" hidden="1">0</definedName>
    <definedName name="solver_rhs57" localSheetId="4" hidden="1">0</definedName>
    <definedName name="solver_rhs58" localSheetId="4" hidden="1">0</definedName>
    <definedName name="solver_rhs59" localSheetId="4" hidden="1">0</definedName>
    <definedName name="solver_rhs6" localSheetId="1" hidden="1">0</definedName>
    <definedName name="solver_rhs6" localSheetId="4" hidden="1">Utilidad!$V$122</definedName>
    <definedName name="solver_rhs60" localSheetId="4" hidden="1">0</definedName>
    <definedName name="solver_rhs61" localSheetId="4" hidden="1">0</definedName>
    <definedName name="solver_rhs62" localSheetId="4" hidden="1">0</definedName>
    <definedName name="solver_rhs63" localSheetId="4" hidden="1">0</definedName>
    <definedName name="solver_rhs64" localSheetId="4" hidden="1">0</definedName>
    <definedName name="solver_rhs65" localSheetId="4" hidden="1">0</definedName>
    <definedName name="solver_rhs66" localSheetId="4" hidden="1">Utilidad!$X$90</definedName>
    <definedName name="solver_rhs67" localSheetId="4" hidden="1">Utilidad!$X$96</definedName>
    <definedName name="solver_rhs68" localSheetId="4" hidden="1">Utilidad!$X$96</definedName>
    <definedName name="solver_rhs69" localSheetId="4" hidden="1">Utilidad!$X$96</definedName>
    <definedName name="solver_rhs7" localSheetId="1" hidden="1">0</definedName>
    <definedName name="solver_rhs7" localSheetId="4" hidden="1">Utilidad!$V$124</definedName>
    <definedName name="solver_rhs70" localSheetId="4" hidden="1">Utilidad!$X$96</definedName>
    <definedName name="solver_rhs71" localSheetId="4" hidden="1">Utilidad!$X$96</definedName>
    <definedName name="solver_rhs72" localSheetId="4" hidden="1">Utilidad!$X$96</definedName>
    <definedName name="solver_rhs73" localSheetId="4" hidden="1">Utilidad!$X$96</definedName>
    <definedName name="solver_rhs74" localSheetId="4" hidden="1">Utilidad!$X$96</definedName>
    <definedName name="solver_rhs75" localSheetId="4" hidden="1">Utilidad!$X$96</definedName>
    <definedName name="solver_rhs76" localSheetId="4" hidden="1">Utilidad!$X$96</definedName>
    <definedName name="solver_rhs77" localSheetId="4" hidden="1">Utilidad!$X$96</definedName>
    <definedName name="solver_rhs78" localSheetId="4" hidden="1">Utilidad!$X$96</definedName>
    <definedName name="solver_rhs79" localSheetId="4" hidden="1">Utilidad!$X$96</definedName>
    <definedName name="solver_rhs8" localSheetId="1" hidden="1">0</definedName>
    <definedName name="solver_rhs8" localSheetId="4" hidden="1">Utilidad!$V$126</definedName>
    <definedName name="solver_rhs80" localSheetId="4" hidden="1">Utilidad!$X$96</definedName>
    <definedName name="solver_rhs81" localSheetId="4" hidden="1">0</definedName>
    <definedName name="solver_rhs82" localSheetId="4" hidden="1">Utilidad!$X$96</definedName>
    <definedName name="solver_rhs9" localSheetId="1" hidden="1">0</definedName>
    <definedName name="solver_rhs9" localSheetId="4" hidden="1">Utilidad!$V$67</definedName>
    <definedName name="solver_rlx" localSheetId="1" hidden="1">2</definedName>
    <definedName name="solver_rlx" localSheetId="6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6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6" hidden="1">2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6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6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6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6" hidden="1">0.01</definedName>
    <definedName name="solver_tol" localSheetId="3" hidden="1">0.01</definedName>
    <definedName name="solver_tol" localSheetId="4" hidden="1">0.01</definedName>
    <definedName name="solver_typ" localSheetId="1" hidden="1">2</definedName>
    <definedName name="solver_typ" localSheetId="6" hidden="1">1</definedName>
    <definedName name="solver_typ" localSheetId="3" hidden="1">3</definedName>
    <definedName name="solver_typ" localSheetId="4" hidden="1">2</definedName>
    <definedName name="solver_val" localSheetId="1" hidden="1">0</definedName>
    <definedName name="solver_val" localSheetId="6" hidden="1">0</definedName>
    <definedName name="solver_val" localSheetId="3" hidden="1">87.4</definedName>
    <definedName name="solver_val" localSheetId="4" hidden="1">0</definedName>
    <definedName name="solver_ver" localSheetId="1" hidden="1">3</definedName>
    <definedName name="solver_ver" localSheetId="6" hidden="1">3</definedName>
    <definedName name="solver_ver" localSheetId="3" hidden="1">3</definedName>
    <definedName name="solver_ver" localSheetId="4" hidden="1">3</definedName>
    <definedName name="SUMCHECK" localSheetId="3">#REF!</definedName>
    <definedName name="SUMCHECK">#REF!</definedName>
    <definedName name="SUMCUTONNES" localSheetId="3">#REF!</definedName>
    <definedName name="SUMCUTONNES">#REF!</definedName>
    <definedName name="SUMDMT" localSheetId="3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7" i="13" l="1"/>
  <c r="O56" i="13"/>
  <c r="R19" i="13"/>
  <c r="R18" i="13"/>
  <c r="S41" i="13"/>
  <c r="S40" i="13"/>
  <c r="S66" i="13"/>
  <c r="S65" i="13"/>
  <c r="O77" i="13"/>
  <c r="O76" i="13"/>
  <c r="M47" i="13"/>
  <c r="M46" i="13"/>
  <c r="M38" i="13"/>
  <c r="D47" i="13"/>
  <c r="D46" i="13"/>
  <c r="H47" i="13"/>
  <c r="H46" i="13"/>
  <c r="I17" i="13"/>
  <c r="I16" i="13"/>
  <c r="I26" i="13"/>
  <c r="I27" i="13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67" i="1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2" i="16"/>
  <c r="J91" i="13" l="1"/>
  <c r="D36" i="17" s="1"/>
  <c r="M16" i="17"/>
  <c r="I11" i="17" l="1"/>
  <c r="G21" i="17"/>
  <c r="M17" i="17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2" i="16"/>
  <c r="M98" i="13"/>
  <c r="M97" i="13"/>
  <c r="M96" i="13"/>
  <c r="E95" i="13" l="1"/>
  <c r="E88" i="13"/>
  <c r="E86" i="13"/>
  <c r="E90" i="13"/>
  <c r="E89" i="13"/>
  <c r="E87" i="13"/>
  <c r="G87" i="13" l="1"/>
  <c r="G103" i="13"/>
  <c r="O98" i="13"/>
  <c r="Q98" i="13" s="1"/>
  <c r="O97" i="13"/>
  <c r="Q97" i="13" s="1"/>
  <c r="O96" i="13"/>
  <c r="Q96" i="13" s="1"/>
  <c r="P93" i="13"/>
  <c r="Q92" i="13"/>
  <c r="Q91" i="13"/>
  <c r="Q90" i="13"/>
  <c r="Q89" i="13"/>
  <c r="Q126" i="1"/>
  <c r="W46" i="13"/>
  <c r="N126" i="1"/>
  <c r="W45" i="13" s="1"/>
  <c r="Q125" i="1"/>
  <c r="N125" i="1"/>
  <c r="S57" i="13" s="1"/>
  <c r="Q124" i="1"/>
  <c r="T49" i="13"/>
  <c r="H20" i="17" s="1"/>
  <c r="I20" i="17" s="1"/>
  <c r="N124" i="1"/>
  <c r="T48" i="13" s="1"/>
  <c r="Q123" i="1"/>
  <c r="N123" i="1"/>
  <c r="Q122" i="1"/>
  <c r="U18" i="13"/>
  <c r="H16" i="17" s="1"/>
  <c r="N122" i="1"/>
  <c r="U17" i="13" s="1"/>
  <c r="Q121" i="1"/>
  <c r="N121" i="1"/>
  <c r="Q120" i="1"/>
  <c r="T40" i="13"/>
  <c r="H19" i="17" s="1"/>
  <c r="I19" i="17" s="1"/>
  <c r="N120" i="1"/>
  <c r="T39" i="13" s="1"/>
  <c r="Q119" i="1"/>
  <c r="R23" i="13"/>
  <c r="N119" i="1"/>
  <c r="R22" i="13" s="1"/>
  <c r="Q118" i="1"/>
  <c r="R57" i="13"/>
  <c r="N118" i="1"/>
  <c r="R56" i="13" s="1"/>
  <c r="Q117" i="1"/>
  <c r="R52" i="13"/>
  <c r="N117" i="1"/>
  <c r="R51" i="13" s="1"/>
  <c r="Q116" i="1"/>
  <c r="R46" i="13"/>
  <c r="N116" i="1"/>
  <c r="R45" i="13" s="1"/>
  <c r="Q115" i="1"/>
  <c r="O52" i="13"/>
  <c r="N115" i="1"/>
  <c r="O51" i="13" s="1"/>
  <c r="Q114" i="1"/>
  <c r="P72" i="13"/>
  <c r="N114" i="1"/>
  <c r="P71" i="13" s="1"/>
  <c r="Q113" i="1"/>
  <c r="Q41" i="13"/>
  <c r="N113" i="1"/>
  <c r="Q40" i="13" s="1"/>
  <c r="Q112" i="1"/>
  <c r="O40" i="13"/>
  <c r="N112" i="1"/>
  <c r="O39" i="13" s="1"/>
  <c r="Q111" i="1"/>
  <c r="O45" i="13"/>
  <c r="N111" i="1"/>
  <c r="O44" i="13" s="1"/>
  <c r="Q110" i="1"/>
  <c r="L15" i="13"/>
  <c r="N110" i="1"/>
  <c r="L14" i="13" s="1"/>
  <c r="Q109" i="1"/>
  <c r="R36" i="13"/>
  <c r="N109" i="1"/>
  <c r="R35" i="13" s="1"/>
  <c r="Q108" i="1"/>
  <c r="Q33" i="13"/>
  <c r="N108" i="1"/>
  <c r="Q32" i="13" s="1"/>
  <c r="Q107" i="1"/>
  <c r="N30" i="13"/>
  <c r="N107" i="1"/>
  <c r="N29" i="13" s="1"/>
  <c r="Q106" i="1"/>
  <c r="O35" i="13"/>
  <c r="N106" i="1"/>
  <c r="O34" i="13" s="1"/>
  <c r="Q105" i="1"/>
  <c r="T63" i="13"/>
  <c r="H18" i="17" s="1"/>
  <c r="I18" i="17" s="1"/>
  <c r="N105" i="1"/>
  <c r="T62" i="13" s="1"/>
  <c r="Q104" i="1"/>
  <c r="N104" i="1"/>
  <c r="Q103" i="1"/>
  <c r="R63" i="13"/>
  <c r="N11" i="17" s="1"/>
  <c r="N103" i="1"/>
  <c r="R62" i="13" s="1"/>
  <c r="Q102" i="1"/>
  <c r="N102" i="1"/>
  <c r="Q101" i="1"/>
  <c r="N59" i="13"/>
  <c r="N12" i="17" s="1"/>
  <c r="N101" i="1"/>
  <c r="N58" i="13" s="1"/>
  <c r="Q100" i="1"/>
  <c r="N100" i="1"/>
  <c r="Q99" i="1"/>
  <c r="O69" i="13"/>
  <c r="N99" i="1"/>
  <c r="O68" i="13" s="1"/>
  <c r="Q98" i="1"/>
  <c r="L69" i="13"/>
  <c r="N98" i="1"/>
  <c r="L68" i="13" s="1"/>
  <c r="Q97" i="1"/>
  <c r="M73" i="13"/>
  <c r="N97" i="1"/>
  <c r="M72" i="13" s="1"/>
  <c r="Q96" i="1"/>
  <c r="G75" i="13"/>
  <c r="N96" i="1"/>
  <c r="G74" i="13" s="1"/>
  <c r="Q95" i="1"/>
  <c r="N95" i="1"/>
  <c r="Q94" i="1"/>
  <c r="L51" i="13"/>
  <c r="N94" i="1"/>
  <c r="L50" i="13" s="1"/>
  <c r="Q93" i="1"/>
  <c r="N93" i="1"/>
  <c r="Q92" i="1"/>
  <c r="K60" i="13"/>
  <c r="N92" i="1"/>
  <c r="K59" i="13" s="1"/>
  <c r="Q91" i="1"/>
  <c r="H68" i="13"/>
  <c r="N91" i="1"/>
  <c r="H67" i="13" s="1"/>
  <c r="Q90" i="1"/>
  <c r="F66" i="13"/>
  <c r="N90" i="1"/>
  <c r="F65" i="13" s="1"/>
  <c r="Q89" i="1"/>
  <c r="C45" i="13"/>
  <c r="U69" i="13" s="1"/>
  <c r="H17" i="17" s="1"/>
  <c r="I17" i="17" s="1"/>
  <c r="N89" i="1"/>
  <c r="C44" i="13" s="1"/>
  <c r="U68" i="13" s="1"/>
  <c r="Q88" i="1"/>
  <c r="N88" i="1"/>
  <c r="Q87" i="1"/>
  <c r="F45" i="13"/>
  <c r="N87" i="1"/>
  <c r="F44" i="13" s="1"/>
  <c r="J88" i="13" s="1"/>
  <c r="M10" i="17" s="1"/>
  <c r="Q86" i="1"/>
  <c r="D50" i="13"/>
  <c r="N86" i="1"/>
  <c r="D49" i="13" s="1"/>
  <c r="Q85" i="1"/>
  <c r="E61" i="13"/>
  <c r="N85" i="1"/>
  <c r="E60" i="13" s="1"/>
  <c r="Q84" i="1"/>
  <c r="N84" i="1"/>
  <c r="Q83" i="1"/>
  <c r="E56" i="13"/>
  <c r="N83" i="1"/>
  <c r="E55" i="13" s="1"/>
  <c r="D57" i="13" s="1"/>
  <c r="Q82" i="1"/>
  <c r="J54" i="13"/>
  <c r="N82" i="1"/>
  <c r="J53" i="13" s="1"/>
  <c r="Q81" i="1"/>
  <c r="I58" i="13"/>
  <c r="N81" i="1"/>
  <c r="I57" i="13" s="1"/>
  <c r="Q80" i="1"/>
  <c r="G54" i="13"/>
  <c r="N10" i="17" s="1"/>
  <c r="N80" i="1"/>
  <c r="G53" i="13" s="1"/>
  <c r="Q79" i="1"/>
  <c r="I49" i="13"/>
  <c r="N79" i="1"/>
  <c r="I48" i="13" s="1"/>
  <c r="Q78" i="1"/>
  <c r="J45" i="13"/>
  <c r="N78" i="1"/>
  <c r="J44" i="13" s="1"/>
  <c r="Q77" i="1"/>
  <c r="N77" i="1"/>
  <c r="Q76" i="1"/>
  <c r="I38" i="13"/>
  <c r="N76" i="1"/>
  <c r="I37" i="13" s="1"/>
  <c r="Q75" i="1"/>
  <c r="F32" i="13"/>
  <c r="N16" i="17" s="1"/>
  <c r="N75" i="1"/>
  <c r="F31" i="13" s="1"/>
  <c r="E92" i="13" s="1"/>
  <c r="J92" i="13" s="1"/>
  <c r="Q74" i="1"/>
  <c r="J35" i="13"/>
  <c r="N74" i="1"/>
  <c r="J34" i="13" s="1"/>
  <c r="Q73" i="1"/>
  <c r="I30" i="13"/>
  <c r="N73" i="1"/>
  <c r="I29" i="13" s="1"/>
  <c r="Q72" i="1"/>
  <c r="N72" i="1"/>
  <c r="Q71" i="1"/>
  <c r="I20" i="13"/>
  <c r="H10" i="17" s="1"/>
  <c r="H14" i="17" s="1"/>
  <c r="N71" i="1"/>
  <c r="I19" i="13" s="1"/>
  <c r="G93" i="13" s="1"/>
  <c r="K93" i="13" s="1"/>
  <c r="G10" i="17" s="1"/>
  <c r="Q70" i="1"/>
  <c r="N70" i="1"/>
  <c r="Q69" i="1"/>
  <c r="G13" i="13"/>
  <c r="N69" i="1"/>
  <c r="G12" i="13" s="1"/>
  <c r="Q68" i="1"/>
  <c r="O10" i="13"/>
  <c r="N13" i="17" s="1"/>
  <c r="N68" i="1"/>
  <c r="O9" i="13" s="1"/>
  <c r="E94" i="13" s="1"/>
  <c r="J94" i="13" s="1"/>
  <c r="M13" i="17" s="1"/>
  <c r="Q67" i="1"/>
  <c r="F5" i="13"/>
  <c r="N67" i="1"/>
  <c r="F4" i="13" s="1"/>
  <c r="D60" i="1"/>
  <c r="P126" i="1" s="1"/>
  <c r="W47" i="13" s="1"/>
  <c r="D59" i="1"/>
  <c r="P125" i="1" s="1"/>
  <c r="S58" i="13" s="1"/>
  <c r="D58" i="1"/>
  <c r="P124" i="1" s="1"/>
  <c r="T50" i="13" s="1"/>
  <c r="D57" i="1"/>
  <c r="P123" i="1" s="1"/>
  <c r="D56" i="1"/>
  <c r="P122" i="1" s="1"/>
  <c r="U19" i="13" s="1"/>
  <c r="D55" i="1"/>
  <c r="P121" i="1" s="1"/>
  <c r="D54" i="1"/>
  <c r="P120" i="1" s="1"/>
  <c r="T41" i="13" s="1"/>
  <c r="D53" i="1"/>
  <c r="P119" i="1" s="1"/>
  <c r="R24" i="13" s="1"/>
  <c r="D52" i="1"/>
  <c r="P118" i="1" s="1"/>
  <c r="R58" i="13" s="1"/>
  <c r="D51" i="1"/>
  <c r="P117" i="1" s="1"/>
  <c r="R53" i="13" s="1"/>
  <c r="D50" i="1"/>
  <c r="P116" i="1" s="1"/>
  <c r="R47" i="13" s="1"/>
  <c r="D49" i="1"/>
  <c r="P115" i="1" s="1"/>
  <c r="O53" i="13" s="1"/>
  <c r="D48" i="1"/>
  <c r="P114" i="1" s="1"/>
  <c r="P73" i="13" s="1"/>
  <c r="D47" i="1"/>
  <c r="P113" i="1" s="1"/>
  <c r="Q42" i="13" s="1"/>
  <c r="D46" i="1"/>
  <c r="P112" i="1" s="1"/>
  <c r="O41" i="13" s="1"/>
  <c r="D45" i="1"/>
  <c r="P111" i="1" s="1"/>
  <c r="O46" i="13" s="1"/>
  <c r="D44" i="1"/>
  <c r="P110" i="1" s="1"/>
  <c r="L16" i="13" s="1"/>
  <c r="D43" i="1"/>
  <c r="P109" i="1" s="1"/>
  <c r="R37" i="13" s="1"/>
  <c r="D42" i="1"/>
  <c r="P108" i="1" s="1"/>
  <c r="Q34" i="13" s="1"/>
  <c r="D41" i="1"/>
  <c r="P107" i="1" s="1"/>
  <c r="N31" i="13" s="1"/>
  <c r="D40" i="1"/>
  <c r="P106" i="1" s="1"/>
  <c r="O36" i="13" s="1"/>
  <c r="D39" i="1"/>
  <c r="P105" i="1" s="1"/>
  <c r="T64" i="13" s="1"/>
  <c r="D38" i="1"/>
  <c r="P104" i="1" s="1"/>
  <c r="D37" i="1"/>
  <c r="P103" i="1" s="1"/>
  <c r="R64" i="13" s="1"/>
  <c r="D36" i="1"/>
  <c r="P102" i="1" s="1"/>
  <c r="D35" i="1"/>
  <c r="P101" i="1" s="1"/>
  <c r="N60" i="13" s="1"/>
  <c r="D34" i="1"/>
  <c r="P100" i="1" s="1"/>
  <c r="D33" i="1"/>
  <c r="P99" i="1" s="1"/>
  <c r="O70" i="13" s="1"/>
  <c r="D32" i="1"/>
  <c r="P98" i="1" s="1"/>
  <c r="L70" i="13" s="1"/>
  <c r="D31" i="1"/>
  <c r="P97" i="1" s="1"/>
  <c r="M74" i="13" s="1"/>
  <c r="D30" i="1"/>
  <c r="P96" i="1" s="1"/>
  <c r="G76" i="13" s="1"/>
  <c r="D29" i="1"/>
  <c r="P95" i="1" s="1"/>
  <c r="D28" i="1"/>
  <c r="P94" i="1" s="1"/>
  <c r="L52" i="13" s="1"/>
  <c r="D27" i="1"/>
  <c r="P93" i="1" s="1"/>
  <c r="D26" i="1"/>
  <c r="P92" i="1" s="1"/>
  <c r="K61" i="13" s="1"/>
  <c r="D25" i="1"/>
  <c r="P91" i="1" s="1"/>
  <c r="H69" i="13" s="1"/>
  <c r="D24" i="1"/>
  <c r="P90" i="1" s="1"/>
  <c r="F67" i="13" s="1"/>
  <c r="D23" i="1"/>
  <c r="P89" i="1" s="1"/>
  <c r="C46" i="13" s="1"/>
  <c r="U70" i="13" s="1"/>
  <c r="D22" i="1"/>
  <c r="P88" i="1" s="1"/>
  <c r="D21" i="1"/>
  <c r="P87" i="1" s="1"/>
  <c r="F46" i="13" s="1"/>
  <c r="D20" i="1"/>
  <c r="P86" i="1" s="1"/>
  <c r="D51" i="13" s="1"/>
  <c r="D19" i="1"/>
  <c r="P85" i="1" s="1"/>
  <c r="E62" i="13" s="1"/>
  <c r="D18" i="1"/>
  <c r="P84" i="1" s="1"/>
  <c r="D17" i="1"/>
  <c r="P83" i="1" s="1"/>
  <c r="E57" i="13" s="1"/>
  <c r="D16" i="1"/>
  <c r="P82" i="1" s="1"/>
  <c r="J55" i="13" s="1"/>
  <c r="D15" i="1"/>
  <c r="P81" i="1" s="1"/>
  <c r="I59" i="13" s="1"/>
  <c r="D14" i="1"/>
  <c r="P80" i="1" s="1"/>
  <c r="G55" i="13" s="1"/>
  <c r="D13" i="1"/>
  <c r="P79" i="1" s="1"/>
  <c r="I50" i="13" s="1"/>
  <c r="D12" i="1"/>
  <c r="P78" i="1" s="1"/>
  <c r="J46" i="13" s="1"/>
  <c r="D11" i="1"/>
  <c r="P77" i="1" s="1"/>
  <c r="D10" i="1"/>
  <c r="P76" i="1" s="1"/>
  <c r="I39" i="13" s="1"/>
  <c r="D9" i="1"/>
  <c r="P75" i="1" s="1"/>
  <c r="F33" i="13" s="1"/>
  <c r="D8" i="1"/>
  <c r="P74" i="1" s="1"/>
  <c r="J36" i="13" s="1"/>
  <c r="D7" i="1"/>
  <c r="P73" i="1" s="1"/>
  <c r="I31" i="13" s="1"/>
  <c r="D6" i="1"/>
  <c r="P72" i="1" s="1"/>
  <c r="D5" i="1"/>
  <c r="P71" i="1" s="1"/>
  <c r="I21" i="13" s="1"/>
  <c r="D4" i="1"/>
  <c r="P70" i="1" s="1"/>
  <c r="D3" i="1"/>
  <c r="P69" i="1" s="1"/>
  <c r="G14" i="13" s="1"/>
  <c r="D2" i="1"/>
  <c r="P68" i="1" s="1"/>
  <c r="O11" i="13" s="1"/>
  <c r="D1" i="1"/>
  <c r="P67" i="1" s="1"/>
  <c r="F6" i="13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O13" i="17" l="1"/>
  <c r="O16" i="17"/>
  <c r="N17" i="17"/>
  <c r="O17" i="17" s="1"/>
  <c r="H21" i="17"/>
  <c r="I16" i="17"/>
  <c r="I21" i="17" s="1"/>
  <c r="G14" i="17"/>
  <c r="I10" i="17"/>
  <c r="I14" i="17" s="1"/>
  <c r="O10" i="17"/>
  <c r="M14" i="17"/>
  <c r="N14" i="17" s="1"/>
  <c r="N76" i="5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M11" i="17" s="1"/>
  <c r="O11" i="17" s="1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G88" i="13"/>
  <c r="J87" i="13"/>
  <c r="M12" i="17" s="1"/>
  <c r="O12" i="17" s="1"/>
  <c r="G86" i="13"/>
  <c r="J95" i="13"/>
  <c r="K59" i="5"/>
  <c r="E93" i="13"/>
  <c r="J93" i="13" s="1"/>
  <c r="M93" i="13" s="1"/>
  <c r="L36" i="13"/>
  <c r="J90" i="13"/>
  <c r="F38" i="13"/>
  <c r="E91" i="13" s="1"/>
  <c r="F37" i="13"/>
  <c r="J65" i="13"/>
  <c r="J59" i="13"/>
  <c r="P32" i="13"/>
  <c r="G95" i="13"/>
  <c r="K95" i="13" s="1"/>
  <c r="G94" i="13"/>
  <c r="K94" i="13" s="1"/>
  <c r="M94" i="13" s="1"/>
  <c r="Q94" i="13" s="1"/>
  <c r="U52" i="13"/>
  <c r="AA30" i="13"/>
  <c r="Y37" i="13" s="1"/>
  <c r="K87" i="13"/>
  <c r="O14" i="17" l="1"/>
  <c r="J36" i="17"/>
  <c r="M95" i="13"/>
  <c r="Q95" i="13" s="1"/>
  <c r="V28" i="13"/>
  <c r="V30" i="13" s="1"/>
  <c r="Y39" i="13"/>
  <c r="N77" i="5"/>
  <c r="K104" i="5" s="1"/>
  <c r="K52" i="5"/>
  <c r="S50" i="5"/>
  <c r="V50" i="5" s="1"/>
  <c r="M87" i="13"/>
  <c r="Q87" i="13" s="1"/>
  <c r="E99" i="13"/>
  <c r="N11" i="5"/>
  <c r="H6" i="3"/>
  <c r="P53" i="5" s="1"/>
  <c r="M14" i="5"/>
  <c r="H7" i="3"/>
  <c r="P56" i="5" s="1"/>
  <c r="Q20" i="5"/>
  <c r="H8" i="3"/>
  <c r="P62" i="5" s="1"/>
  <c r="L37" i="13"/>
  <c r="L38" i="13" s="1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99" i="13"/>
  <c r="R62" i="5" l="1"/>
  <c r="T62" i="5" s="1"/>
  <c r="M89" i="5"/>
  <c r="J116" i="5" s="1"/>
  <c r="Q62" i="5"/>
  <c r="M79" i="5"/>
  <c r="J106" i="5" s="1"/>
  <c r="R52" i="5"/>
  <c r="T52" i="5" s="1"/>
  <c r="K88" i="13"/>
  <c r="M88" i="13" s="1"/>
  <c r="Q88" i="13" s="1"/>
  <c r="S52" i="5"/>
  <c r="V52" i="5" s="1"/>
  <c r="N79" i="5"/>
  <c r="K106" i="5" s="1"/>
  <c r="N80" i="5"/>
  <c r="K107" i="5" s="1"/>
  <c r="S53" i="5"/>
  <c r="V53" i="5" s="1"/>
  <c r="M86" i="13"/>
  <c r="Q86" i="13" l="1"/>
  <c r="O99" i="13"/>
  <c r="O100" i="13"/>
  <c r="K99" i="13"/>
  <c r="Q99" i="13" l="1"/>
  <c r="Q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<sst xmlns="http://schemas.openxmlformats.org/spreadsheetml/2006/main" count="332" uniqueCount="212">
  <si>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</si>
  <si>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</si>
  <si>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</si>
  <si>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</si>
  <si>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</si>
  <si>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</si>
  <si>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</si>
  <si>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</si>
  <si>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</si>
  <si>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</si>
  <si>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</si>
  <si>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</si>
  <si>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</si>
  <si>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</si>
  <si>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</si>
  <si>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</si>
  <si>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</si>
  <si>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</si>
  <si>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</si>
  <si>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</si>
  <si>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</si>
  <si>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</si>
  <si>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</si>
  <si>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</si>
  <si>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</si>
  <si>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</si>
  <si>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</si>
  <si>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</si>
  <si>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</si>
  <si>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</si>
  <si>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</si>
  <si>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</si>
  <si>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</si>
  <si>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</si>
  <si>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</si>
  <si>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</si>
  <si>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</si>
  <si>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</si>
  <si>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</si>
  <si>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</si>
  <si>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</si>
  <si>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</si>
  <si>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</si>
  <si>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</si>
  <si>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</si>
  <si>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</si>
  <si>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</si>
  <si>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</si>
  <si>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</si>
  <si>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</si>
  <si>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</si>
  <si>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</si>
  <si>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</si>
  <si>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</si>
  <si>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</si>
  <si>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</si>
  <si>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</si>
  <si>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</si>
  <si>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</si>
  <si>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</si>
  <si>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</si>
  <si>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</si>
  <si>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</si>
  <si>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</si>
  <si>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</si>
  <si>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</si>
  <si>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</si>
  <si>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</si>
  <si>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</si>
  <si>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</si>
  <si>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</si>
  <si>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</si>
  <si>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</si>
  <si>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</si>
  <si>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</si>
  <si>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</si>
  <si>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</si>
  <si>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</si>
  <si>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</si>
  <si>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</si>
  <si>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</si>
  <si>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</si>
  <si>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</si>
  <si>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</si>
  <si>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</si>
  <si>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</si>
  <si>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</si>
  <si>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</si>
  <si>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</si>
  <si>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</si>
  <si>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</si>
  <si>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</si>
  <si>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</si>
  <si>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</si>
  <si>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</si>
  <si>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</si>
  <si>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</si>
  <si>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</si>
  <si>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</si>
  <si>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</si>
  <si>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</si>
  <si>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</si>
  <si>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</si>
  <si>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</si>
  <si>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</si>
  <si>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</si>
  <si>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</si>
  <si>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</si>
  <si>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</si>
  <si>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</si>
  <si>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</si>
  <si>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</si>
  <si>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</si>
  <si>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</si>
  <si>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</si>
  <si>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</si>
  <si>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</si>
  <si>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</si>
  <si>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</si>
  <si>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</si>
  <si>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</si>
  <si>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</si>
  <si>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</si>
  <si>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</si>
  <si>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</si>
  <si>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</si>
  <si>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</si>
  <si>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</si>
  <si>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</si>
  <si>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</si>
  <si>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</si>
  <si>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</si>
  <si>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</si>
  <si>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</si>
  <si>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</si>
  <si>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</si>
  <si>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</si>
  <si>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</si>
  <si>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</si>
  <si>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</si>
  <si>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</si>
  <si>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</si>
  <si>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</si>
  <si>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</si>
  <si>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</si>
  <si>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</si>
  <si>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</si>
  <si>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</si>
  <si>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</si>
  <si>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</si>
  <si>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</si>
  <si>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</si>
  <si>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</si>
  <si>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</si>
  <si>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</si>
  <si>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</si>
  <si>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</si>
  <si>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</si>
  <si>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</si>
  <si>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</si>
  <si>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</si>
  <si>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</si>
  <si>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</si>
  <si>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</si>
  <si>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</si>
  <si>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</si>
  <si>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</si>
  <si>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</si>
  <si>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</si>
  <si>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</si>
  <si>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</si>
  <si>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</si>
  <si>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</si>
  <si>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</si>
  <si>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Ingreso
31</t>
  </si>
  <si>
    <t>Salida
31</t>
  </si>
  <si>
    <t>RECUPERACIÓN METALÚRGICA</t>
  </si>
  <si>
    <t>RECUPERACIÓN EN PESO</t>
  </si>
  <si>
    <t>INDICADORES VALLE HUASCO</t>
  </si>
  <si>
    <t>TOTAL</t>
  </si>
  <si>
    <t>Pellet Chip en Cancha</t>
  </si>
  <si>
    <t>Pellet Producto en Cancha</t>
  </si>
  <si>
    <t>Finos Huasco en Cancha</t>
  </si>
  <si>
    <t>Pellet Feed en Cancha</t>
  </si>
  <si>
    <t>Sinter Feed en Cancha</t>
  </si>
  <si>
    <t>Finos Recuperados</t>
  </si>
  <si>
    <t>Preconcentrado en Cancha</t>
  </si>
  <si>
    <t>DIF</t>
  </si>
  <si>
    <t>SAP</t>
  </si>
  <si>
    <t>% FeT</t>
  </si>
  <si>
    <t>INVENTARIOS</t>
  </si>
  <si>
    <t>Pellet Chips</t>
  </si>
  <si>
    <t>Pellet Producto</t>
  </si>
  <si>
    <t>Pellet Feed</t>
  </si>
  <si>
    <t>Emisario Submarino</t>
  </si>
  <si>
    <t xml:space="preserve">Sinter Feed </t>
  </si>
  <si>
    <t xml:space="preserve">PÉRDIDAS </t>
  </si>
  <si>
    <t>EMBARQUES</t>
  </si>
  <si>
    <t>FL_000_501_03</t>
  </si>
  <si>
    <t>Sinter Feed hacia Planta de Pellets</t>
  </si>
  <si>
    <t>Pellet Chips desde Pila Emergencia</t>
  </si>
  <si>
    <t>Pellet Producto desde Pila Emergencia</t>
  </si>
  <si>
    <t>Finos hacia Molinos</t>
  </si>
  <si>
    <t>Preconcentrado hacia Molinos</t>
  </si>
  <si>
    <t>FL_218_501_01</t>
  </si>
  <si>
    <t>PRODUCCIÓN</t>
  </si>
  <si>
    <t>FINO</t>
  </si>
  <si>
    <t>LEY</t>
  </si>
  <si>
    <t>TONELAJE</t>
  </si>
  <si>
    <t>FECHA DE BALANCE</t>
  </si>
  <si>
    <t>REPORTE DE PLANTA DE PELLETS</t>
  </si>
  <si>
    <t>BALANCE METALÚRGICO - VALLE HUASCO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</si>
</sst>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0.0000%"/>
    <numFmt numFmtId="169" formatCode="#,##0_ ;\-#,##0\ "/>
    <numFmt numFmtId="170" formatCode="0.0"/>
    <numFmt numFmtId="171" formatCode="0_)"/>
    <numFmt numFmtId="172" formatCode="#,##0.0000000_ ;\-#,##0.0000000\ "/>
    <numFmt numFmtId="173" formatCode="#,##0.000_ ;\-#,##0.000\ "/>
    <numFmt numFmtId="174" formatCode="#,##0.00_ ;\-#,##0.00\ "/>
    <numFmt numFmtId="175" formatCode="#,##0.0_ ;\-#,##0.0\ "/>
    <numFmt numFmtId="176" formatCode="dd\ /\ mmmm\ /\ yyyy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4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8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8" borderId="0" xfId="0" applyFont="1" applyFill="1"/>
    <xf numFmtId="0" fontId="0" fillId="9" borderId="11" xfId="0" applyFill="1" applyBorder="1" applyAlignment="1">
      <alignment horizontal="center"/>
    </xf>
    <xf numFmtId="0" fontId="0" fillId="8" borderId="1" xfId="0" applyFill="1" applyBorder="1"/>
    <xf numFmtId="10" fontId="0" fillId="0" borderId="1" xfId="0" applyNumberFormat="1" applyBorder="1"/>
    <xf numFmtId="0" fontId="11" fillId="8" borderId="1" xfId="0" applyFont="1" applyFill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11" fillId="8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8" borderId="1" xfId="0" applyNumberFormat="1" applyFont="1" applyFill="1" applyBorder="1"/>
    <xf numFmtId="3" fontId="18" fillId="8" borderId="1" xfId="0" applyNumberFormat="1" applyFont="1" applyFill="1" applyBorder="1" applyAlignment="1">
      <alignment horizontal="center" vertical="center"/>
    </xf>
    <xf numFmtId="10" fontId="18" fillId="8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8" borderId="1" xfId="0" applyFont="1" applyFill="1" applyBorder="1"/>
    <xf numFmtId="3" fontId="18" fillId="12" borderId="1" xfId="0" applyNumberFormat="1" applyFont="1" applyFill="1" applyBorder="1"/>
    <xf numFmtId="10" fontId="0" fillId="4" borderId="1" xfId="0" applyNumberFormat="1" applyFill="1" applyBorder="1"/>
    <xf numFmtId="0" fontId="21" fillId="13" borderId="1" xfId="0" applyFont="1" applyFill="1" applyBorder="1"/>
    <xf numFmtId="10" fontId="21" fillId="13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8" borderId="1" xfId="0" applyFill="1" applyBorder="1"/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13" borderId="3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4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4" borderId="2" xfId="0" applyFont="1" applyFill="1" applyBorder="1" applyAlignment="1">
      <alignment horizontal="center" vertical="center" wrapText="1"/>
    </xf>
    <xf numFmtId="1" fontId="8" fillId="14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10" fontId="28" fillId="0" borderId="1" xfId="0" applyNumberFormat="1" applyFont="1" applyBorder="1"/>
    <xf numFmtId="0" fontId="27" fillId="0" borderId="23" xfId="0" applyFont="1" applyBorder="1"/>
    <xf numFmtId="0" fontId="27" fillId="17" borderId="24" xfId="0" applyFont="1" applyFill="1" applyBorder="1"/>
    <xf numFmtId="0" fontId="27" fillId="17" borderId="25" xfId="0" applyFont="1" applyFill="1" applyBorder="1"/>
    <xf numFmtId="0" fontId="0" fillId="13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3" borderId="0" xfId="0" applyNumberFormat="1" applyFont="1" applyFill="1" applyBorder="1"/>
    <xf numFmtId="10" fontId="0" fillId="13" borderId="0" xfId="0" applyNumberFormat="1" applyFont="1" applyFill="1" applyBorder="1"/>
    <xf numFmtId="0" fontId="0" fillId="0" borderId="0" xfId="0" applyFont="1" applyBorder="1"/>
    <xf numFmtId="0" fontId="27" fillId="16" borderId="26" xfId="0" applyFont="1" applyFill="1" applyBorder="1"/>
    <xf numFmtId="0" fontId="27" fillId="16" borderId="24" xfId="0" applyFont="1" applyFill="1" applyBorder="1"/>
    <xf numFmtId="0" fontId="27" fillId="16" borderId="27" xfId="0" applyFont="1" applyFill="1" applyBorder="1"/>
    <xf numFmtId="0" fontId="27" fillId="17" borderId="27" xfId="0" applyFont="1" applyFill="1" applyBorder="1"/>
    <xf numFmtId="0" fontId="27" fillId="18" borderId="24" xfId="0" applyFont="1" applyFill="1" applyBorder="1"/>
    <xf numFmtId="0" fontId="27" fillId="18" borderId="27" xfId="0" applyFont="1" applyFill="1" applyBorder="1"/>
    <xf numFmtId="0" fontId="27" fillId="20" borderId="26" xfId="0" applyFont="1" applyFill="1" applyBorder="1"/>
    <xf numFmtId="0" fontId="27" fillId="20" borderId="24" xfId="0" applyFont="1" applyFill="1" applyBorder="1"/>
    <xf numFmtId="0" fontId="27" fillId="20" borderId="27" xfId="0" applyFont="1" applyFill="1" applyBorder="1"/>
    <xf numFmtId="0" fontId="27" fillId="21" borderId="26" xfId="0" applyFont="1" applyFill="1" applyBorder="1"/>
    <xf numFmtId="0" fontId="27" fillId="21" borderId="24" xfId="0" applyFont="1" applyFill="1" applyBorder="1"/>
    <xf numFmtId="0" fontId="27" fillId="21" borderId="27" xfId="0" applyFont="1" applyFill="1" applyBorder="1"/>
    <xf numFmtId="0" fontId="27" fillId="19" borderId="26" xfId="0" applyFont="1" applyFill="1" applyBorder="1"/>
    <xf numFmtId="0" fontId="27" fillId="19" borderId="24" xfId="0" applyFont="1" applyFill="1" applyBorder="1"/>
    <xf numFmtId="0" fontId="27" fillId="19" borderId="27" xfId="0" applyFont="1" applyFill="1" applyBorder="1"/>
    <xf numFmtId="0" fontId="27" fillId="15" borderId="1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168" fontId="0" fillId="0" borderId="1" xfId="0" applyNumberFormat="1" applyBorder="1"/>
    <xf numFmtId="1" fontId="28" fillId="0" borderId="1" xfId="0" applyNumberFormat="1" applyFont="1" applyBorder="1"/>
    <xf numFmtId="0" fontId="31" fillId="13" borderId="0" xfId="0" applyFont="1" applyFill="1" applyBorder="1"/>
    <xf numFmtId="10" fontId="31" fillId="13" borderId="0" xfId="0" applyNumberFormat="1" applyFont="1" applyFill="1" applyBorder="1"/>
    <xf numFmtId="10" fontId="31" fillId="13" borderId="0" xfId="0" applyNumberFormat="1" applyFont="1" applyFill="1"/>
    <xf numFmtId="0" fontId="31" fillId="0" borderId="0" xfId="0" applyFont="1"/>
    <xf numFmtId="0" fontId="32" fillId="13" borderId="0" xfId="0" applyFont="1" applyFill="1" applyBorder="1"/>
    <xf numFmtId="0" fontId="32" fillId="13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/>
    <xf numFmtId="0" fontId="31" fillId="0" borderId="0" xfId="0" applyFont="1" applyFill="1"/>
    <xf numFmtId="3" fontId="31" fillId="13" borderId="0" xfId="0" applyNumberFormat="1" applyFont="1" applyFill="1" applyBorder="1"/>
    <xf numFmtId="165" fontId="31" fillId="13" borderId="0" xfId="0" applyNumberFormat="1" applyFont="1" applyFill="1" applyBorder="1"/>
    <xf numFmtId="3" fontId="33" fillId="13" borderId="0" xfId="0" applyNumberFormat="1" applyFont="1" applyFill="1" applyBorder="1" applyAlignment="1">
      <alignment horizontal="center" vertical="center"/>
    </xf>
    <xf numFmtId="0" fontId="31" fillId="13" borderId="0" xfId="2" applyFont="1" applyFill="1" applyBorder="1" applyAlignment="1">
      <alignment horizontal="center"/>
    </xf>
    <xf numFmtId="10" fontId="34" fillId="0" borderId="0" xfId="3" applyNumberFormat="1" applyFont="1"/>
    <xf numFmtId="0" fontId="34" fillId="0" borderId="21" xfId="4" applyFont="1" applyBorder="1"/>
    <xf numFmtId="0" fontId="34" fillId="0" borderId="13" xfId="4" applyFont="1" applyBorder="1"/>
    <xf numFmtId="0" fontId="34" fillId="0" borderId="20" xfId="4" applyFont="1" applyBorder="1"/>
    <xf numFmtId="0" fontId="34" fillId="0" borderId="19" xfId="4" applyFont="1" applyBorder="1"/>
    <xf numFmtId="2" fontId="34" fillId="0" borderId="0" xfId="6" applyNumberFormat="1" applyFont="1" applyAlignment="1">
      <alignment horizontal="center"/>
    </xf>
    <xf numFmtId="169" fontId="34" fillId="0" borderId="0" xfId="5" applyNumberFormat="1" applyFont="1" applyAlignment="1">
      <alignment horizontal="center"/>
    </xf>
    <xf numFmtId="170" fontId="34" fillId="0" borderId="0" xfId="4" applyNumberFormat="1" applyFont="1" applyAlignment="1">
      <alignment horizontal="center" vertical="center"/>
    </xf>
    <xf numFmtId="10" fontId="34" fillId="0" borderId="0" xfId="3" applyNumberFormat="1" applyFont="1" applyAlignment="1">
      <alignment horizontal="center"/>
    </xf>
    <xf numFmtId="9" fontId="34" fillId="0" borderId="0" xfId="3" applyFont="1" applyAlignment="1">
      <alignment horizontal="center"/>
    </xf>
    <xf numFmtId="0" fontId="34" fillId="0" borderId="18" xfId="4" applyFont="1" applyBorder="1"/>
    <xf numFmtId="2" fontId="34" fillId="13" borderId="0" xfId="6" applyNumberFormat="1" applyFont="1" applyFill="1" applyAlignment="1">
      <alignment horizontal="center"/>
    </xf>
    <xf numFmtId="169" fontId="34" fillId="13" borderId="0" xfId="5" applyNumberFormat="1" applyFont="1" applyFill="1" applyAlignment="1">
      <alignment horizontal="center"/>
    </xf>
    <xf numFmtId="9" fontId="34" fillId="13" borderId="0" xfId="3" applyFont="1" applyFill="1" applyAlignment="1">
      <alignment horizontal="center"/>
    </xf>
    <xf numFmtId="0" fontId="35" fillId="13" borderId="0" xfId="4" applyFont="1" applyFill="1" applyAlignment="1">
      <alignment horizontal="center"/>
    </xf>
    <xf numFmtId="9" fontId="35" fillId="13" borderId="0" xfId="3" applyFont="1" applyFill="1" applyAlignment="1">
      <alignment horizontal="center"/>
    </xf>
    <xf numFmtId="171" fontId="35" fillId="0" borderId="0" xfId="4" applyNumberFormat="1" applyFont="1" applyAlignment="1">
      <alignment horizontal="center" vertical="center"/>
    </xf>
    <xf numFmtId="3" fontId="35" fillId="0" borderId="0" xfId="4" applyNumberFormat="1" applyFont="1" applyAlignment="1">
      <alignment horizontal="right" vertical="center"/>
    </xf>
    <xf numFmtId="3" fontId="35" fillId="0" borderId="0" xfId="4" quotePrefix="1" applyNumberFormat="1" applyFont="1" applyAlignment="1">
      <alignment horizontal="right"/>
    </xf>
    <xf numFmtId="3" fontId="35" fillId="0" borderId="0" xfId="4" quotePrefix="1" applyNumberFormat="1" applyFont="1" applyAlignment="1">
      <alignment horizontal="right" vertical="center"/>
    </xf>
    <xf numFmtId="0" fontId="34" fillId="0" borderId="29" xfId="4" applyFont="1" applyBorder="1"/>
    <xf numFmtId="172" fontId="34" fillId="0" borderId="0" xfId="4" applyNumberFormat="1" applyFont="1"/>
    <xf numFmtId="169" fontId="38" fillId="0" borderId="0" xfId="5" applyNumberFormat="1" applyFont="1" applyAlignment="1">
      <alignment horizontal="center" vertical="center"/>
    </xf>
    <xf numFmtId="173" fontId="38" fillId="0" borderId="0" xfId="5" applyNumberFormat="1" applyFont="1" applyAlignment="1">
      <alignment horizontal="center" vertical="center"/>
    </xf>
    <xf numFmtId="0" fontId="38" fillId="0" borderId="0" xfId="4" applyFont="1" applyAlignment="1">
      <alignment vertical="center"/>
    </xf>
    <xf numFmtId="169" fontId="39" fillId="4" borderId="31" xfId="5" applyNumberFormat="1" applyFont="1" applyFill="1" applyBorder="1" applyAlignment="1">
      <alignment horizontal="center" vertical="center"/>
    </xf>
    <xf numFmtId="169" fontId="39" fillId="4" borderId="32" xfId="5" applyNumberFormat="1" applyFont="1" applyFill="1" applyBorder="1" applyAlignment="1">
      <alignment horizontal="center" vertical="center"/>
    </xf>
    <xf numFmtId="169" fontId="39" fillId="4" borderId="33" xfId="5" applyNumberFormat="1" applyFont="1" applyFill="1" applyBorder="1" applyAlignment="1">
      <alignment horizontal="center" vertical="center"/>
    </xf>
    <xf numFmtId="10" fontId="39" fillId="4" borderId="34" xfId="3" applyNumberFormat="1" applyFont="1" applyFill="1" applyBorder="1" applyAlignment="1">
      <alignment horizontal="center" vertical="center"/>
    </xf>
    <xf numFmtId="169" fontId="39" fillId="4" borderId="34" xfId="5" applyNumberFormat="1" applyFont="1" applyFill="1" applyBorder="1" applyAlignment="1">
      <alignment horizontal="center" vertical="center"/>
    </xf>
    <xf numFmtId="0" fontId="40" fillId="0" borderId="0" xfId="4" applyFont="1"/>
    <xf numFmtId="169" fontId="41" fillId="0" borderId="0" xfId="5" applyNumberFormat="1" applyFont="1" applyAlignment="1">
      <alignment horizontal="center" vertical="center"/>
    </xf>
    <xf numFmtId="174" fontId="41" fillId="0" borderId="0" xfId="5" applyNumberFormat="1" applyFont="1" applyAlignment="1">
      <alignment horizontal="center" vertical="center"/>
    </xf>
    <xf numFmtId="174" fontId="42" fillId="0" borderId="0" xfId="5" applyNumberFormat="1" applyFont="1" applyAlignment="1">
      <alignment horizontal="center" vertical="center"/>
    </xf>
    <xf numFmtId="170" fontId="41" fillId="0" borderId="0" xfId="0" applyNumberFormat="1" applyFont="1" applyAlignment="1">
      <alignment horizontal="center" vertical="center"/>
    </xf>
    <xf numFmtId="169" fontId="40" fillId="2" borderId="35" xfId="0" applyNumberFormat="1" applyFont="1" applyFill="1" applyBorder="1" applyAlignment="1">
      <alignment horizontal="center" vertical="center"/>
    </xf>
    <xf numFmtId="169" fontId="40" fillId="0" borderId="5" xfId="5" applyNumberFormat="1" applyFont="1" applyBorder="1" applyAlignment="1">
      <alignment horizontal="center" vertical="center"/>
    </xf>
    <xf numFmtId="169" fontId="40" fillId="23" borderId="36" xfId="5" applyNumberFormat="1" applyFont="1" applyFill="1" applyBorder="1" applyAlignment="1">
      <alignment horizontal="center" vertical="center"/>
    </xf>
    <xf numFmtId="10" fontId="40" fillId="0" borderId="37" xfId="3" applyNumberFormat="1" applyFont="1" applyBorder="1" applyAlignment="1">
      <alignment horizontal="center" vertical="center"/>
    </xf>
    <xf numFmtId="169" fontId="40" fillId="0" borderId="37" xfId="5" applyNumberFormat="1" applyFont="1" applyBorder="1" applyAlignment="1">
      <alignment horizontal="center" vertical="center"/>
    </xf>
    <xf numFmtId="169" fontId="40" fillId="2" borderId="6" xfId="0" applyNumberFormat="1" applyFont="1" applyFill="1" applyBorder="1" applyAlignment="1">
      <alignment horizontal="center" vertical="center"/>
    </xf>
    <xf numFmtId="169" fontId="40" fillId="23" borderId="2" xfId="5" applyNumberFormat="1" applyFont="1" applyFill="1" applyBorder="1" applyAlignment="1">
      <alignment horizontal="center" vertical="center"/>
    </xf>
    <xf numFmtId="10" fontId="40" fillId="0" borderId="11" xfId="3" applyNumberFormat="1" applyFont="1" applyBorder="1" applyAlignment="1">
      <alignment horizontal="center" vertical="center"/>
    </xf>
    <xf numFmtId="169" fontId="40" fillId="0" borderId="11" xfId="5" applyNumberFormat="1" applyFont="1" applyBorder="1" applyAlignment="1">
      <alignment horizontal="center" vertical="center"/>
    </xf>
    <xf numFmtId="169" fontId="40" fillId="2" borderId="35" xfId="5" applyNumberFormat="1" applyFont="1" applyFill="1" applyBorder="1" applyAlignment="1">
      <alignment horizontal="center" vertical="center"/>
    </xf>
    <xf numFmtId="169" fontId="40" fillId="0" borderId="43" xfId="5" applyNumberFormat="1" applyFont="1" applyBorder="1" applyAlignment="1">
      <alignment horizontal="center" vertical="center"/>
    </xf>
    <xf numFmtId="169" fontId="40" fillId="0" borderId="23" xfId="5" applyNumberFormat="1" applyFont="1" applyBorder="1" applyAlignment="1">
      <alignment horizontal="center" vertical="center"/>
    </xf>
    <xf numFmtId="0" fontId="40" fillId="0" borderId="4" xfId="0" applyFont="1" applyBorder="1" applyAlignment="1">
      <alignment vertical="center"/>
    </xf>
    <xf numFmtId="0" fontId="40" fillId="0" borderId="41" xfId="0" applyFont="1" applyBorder="1" applyAlignment="1">
      <alignment vertical="center"/>
    </xf>
    <xf numFmtId="0" fontId="40" fillId="0" borderId="42" xfId="0" applyFont="1" applyBorder="1" applyAlignment="1">
      <alignment vertical="center"/>
    </xf>
    <xf numFmtId="169" fontId="40" fillId="2" borderId="44" xfId="0" applyNumberFormat="1" applyFont="1" applyFill="1" applyBorder="1" applyAlignment="1">
      <alignment horizontal="center" vertical="center"/>
    </xf>
    <xf numFmtId="169" fontId="40" fillId="23" borderId="25" xfId="5" applyNumberFormat="1" applyFont="1" applyFill="1" applyBorder="1" applyAlignment="1">
      <alignment horizontal="center" vertical="center"/>
    </xf>
    <xf numFmtId="10" fontId="40" fillId="0" borderId="45" xfId="3" applyNumberFormat="1" applyFont="1" applyBorder="1" applyAlignment="1">
      <alignment horizontal="center" vertical="center"/>
    </xf>
    <xf numFmtId="169" fontId="40" fillId="0" borderId="3" xfId="5" applyNumberFormat="1" applyFont="1" applyBorder="1" applyAlignment="1">
      <alignment horizontal="center" vertical="center"/>
    </xf>
    <xf numFmtId="169" fontId="34" fillId="0" borderId="19" xfId="4" applyNumberFormat="1" applyFont="1" applyBorder="1"/>
    <xf numFmtId="0" fontId="43" fillId="0" borderId="0" xfId="4" applyFont="1" applyAlignment="1">
      <alignment vertical="center"/>
    </xf>
    <xf numFmtId="0" fontId="43" fillId="22" borderId="48" xfId="4" applyFont="1" applyFill="1" applyBorder="1" applyAlignment="1">
      <alignment horizontal="center" vertical="center"/>
    </xf>
    <xf numFmtId="0" fontId="43" fillId="22" borderId="30" xfId="4" applyFont="1" applyFill="1" applyBorder="1" applyAlignment="1">
      <alignment horizontal="center" vertical="center"/>
    </xf>
    <xf numFmtId="0" fontId="43" fillId="22" borderId="31" xfId="4" applyFont="1" applyFill="1" applyBorder="1" applyAlignment="1">
      <alignment horizontal="center" vertical="center"/>
    </xf>
    <xf numFmtId="0" fontId="43" fillId="22" borderId="34" xfId="4" applyFont="1" applyFill="1" applyBorder="1" applyAlignment="1">
      <alignment horizontal="center" vertical="center"/>
    </xf>
    <xf numFmtId="169" fontId="43" fillId="0" borderId="0" xfId="5" applyNumberFormat="1" applyFont="1" applyAlignment="1">
      <alignment horizontal="center" vertical="center"/>
    </xf>
    <xf numFmtId="0" fontId="39" fillId="0" borderId="0" xfId="4" applyFont="1" applyAlignment="1">
      <alignment horizontal="left" vertical="center" wrapText="1"/>
    </xf>
    <xf numFmtId="169" fontId="39" fillId="4" borderId="34" xfId="4" applyNumberFormat="1" applyFont="1" applyFill="1" applyBorder="1" applyAlignment="1">
      <alignment horizontal="center" vertical="center" wrapText="1"/>
    </xf>
    <xf numFmtId="10" fontId="39" fillId="4" borderId="34" xfId="3" applyNumberFormat="1" applyFont="1" applyFill="1" applyBorder="1" applyAlignment="1">
      <alignment horizontal="center" vertical="center" wrapText="1"/>
    </xf>
    <xf numFmtId="169" fontId="40" fillId="23" borderId="6" xfId="5" applyNumberFormat="1" applyFont="1" applyFill="1" applyBorder="1" applyAlignment="1">
      <alignment horizontal="center" vertical="center"/>
    </xf>
    <xf numFmtId="173" fontId="42" fillId="0" borderId="0" xfId="5" applyNumberFormat="1" applyFont="1" applyAlignment="1">
      <alignment horizontal="center" vertical="center"/>
    </xf>
    <xf numFmtId="175" fontId="34" fillId="0" borderId="0" xfId="4" applyNumberFormat="1" applyFont="1"/>
    <xf numFmtId="0" fontId="6" fillId="0" borderId="0" xfId="4" applyFont="1"/>
    <xf numFmtId="0" fontId="44" fillId="0" borderId="0" xfId="4" applyFont="1"/>
    <xf numFmtId="10" fontId="39" fillId="4" borderId="34" xfId="5" applyNumberFormat="1" applyFont="1" applyFill="1" applyBorder="1" applyAlignment="1">
      <alignment horizontal="center" vertical="center"/>
    </xf>
    <xf numFmtId="10" fontId="40" fillId="0" borderId="1" xfId="3" applyNumberFormat="1" applyFont="1" applyBorder="1" applyAlignment="1">
      <alignment horizontal="center" vertical="center"/>
    </xf>
    <xf numFmtId="169" fontId="40" fillId="0" borderId="1" xfId="5" applyNumberFormat="1" applyFont="1" applyBorder="1" applyAlignment="1">
      <alignment horizontal="center" vertical="center"/>
    </xf>
    <xf numFmtId="0" fontId="40" fillId="0" borderId="4" xfId="0" applyFont="1" applyBorder="1" applyAlignment="1">
      <alignment horizontal="left" vertical="center"/>
    </xf>
    <xf numFmtId="0" fontId="40" fillId="0" borderId="41" xfId="0" applyFont="1" applyBorder="1" applyAlignment="1">
      <alignment horizontal="left" vertical="center"/>
    </xf>
    <xf numFmtId="174" fontId="34" fillId="0" borderId="0" xfId="4" applyNumberFormat="1" applyFont="1"/>
    <xf numFmtId="170" fontId="34" fillId="0" borderId="0" xfId="4" applyNumberFormat="1" applyFont="1"/>
    <xf numFmtId="169" fontId="40" fillId="0" borderId="50" xfId="5" applyNumberFormat="1" applyFont="1" applyBorder="1" applyAlignment="1">
      <alignment horizontal="center" vertical="center"/>
    </xf>
    <xf numFmtId="0" fontId="40" fillId="0" borderId="51" xfId="0" applyFont="1" applyBorder="1" applyAlignment="1">
      <alignment horizontal="left" vertical="center"/>
    </xf>
    <xf numFmtId="0" fontId="40" fillId="0" borderId="13" xfId="0" applyFont="1" applyBorder="1" applyAlignment="1">
      <alignment horizontal="left" vertical="center"/>
    </xf>
    <xf numFmtId="0" fontId="40" fillId="0" borderId="20" xfId="0" applyFont="1" applyBorder="1" applyAlignment="1">
      <alignment horizontal="left" vertical="center"/>
    </xf>
    <xf numFmtId="10" fontId="40" fillId="0" borderId="7" xfId="3" applyNumberFormat="1" applyFont="1" applyBorder="1" applyAlignment="1">
      <alignment horizontal="center" vertical="center"/>
    </xf>
    <xf numFmtId="169" fontId="40" fillId="0" borderId="7" xfId="5" applyNumberFormat="1" applyFont="1" applyBorder="1" applyAlignment="1">
      <alignment horizontal="center" vertical="center"/>
    </xf>
    <xf numFmtId="0" fontId="39" fillId="23" borderId="56" xfId="4" applyFont="1" applyFill="1" applyBorder="1" applyAlignment="1">
      <alignment horizontal="center" vertical="center"/>
    </xf>
    <xf numFmtId="0" fontId="39" fillId="23" borderId="37" xfId="4" applyFont="1" applyFill="1" applyBorder="1" applyAlignment="1">
      <alignment horizontal="center" vertical="center"/>
    </xf>
    <xf numFmtId="0" fontId="39" fillId="23" borderId="12" xfId="4" applyFont="1" applyFill="1" applyBorder="1" applyAlignment="1">
      <alignment horizontal="center" vertical="center"/>
    </xf>
    <xf numFmtId="0" fontId="39" fillId="23" borderId="7" xfId="4" applyFont="1" applyFill="1" applyBorder="1" applyAlignment="1">
      <alignment horizontal="center" vertical="center"/>
    </xf>
    <xf numFmtId="0" fontId="34" fillId="23" borderId="0" xfId="4" applyFont="1" applyFill="1" applyAlignment="1">
      <alignment horizontal="center" vertical="center"/>
    </xf>
    <xf numFmtId="14" fontId="34" fillId="23" borderId="0" xfId="4" applyNumberFormat="1" applyFont="1" applyFill="1"/>
    <xf numFmtId="0" fontId="34" fillId="23" borderId="0" xfId="4" applyFont="1" applyFill="1"/>
    <xf numFmtId="0" fontId="34" fillId="23" borderId="18" xfId="4" applyFont="1" applyFill="1" applyBorder="1" applyAlignment="1">
      <alignment horizontal="center" vertical="center"/>
    </xf>
    <xf numFmtId="0" fontId="34" fillId="0" borderId="17" xfId="4" applyFont="1" applyBorder="1"/>
    <xf numFmtId="0" fontId="34" fillId="0" borderId="15" xfId="4" applyFont="1" applyBorder="1"/>
    <xf numFmtId="0" fontId="34" fillId="23" borderId="15" xfId="4" applyFont="1" applyFill="1" applyBorder="1" applyAlignment="1">
      <alignment horizontal="center" vertical="center"/>
    </xf>
    <xf numFmtId="0" fontId="34" fillId="23" borderId="14" xfId="4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9" fillId="24" borderId="16" xfId="0" applyFont="1" applyFill="1" applyBorder="1" applyAlignment="1">
      <alignment horizontal="center"/>
    </xf>
    <xf numFmtId="0" fontId="19" fillId="24" borderId="7" xfId="0" applyFont="1" applyFill="1" applyBorder="1" applyAlignment="1">
      <alignment horizontal="center"/>
    </xf>
    <xf numFmtId="0" fontId="19" fillId="24" borderId="5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19" fillId="24" borderId="57" xfId="0" applyFont="1" applyFill="1" applyBorder="1" applyAlignment="1">
      <alignment horizontal="center"/>
    </xf>
    <xf numFmtId="0" fontId="19" fillId="24" borderId="37" xfId="0" applyFont="1" applyFill="1" applyBorder="1" applyAlignment="1">
      <alignment horizontal="center"/>
    </xf>
    <xf numFmtId="49" fontId="45" fillId="24" borderId="7" xfId="0" applyNumberFormat="1" applyFont="1" applyFill="1" applyBorder="1" applyAlignment="1">
      <alignment horizontal="center" vertical="center" wrapText="1"/>
    </xf>
    <xf numFmtId="49" fontId="45" fillId="24" borderId="12" xfId="0" applyNumberFormat="1" applyFont="1" applyFill="1" applyBorder="1" applyAlignment="1">
      <alignment horizontal="center" vertical="center" wrapText="1"/>
    </xf>
    <xf numFmtId="49" fontId="45" fillId="24" borderId="1" xfId="0" applyNumberFormat="1" applyFont="1" applyFill="1" applyBorder="1" applyAlignment="1">
      <alignment horizontal="center" vertical="center" wrapText="1"/>
    </xf>
    <xf numFmtId="49" fontId="45" fillId="24" borderId="6" xfId="0" applyNumberFormat="1" applyFont="1" applyFill="1" applyBorder="1" applyAlignment="1">
      <alignment horizontal="center" vertical="center" wrapText="1"/>
    </xf>
    <xf numFmtId="49" fontId="45" fillId="24" borderId="37" xfId="0" applyNumberFormat="1" applyFont="1" applyFill="1" applyBorder="1" applyAlignment="1">
      <alignment horizontal="center" vertical="center" wrapText="1"/>
    </xf>
    <xf numFmtId="176" fontId="45" fillId="24" borderId="1" xfId="0" applyNumberFormat="1" applyFont="1" applyFill="1" applyBorder="1" applyAlignment="1">
      <alignment horizontal="center" vertical="center" wrapText="1"/>
    </xf>
    <xf numFmtId="176" fontId="45" fillId="24" borderId="6" xfId="0" applyNumberFormat="1" applyFont="1" applyFill="1" applyBorder="1" applyAlignment="1">
      <alignment horizontal="center" vertical="center" wrapText="1"/>
    </xf>
    <xf numFmtId="176" fontId="45" fillId="24" borderId="37" xfId="0" applyNumberFormat="1" applyFont="1" applyFill="1" applyBorder="1" applyAlignment="1">
      <alignment horizontal="center" vertical="center" wrapText="1"/>
    </xf>
    <xf numFmtId="176" fontId="45" fillId="24" borderId="56" xfId="0" applyNumberFormat="1" applyFont="1" applyFill="1" applyBorder="1" applyAlignment="1">
      <alignment horizontal="center" vertical="center" wrapText="1"/>
    </xf>
    <xf numFmtId="0" fontId="40" fillId="0" borderId="42" xfId="0" applyFont="1" applyBorder="1" applyAlignment="1">
      <alignment horizontal="left" vertical="center"/>
    </xf>
    <xf numFmtId="0" fontId="40" fillId="0" borderId="41" xfId="0" applyFont="1" applyBorder="1" applyAlignment="1">
      <alignment horizontal="left" vertical="center"/>
    </xf>
    <xf numFmtId="0" fontId="40" fillId="0" borderId="4" xfId="0" applyFont="1" applyBorder="1" applyAlignment="1">
      <alignment horizontal="left" vertical="center"/>
    </xf>
    <xf numFmtId="0" fontId="40" fillId="0" borderId="40" xfId="0" applyFont="1" applyBorder="1" applyAlignment="1">
      <alignment horizontal="left" vertical="center"/>
    </xf>
    <xf numFmtId="0" fontId="40" fillId="0" borderId="39" xfId="0" applyFont="1" applyBorder="1" applyAlignment="1">
      <alignment horizontal="left" vertical="center"/>
    </xf>
    <xf numFmtId="0" fontId="40" fillId="0" borderId="38" xfId="0" applyFont="1" applyBorder="1" applyAlignment="1">
      <alignment horizontal="left" vertical="center"/>
    </xf>
    <xf numFmtId="0" fontId="39" fillId="4" borderId="32" xfId="4" applyFont="1" applyFill="1" applyBorder="1" applyAlignment="1">
      <alignment horizontal="left" vertical="center" wrapText="1"/>
    </xf>
    <xf numFmtId="0" fontId="39" fillId="4" borderId="34" xfId="4" applyFont="1" applyFill="1" applyBorder="1" applyAlignment="1">
      <alignment horizontal="left" vertical="center" wrapText="1"/>
    </xf>
    <xf numFmtId="0" fontId="39" fillId="4" borderId="49" xfId="4" applyFont="1" applyFill="1" applyBorder="1" applyAlignment="1">
      <alignment horizontal="left" vertical="center" wrapText="1"/>
    </xf>
    <xf numFmtId="0" fontId="40" fillId="0" borderId="16" xfId="4" applyFont="1" applyBorder="1" applyAlignment="1">
      <alignment horizontal="center" vertical="center"/>
    </xf>
    <xf numFmtId="0" fontId="40" fillId="0" borderId="7" xfId="4" applyFont="1" applyBorder="1" applyAlignment="1">
      <alignment horizontal="center" vertical="center"/>
    </xf>
    <xf numFmtId="0" fontId="40" fillId="0" borderId="43" xfId="4" applyFont="1" applyBorder="1" applyAlignment="1">
      <alignment horizontal="center" vertical="center"/>
    </xf>
    <xf numFmtId="0" fontId="40" fillId="0" borderId="11" xfId="4" applyFont="1" applyBorder="1" applyAlignment="1">
      <alignment horizontal="center" vertical="center"/>
    </xf>
    <xf numFmtId="0" fontId="40" fillId="0" borderId="55" xfId="4" applyFont="1" applyBorder="1" applyAlignment="1">
      <alignment horizontal="center" vertical="center"/>
    </xf>
    <xf numFmtId="0" fontId="40" fillId="0" borderId="54" xfId="4" applyFont="1" applyBorder="1" applyAlignment="1">
      <alignment horizontal="center" vertical="center"/>
    </xf>
    <xf numFmtId="0" fontId="40" fillId="0" borderId="51" xfId="4" applyFont="1" applyBorder="1" applyAlignment="1">
      <alignment horizontal="center" vertical="center"/>
    </xf>
    <xf numFmtId="0" fontId="40" fillId="0" borderId="50" xfId="4" applyFont="1" applyBorder="1" applyAlignment="1">
      <alignment horizontal="center" vertical="center"/>
    </xf>
    <xf numFmtId="0" fontId="43" fillId="22" borderId="16" xfId="4" applyFont="1" applyFill="1" applyBorder="1" applyAlignment="1">
      <alignment horizontal="center" vertical="center"/>
    </xf>
    <xf numFmtId="0" fontId="43" fillId="22" borderId="7" xfId="4" applyFont="1" applyFill="1" applyBorder="1" applyAlignment="1">
      <alignment horizontal="center" vertical="center"/>
    </xf>
    <xf numFmtId="0" fontId="43" fillId="22" borderId="12" xfId="4" applyFont="1" applyFill="1" applyBorder="1" applyAlignment="1">
      <alignment horizontal="center" vertical="center"/>
    </xf>
    <xf numFmtId="0" fontId="43" fillId="22" borderId="55" xfId="4" applyFont="1" applyFill="1" applyBorder="1" applyAlignment="1">
      <alignment horizontal="center" vertical="center"/>
    </xf>
    <xf numFmtId="0" fontId="43" fillId="22" borderId="54" xfId="4" applyFont="1" applyFill="1" applyBorder="1" applyAlignment="1">
      <alignment horizontal="center" vertical="center"/>
    </xf>
    <xf numFmtId="0" fontId="43" fillId="22" borderId="53" xfId="4" applyFont="1" applyFill="1" applyBorder="1" applyAlignment="1">
      <alignment horizontal="center" vertical="center"/>
    </xf>
    <xf numFmtId="0" fontId="40" fillId="0" borderId="9" xfId="0" applyFont="1" applyBorder="1" applyAlignment="1">
      <alignment horizontal="left" vertical="center"/>
    </xf>
    <xf numFmtId="0" fontId="40" fillId="0" borderId="10" xfId="0" applyFont="1" applyBorder="1" applyAlignment="1">
      <alignment horizontal="left" vertical="center"/>
    </xf>
    <xf numFmtId="0" fontId="40" fillId="0" borderId="52" xfId="0" applyFont="1" applyBorder="1" applyAlignment="1">
      <alignment horizontal="left" vertical="center"/>
    </xf>
    <xf numFmtId="0" fontId="39" fillId="0" borderId="0" xfId="4" applyFont="1" applyAlignment="1">
      <alignment horizontal="left" vertical="center" wrapText="1"/>
    </xf>
    <xf numFmtId="0" fontId="43" fillId="22" borderId="30" xfId="4" applyFont="1" applyFill="1" applyBorder="1" applyAlignment="1">
      <alignment horizontal="center" vertical="center"/>
    </xf>
    <xf numFmtId="0" fontId="43" fillId="22" borderId="29" xfId="4" applyFont="1" applyFill="1" applyBorder="1" applyAlignment="1">
      <alignment horizontal="center" vertical="center"/>
    </xf>
    <xf numFmtId="0" fontId="43" fillId="22" borderId="49" xfId="4" applyFont="1" applyFill="1" applyBorder="1" applyAlignment="1">
      <alignment horizontal="center" vertical="center"/>
    </xf>
    <xf numFmtId="0" fontId="43" fillId="22" borderId="28" xfId="4" applyFont="1" applyFill="1" applyBorder="1" applyAlignment="1">
      <alignment horizontal="center" vertical="center"/>
    </xf>
    <xf numFmtId="0" fontId="36" fillId="13" borderId="0" xfId="4" applyFont="1" applyFill="1" applyAlignment="1">
      <alignment horizontal="center"/>
    </xf>
    <xf numFmtId="0" fontId="37" fillId="22" borderId="30" xfId="4" applyFont="1" applyFill="1" applyBorder="1" applyAlignment="1">
      <alignment horizontal="center"/>
    </xf>
    <xf numFmtId="0" fontId="37" fillId="22" borderId="29" xfId="4" applyFont="1" applyFill="1" applyBorder="1" applyAlignment="1">
      <alignment horizontal="center"/>
    </xf>
    <xf numFmtId="0" fontId="37" fillId="22" borderId="28" xfId="4" applyFont="1" applyFill="1" applyBorder="1" applyAlignment="1">
      <alignment horizontal="center"/>
    </xf>
    <xf numFmtId="0" fontId="40" fillId="0" borderId="47" xfId="0" applyFont="1" applyBorder="1" applyAlignment="1">
      <alignment vertical="center"/>
    </xf>
    <xf numFmtId="0" fontId="40" fillId="0" borderId="22" xfId="0" applyFont="1" applyBorder="1" applyAlignment="1">
      <alignment vertical="center"/>
    </xf>
    <xf numFmtId="0" fontId="40" fillId="0" borderId="46" xfId="0" applyFont="1" applyBorder="1" applyAlignment="1">
      <alignment vertical="center"/>
    </xf>
    <xf numFmtId="0" fontId="40" fillId="0" borderId="0" xfId="0" applyFont="1" applyAlignment="1">
      <alignment horizontal="left" vertical="center"/>
    </xf>
    <xf numFmtId="10" fontId="34" fillId="0" borderId="14" xfId="3" applyNumberFormat="1" applyFont="1" applyBorder="1" applyAlignment="1">
      <alignment horizontal="center" vertical="center"/>
    </xf>
    <xf numFmtId="10" fontId="34" fillId="0" borderId="15" xfId="3" applyNumberFormat="1" applyFont="1" applyBorder="1" applyAlignment="1">
      <alignment horizontal="center" vertical="center"/>
    </xf>
    <xf numFmtId="10" fontId="34" fillId="0" borderId="17" xfId="3" applyNumberFormat="1" applyFont="1" applyBorder="1" applyAlignment="1">
      <alignment horizontal="center" vertical="center"/>
    </xf>
    <xf numFmtId="10" fontId="34" fillId="0" borderId="20" xfId="3" applyNumberFormat="1" applyFont="1" applyBorder="1" applyAlignment="1">
      <alignment horizontal="center" vertical="center"/>
    </xf>
    <xf numFmtId="10" fontId="34" fillId="0" borderId="13" xfId="3" applyNumberFormat="1" applyFont="1" applyBorder="1" applyAlignment="1">
      <alignment horizontal="center" vertical="center"/>
    </xf>
    <xf numFmtId="10" fontId="34" fillId="0" borderId="21" xfId="3" applyNumberFormat="1" applyFont="1" applyBorder="1" applyAlignment="1">
      <alignment horizontal="center" vertical="center"/>
    </xf>
    <xf numFmtId="0" fontId="40" fillId="0" borderId="42" xfId="0" applyFont="1" applyBorder="1" applyAlignment="1">
      <alignment vertical="center"/>
    </xf>
    <xf numFmtId="0" fontId="40" fillId="0" borderId="41" xfId="0" applyFont="1" applyBorder="1" applyAlignment="1">
      <alignment vertical="center"/>
    </xf>
    <xf numFmtId="0" fontId="40" fillId="0" borderId="4" xfId="0" applyFont="1" applyBorder="1" applyAlignment="1">
      <alignment vertical="center"/>
    </xf>
    <xf numFmtId="0" fontId="40" fillId="0" borderId="40" xfId="0" applyFont="1" applyBorder="1" applyAlignment="1">
      <alignment vertical="center"/>
    </xf>
    <xf numFmtId="0" fontId="40" fillId="0" borderId="39" xfId="0" applyFont="1" applyBorder="1" applyAlignment="1">
      <alignment vertical="center"/>
    </xf>
    <xf numFmtId="0" fontId="40" fillId="0" borderId="38" xfId="0" applyFont="1" applyBorder="1" applyAlignment="1">
      <alignment vertical="center"/>
    </xf>
    <xf numFmtId="0" fontId="39" fillId="4" borderId="32" xfId="4" applyFont="1" applyFill="1" applyBorder="1" applyAlignment="1">
      <alignment horizontal="left" vertical="center"/>
    </xf>
    <xf numFmtId="0" fontId="39" fillId="4" borderId="34" xfId="4" applyFont="1" applyFill="1" applyBorder="1" applyAlignment="1">
      <alignment horizontal="left" vertical="center"/>
    </xf>
    <xf numFmtId="0" fontId="36" fillId="22" borderId="30" xfId="4" applyFont="1" applyFill="1" applyBorder="1" applyAlignment="1">
      <alignment horizontal="center" vertical="center"/>
    </xf>
    <xf numFmtId="0" fontId="36" fillId="22" borderId="29" xfId="4" applyFont="1" applyFill="1" applyBorder="1" applyAlignment="1">
      <alignment horizontal="center" vertical="center"/>
    </xf>
    <xf numFmtId="0" fontId="36" fillId="22" borderId="28" xfId="4" applyFont="1" applyFill="1" applyBorder="1" applyAlignment="1">
      <alignment horizontal="center" vertical="center"/>
    </xf>
    <xf numFmtId="0" fontId="31" fillId="13" borderId="0" xfId="2" applyFont="1" applyFill="1" applyBorder="1" applyAlignment="1">
      <alignment horizontal="center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8" fillId="13" borderId="0" xfId="0" applyFont="1" applyFill="1" applyBorder="1" applyAlignment="1">
      <alignment horizontal="center"/>
    </xf>
    <xf numFmtId="0" fontId="10" fillId="13" borderId="0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0" fillId="13" borderId="0" xfId="0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3" fontId="8" fillId="13" borderId="0" xfId="0" applyNumberFormat="1" applyFont="1" applyFill="1" applyBorder="1"/>
    <xf numFmtId="10" fontId="8" fillId="13" borderId="0" xfId="0" applyNumberFormat="1" applyFont="1" applyFill="1" applyBorder="1"/>
    <xf numFmtId="9" fontId="0" fillId="13" borderId="0" xfId="0" applyNumberFormat="1" applyFont="1" applyFill="1" applyBorder="1"/>
    <xf numFmtId="165" fontId="0" fillId="0" borderId="0" xfId="0" applyNumberFormat="1" applyFont="1" applyFill="1" applyBorder="1"/>
    <xf numFmtId="10" fontId="0" fillId="13" borderId="0" xfId="2" applyNumberFormat="1" applyFont="1" applyFill="1" applyBorder="1" applyAlignment="1">
      <alignment horizontal="center"/>
    </xf>
    <xf numFmtId="166" fontId="0" fillId="0" borderId="0" xfId="0" applyNumberFormat="1" applyFont="1" applyBorder="1"/>
    <xf numFmtId="1" fontId="0" fillId="13" borderId="0" xfId="0" applyNumberFormat="1" applyFont="1" applyFill="1" applyBorder="1" applyAlignment="1">
      <alignment horizontal="center"/>
    </xf>
    <xf numFmtId="1" fontId="0" fillId="13" borderId="0" xfId="0" applyNumberFormat="1" applyFont="1" applyFill="1" applyBorder="1"/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154214</xdr:colOff>
      <xdr:row>1</xdr:row>
      <xdr:rowOff>163286</xdr:rowOff>
    </xdr:from>
    <xdr:ext cx="1386774" cy="482446"/>
    <xdr:pic>
      <xdr:nvPicPr>
        <xdr:cNvPr id="2" name="Imagen 1">
          <a:extLst>
            <a:ext uri="{FF2B5EF4-FFF2-40B4-BE49-F238E27FC236}">
              <a16:creationId xmlns:a16="http://schemas.microsoft.com/office/drawing/2014/main" id="{F868B310-8CD3-A344-A052-AA42727A0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6774" cy="482446"/>
        </a:xfrm>
        <a:prstGeom prst="rect">
          <a:avLst/>
        </a:prstGeom>
      </xdr:spPr>
    </xdr:pic>
    <xdr:clientData/>
  </xdr:oneCellAnchor>
  <xdr:oneCellAnchor>
    <xdr:from>
      <xdr:col>3</xdr:col>
      <xdr:colOff>154214</xdr:colOff>
      <xdr:row>1</xdr:row>
      <xdr:rowOff>163286</xdr:rowOff>
    </xdr:from>
    <xdr:ext cx="1383599" cy="485621"/>
    <xdr:pic>
      <xdr:nvPicPr>
        <xdr:cNvPr id="3" name="Imagen 2">
          <a:extLst>
            <a:ext uri="{FF2B5EF4-FFF2-40B4-BE49-F238E27FC236}">
              <a16:creationId xmlns:a16="http://schemas.microsoft.com/office/drawing/2014/main" id="{F739169F-43A9-0C45-9D33-9E7748C1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3599" cy="48562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Octubre%20Pellet%20Mes%20Final%20V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evo Ingreso Dat Plantas"/>
      <sheetName val="Hoja1"/>
      <sheetName val="Nodos Variac Inventarios"/>
      <sheetName val="Bal Los Colorados"/>
      <sheetName val="Diag Proc Los Colorados"/>
      <sheetName val="Bal Fet Pta Pellets"/>
      <sheetName val="Diag Proc Pta Pellets"/>
    </sheetNames>
    <sheetDataSet>
      <sheetData sheetId="0">
        <row r="50">
          <cell r="E50">
            <v>8.5563744417889807E-3</v>
          </cell>
        </row>
        <row r="51">
          <cell r="E51">
            <v>7.6134318489359098E-3</v>
          </cell>
        </row>
        <row r="68">
          <cell r="E68">
            <v>8.7098512769289593E-2</v>
          </cell>
        </row>
        <row r="73">
          <cell r="E73">
            <v>5.0000000000000001E-3</v>
          </cell>
        </row>
        <row r="75">
          <cell r="E75">
            <v>5.0000000000000001E-3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4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4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4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4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4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4"/>
      <c r="D15" s="140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4"/>
      <c r="D16" s="140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4" t="e">
        <f>+#REF!</f>
        <v>#REF!</v>
      </c>
      <c r="D17" s="140">
        <f>+Utilidad!D100</f>
        <v>0</v>
      </c>
      <c r="E17" s="108">
        <f t="shared" si="6"/>
        <v>0</v>
      </c>
      <c r="F17" s="141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4" t="e">
        <f>+#REF!</f>
        <v>#REF!</v>
      </c>
      <c r="D18" s="140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4" t="e">
        <f>+#REF!</f>
        <v>#REF!</v>
      </c>
      <c r="D19" s="140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4" t="e">
        <f>+#REF!</f>
        <v>#REF!</v>
      </c>
      <c r="D20" s="140">
        <f>+Utilidad!D121</f>
        <v>0</v>
      </c>
      <c r="E20" s="108">
        <f t="shared" si="6"/>
        <v>0</v>
      </c>
      <c r="F20" s="141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4" t="e">
        <f>+#REF!</f>
        <v>#REF!</v>
      </c>
      <c r="D21" s="140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4" t="e">
        <f>+#REF!</f>
        <v>#REF!</v>
      </c>
      <c r="D22" s="140">
        <f>+Utilidad!D125</f>
        <v>0</v>
      </c>
      <c r="E22" s="108">
        <f t="shared" si="6"/>
        <v>0</v>
      </c>
      <c r="F22" s="141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304" t="s">
        <v>39</v>
      </c>
      <c r="K44" s="305"/>
      <c r="M44" s="301" t="s">
        <v>40</v>
      </c>
      <c r="N44" s="302"/>
      <c r="O44" s="303"/>
      <c r="R44" s="307" t="s">
        <v>42</v>
      </c>
      <c r="S44" s="308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306" t="s">
        <v>60</v>
      </c>
      <c r="K71" s="306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309" t="s">
        <v>106</v>
      </c>
      <c r="Q7" s="309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309" t="s">
        <v>25</v>
      </c>
      <c r="Q10" s="309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310" t="s">
        <v>109</v>
      </c>
      <c r="Q13" s="310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312" t="s">
        <v>71</v>
      </c>
      <c r="F44" s="312"/>
      <c r="G44" s="313"/>
      <c r="H44" s="312" t="s">
        <v>82</v>
      </c>
      <c r="I44" s="312"/>
      <c r="J44" s="312"/>
      <c r="K44" s="318" t="s">
        <v>70</v>
      </c>
      <c r="L44" s="318"/>
      <c r="M44" s="318"/>
      <c r="N44" s="318"/>
    </row>
    <row r="45" spans="2:20">
      <c r="E45" s="68" t="s">
        <v>72</v>
      </c>
      <c r="F45" s="68"/>
      <c r="G45" s="66">
        <f>+I6</f>
        <v>502781.82030850503</v>
      </c>
      <c r="H45" s="314" t="s">
        <v>73</v>
      </c>
      <c r="I45" s="314"/>
      <c r="J45" s="66">
        <f>+E7</f>
        <v>1770.5761999999995</v>
      </c>
      <c r="K45" s="314" t="s">
        <v>78</v>
      </c>
      <c r="L45" s="314"/>
      <c r="M45" s="314"/>
      <c r="N45" s="66">
        <f>+C8</f>
        <v>12961.629000000001</v>
      </c>
    </row>
    <row r="46" spans="2:20">
      <c r="E46" s="319"/>
      <c r="F46" s="320"/>
      <c r="G46" s="20"/>
      <c r="H46" s="314" t="s">
        <v>74</v>
      </c>
      <c r="I46" s="314"/>
      <c r="J46" s="66">
        <f>+J19</f>
        <v>44584.890479986498</v>
      </c>
      <c r="K46" s="314" t="s">
        <v>79</v>
      </c>
      <c r="L46" s="314"/>
      <c r="M46" s="314"/>
      <c r="N46" s="66">
        <f>+C28</f>
        <v>16162.331</v>
      </c>
    </row>
    <row r="47" spans="2:20">
      <c r="E47" s="319"/>
      <c r="F47" s="320"/>
      <c r="G47" s="20"/>
      <c r="H47" s="314" t="s">
        <v>75</v>
      </c>
      <c r="I47" s="314"/>
      <c r="J47" s="66">
        <f>+G27</f>
        <v>-359512.14169349719</v>
      </c>
      <c r="K47" s="314" t="s">
        <v>80</v>
      </c>
      <c r="L47" s="314"/>
      <c r="M47" s="314"/>
      <c r="N47" s="66">
        <f>+S36</f>
        <v>19130.865000000002</v>
      </c>
    </row>
    <row r="48" spans="2:20">
      <c r="E48" s="319"/>
      <c r="F48" s="320"/>
      <c r="G48" s="20"/>
      <c r="H48" s="67" t="s">
        <v>76</v>
      </c>
      <c r="I48" s="67"/>
      <c r="J48" s="66">
        <f>+O20</f>
        <v>-14174.322317347061</v>
      </c>
      <c r="K48" s="314" t="s">
        <v>81</v>
      </c>
      <c r="L48" s="314"/>
      <c r="M48" s="314"/>
      <c r="N48" s="66">
        <f>+S28</f>
        <v>108284.65870939114</v>
      </c>
    </row>
    <row r="49" spans="5:14">
      <c r="E49" s="319"/>
      <c r="F49" s="320"/>
      <c r="G49" s="20"/>
      <c r="H49" s="314" t="s">
        <v>77</v>
      </c>
      <c r="I49" s="314"/>
      <c r="J49" s="66">
        <f>+P40</f>
        <v>-311.60807004405433</v>
      </c>
      <c r="K49" s="314" t="s">
        <v>86</v>
      </c>
      <c r="L49" s="314"/>
      <c r="M49" s="314"/>
      <c r="N49" s="66">
        <f>+G36</f>
        <v>673884.94200000004</v>
      </c>
    </row>
    <row r="50" spans="5:14" ht="19">
      <c r="E50" s="322" t="s">
        <v>84</v>
      </c>
      <c r="F50" s="323"/>
      <c r="G50" s="69">
        <f>+G45</f>
        <v>502781.82030850503</v>
      </c>
      <c r="H50" s="321" t="s">
        <v>83</v>
      </c>
      <c r="I50" s="321"/>
      <c r="J50" s="77">
        <f>+SUM(J45:J49)</f>
        <v>-327642.60540090181</v>
      </c>
      <c r="K50" s="311" t="s">
        <v>85</v>
      </c>
      <c r="L50" s="311"/>
      <c r="M50" s="311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315" t="s">
        <v>71</v>
      </c>
      <c r="F55" s="315"/>
      <c r="G55" s="316"/>
      <c r="H55" s="315" t="s">
        <v>82</v>
      </c>
      <c r="I55" s="315"/>
      <c r="J55" s="315"/>
      <c r="K55" s="317" t="s">
        <v>70</v>
      </c>
      <c r="L55" s="317"/>
      <c r="M55" s="317"/>
      <c r="N55" s="317"/>
    </row>
    <row r="56" spans="5:14">
      <c r="E56" s="68" t="s">
        <v>72</v>
      </c>
      <c r="F56" s="68"/>
      <c r="G56" s="66">
        <f>+I8</f>
        <v>231983.78607040126</v>
      </c>
      <c r="H56" s="314" t="s">
        <v>73</v>
      </c>
      <c r="I56" s="314"/>
      <c r="J56" s="66" t="e">
        <f>+'Bal Los Colorados'!O49*'Bal Los Colorados'!G49</f>
        <v>#REF!</v>
      </c>
      <c r="K56" s="314" t="s">
        <v>78</v>
      </c>
      <c r="L56" s="314"/>
      <c r="M56" s="314"/>
      <c r="N56" s="66">
        <f>+C10</f>
        <v>7704.8210577451482</v>
      </c>
    </row>
    <row r="57" spans="5:14">
      <c r="E57" s="319"/>
      <c r="F57" s="320"/>
      <c r="G57" s="20"/>
      <c r="H57" s="314" t="s">
        <v>74</v>
      </c>
      <c r="I57" s="314"/>
      <c r="J57" s="66" t="e">
        <f>+'Bal Los Colorados'!O53*'Bal Los Colorados'!G53</f>
        <v>#REF!</v>
      </c>
      <c r="K57" s="314" t="s">
        <v>79</v>
      </c>
      <c r="L57" s="314"/>
      <c r="M57" s="314"/>
      <c r="N57" s="66">
        <f>+C30</f>
        <v>9675.4587302503223</v>
      </c>
    </row>
    <row r="58" spans="5:14">
      <c r="E58" s="319"/>
      <c r="F58" s="320"/>
      <c r="G58" s="20"/>
      <c r="H58" s="314" t="s">
        <v>75</v>
      </c>
      <c r="I58" s="314"/>
      <c r="J58" s="66" t="e">
        <f>+'Bal Los Colorados'!O56*'Bal Los Colorados'!G56</f>
        <v>#REF!</v>
      </c>
      <c r="K58" s="314" t="s">
        <v>80</v>
      </c>
      <c r="L58" s="314"/>
      <c r="M58" s="314"/>
      <c r="N58" s="66">
        <f>+S38</f>
        <v>7620.3234035700007</v>
      </c>
    </row>
    <row r="59" spans="5:14">
      <c r="E59" s="319"/>
      <c r="F59" s="320"/>
      <c r="G59" s="20"/>
      <c r="H59" s="67" t="s">
        <v>76</v>
      </c>
      <c r="I59" s="67"/>
      <c r="J59" s="66" t="e">
        <f>+'Bal Los Colorados'!O62*'Bal Los Colorados'!G62</f>
        <v>#REF!</v>
      </c>
      <c r="K59" s="314" t="s">
        <v>81</v>
      </c>
      <c r="L59" s="314"/>
      <c r="M59" s="314"/>
      <c r="N59" s="66">
        <f>+S30</f>
        <v>14049.347154701374</v>
      </c>
    </row>
    <row r="60" spans="5:14">
      <c r="E60" s="319"/>
      <c r="F60" s="320"/>
      <c r="G60" s="20"/>
      <c r="H60" s="314" t="s">
        <v>77</v>
      </c>
      <c r="I60" s="314"/>
      <c r="J60" s="66" t="e">
        <f>+'Bal Los Colorados'!O67*'Bal Los Colorados'!G67</f>
        <v>#REF!</v>
      </c>
      <c r="K60" s="314" t="s">
        <v>86</v>
      </c>
      <c r="L60" s="314"/>
      <c r="M60" s="314"/>
      <c r="N60" s="66">
        <f>+G38</f>
        <v>410848.95586592209</v>
      </c>
    </row>
    <row r="61" spans="5:14" ht="19">
      <c r="E61" s="322" t="s">
        <v>84</v>
      </c>
      <c r="F61" s="323"/>
      <c r="G61" s="69">
        <f>+G56</f>
        <v>231983.78607040126</v>
      </c>
      <c r="H61" s="321" t="s">
        <v>83</v>
      </c>
      <c r="I61" s="321"/>
      <c r="J61" s="77" t="e">
        <f>+SUM(J56:J60)</f>
        <v>#REF!</v>
      </c>
      <c r="K61" s="311" t="s">
        <v>85</v>
      </c>
      <c r="L61" s="311"/>
      <c r="M61" s="311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742-5B59-FD48-8B5F-357354FA7E0B}">
  <sheetPr>
    <pageSetUpPr fitToPage="1"/>
  </sheetPr>
  <dimension ref="B1:S41"/>
  <sheetViews>
    <sheetView showGridLines="0" tabSelected="1" zoomScaleNormal="100" workbookViewId="0">
      <pane xSplit="3" ySplit="8" topLeftCell="D9" activePane="bottomRight" state="frozen"/>
      <selection pane="topRight"/>
      <selection pane="bottomLeft"/>
      <selection pane="bottomRight" activeCell="I38" sqref="I38"/>
    </sheetView>
  </sheetViews>
  <sheetFormatPr baseColWidth="10" defaultColWidth="6.33203125" defaultRowHeight="15" customHeight="1"/>
  <cols>
    <col min="1" max="2" width="2.1640625" style="121" customWidth="1"/>
    <col min="3" max="3" width="15.5" style="121" hidden="1" customWidth="1"/>
    <col min="4" max="5" width="12.83203125" style="121" customWidth="1"/>
    <col min="6" max="6" width="15.1640625" style="121" customWidth="1"/>
    <col min="7" max="7" width="12" style="121" customWidth="1"/>
    <col min="8" max="8" width="12.33203125" style="121" customWidth="1"/>
    <col min="9" max="9" width="13.5" style="121" customWidth="1"/>
    <col min="10" max="12" width="13" style="121" customWidth="1"/>
    <col min="13" max="13" width="14.83203125" style="121" customWidth="1"/>
    <col min="14" max="14" width="13.33203125" style="121" customWidth="1"/>
    <col min="15" max="15" width="13.5" style="121" customWidth="1"/>
    <col min="16" max="16" width="2.1640625" style="121" customWidth="1"/>
    <col min="17" max="17" width="13.83203125" style="121" customWidth="1"/>
    <col min="18" max="18" width="10.6640625" style="121" customWidth="1"/>
    <col min="19" max="19" width="12" style="121" customWidth="1"/>
    <col min="20" max="20" width="11.5" style="121" customWidth="1"/>
    <col min="21" max="21" width="16" style="121" customWidth="1"/>
    <col min="22" max="23" width="10.6640625" style="121" customWidth="1"/>
    <col min="24" max="24" width="15.5" style="121" customWidth="1"/>
    <col min="25" max="25" width="11.5" style="121" customWidth="1"/>
    <col min="26" max="26" width="12" style="121" customWidth="1"/>
    <col min="27" max="27" width="11.5" style="121" customWidth="1"/>
    <col min="28" max="28" width="12" style="121" customWidth="1"/>
    <col min="29" max="29" width="11.5" style="121" customWidth="1"/>
    <col min="30" max="30" width="12.83203125" style="121" customWidth="1"/>
    <col min="31" max="31" width="10.6640625" style="121" customWidth="1"/>
    <col min="32" max="32" width="19" style="121" customWidth="1"/>
    <col min="33" max="33" width="13.33203125" style="121" customWidth="1"/>
    <col min="34" max="34" width="18" style="121" customWidth="1"/>
    <col min="35" max="35" width="42.5" style="121" customWidth="1"/>
    <col min="36" max="36" width="31" style="121" customWidth="1"/>
    <col min="37" max="37" width="35" style="121" customWidth="1"/>
    <col min="38" max="38" width="31" style="121" customWidth="1"/>
    <col min="39" max="39" width="35" style="121" customWidth="1"/>
    <col min="40" max="40" width="31" style="121" customWidth="1"/>
    <col min="41" max="41" width="37.83203125" style="121" customWidth="1"/>
    <col min="42" max="42" width="11.5" style="121" customWidth="1"/>
    <col min="43" max="43" width="54" style="121" customWidth="1"/>
    <col min="44" max="44" width="43.5" style="121" customWidth="1"/>
    <col min="45" max="45" width="44.6640625" style="121" customWidth="1"/>
    <col min="46" max="255" width="6.33203125" style="121"/>
    <col min="256" max="257" width="2.1640625" style="121" customWidth="1"/>
    <col min="258" max="258" width="0" style="121" hidden="1" customWidth="1"/>
    <col min="259" max="261" width="12.83203125" style="121" customWidth="1"/>
    <col min="262" max="262" width="12" style="121" customWidth="1"/>
    <col min="263" max="263" width="12.33203125" style="121" customWidth="1"/>
    <col min="264" max="264" width="13.5" style="121" customWidth="1"/>
    <col min="265" max="265" width="0" style="121" hidden="1" customWidth="1"/>
    <col min="266" max="268" width="13" style="121" customWidth="1"/>
    <col min="269" max="269" width="14.83203125" style="121" customWidth="1"/>
    <col min="270" max="270" width="13.33203125" style="121" customWidth="1"/>
    <col min="271" max="271" width="13.5" style="121" customWidth="1"/>
    <col min="272" max="272" width="2.1640625" style="121" customWidth="1"/>
    <col min="273" max="273" width="13.83203125" style="121" customWidth="1"/>
    <col min="274" max="274" width="10.6640625" style="121" customWidth="1"/>
    <col min="275" max="275" width="12" style="121" customWidth="1"/>
    <col min="276" max="276" width="11.5" style="121" customWidth="1"/>
    <col min="277" max="277" width="16" style="121" customWidth="1"/>
    <col min="278" max="279" width="10.6640625" style="121" customWidth="1"/>
    <col min="280" max="280" width="15.5" style="121" customWidth="1"/>
    <col min="281" max="281" width="11.5" style="121" customWidth="1"/>
    <col min="282" max="282" width="12" style="121" customWidth="1"/>
    <col min="283" max="283" width="11.5" style="121" customWidth="1"/>
    <col min="284" max="284" width="12" style="121" customWidth="1"/>
    <col min="285" max="285" width="11.5" style="121" customWidth="1"/>
    <col min="286" max="286" width="12.83203125" style="121" customWidth="1"/>
    <col min="287" max="287" width="10.6640625" style="121" customWidth="1"/>
    <col min="288" max="288" width="19" style="121" customWidth="1"/>
    <col min="289" max="289" width="13.33203125" style="121" customWidth="1"/>
    <col min="290" max="290" width="18" style="121" customWidth="1"/>
    <col min="291" max="291" width="42.5" style="121" customWidth="1"/>
    <col min="292" max="292" width="31" style="121" customWidth="1"/>
    <col min="293" max="293" width="35" style="121" customWidth="1"/>
    <col min="294" max="294" width="31" style="121" customWidth="1"/>
    <col min="295" max="295" width="35" style="121" customWidth="1"/>
    <col min="296" max="296" width="31" style="121" customWidth="1"/>
    <col min="297" max="297" width="37.83203125" style="121" customWidth="1"/>
    <col min="298" max="298" width="11.5" style="121" customWidth="1"/>
    <col min="299" max="299" width="54" style="121" customWidth="1"/>
    <col min="300" max="300" width="43.5" style="121" customWidth="1"/>
    <col min="301" max="301" width="44.6640625" style="121" customWidth="1"/>
    <col min="302" max="511" width="6.33203125" style="121"/>
    <col min="512" max="513" width="2.1640625" style="121" customWidth="1"/>
    <col min="514" max="514" width="0" style="121" hidden="1" customWidth="1"/>
    <col min="515" max="517" width="12.83203125" style="121" customWidth="1"/>
    <col min="518" max="518" width="12" style="121" customWidth="1"/>
    <col min="519" max="519" width="12.33203125" style="121" customWidth="1"/>
    <col min="520" max="520" width="13.5" style="121" customWidth="1"/>
    <col min="521" max="521" width="0" style="121" hidden="1" customWidth="1"/>
    <col min="522" max="524" width="13" style="121" customWidth="1"/>
    <col min="525" max="525" width="14.83203125" style="121" customWidth="1"/>
    <col min="526" max="526" width="13.33203125" style="121" customWidth="1"/>
    <col min="527" max="527" width="13.5" style="121" customWidth="1"/>
    <col min="528" max="528" width="2.1640625" style="121" customWidth="1"/>
    <col min="529" max="529" width="13.83203125" style="121" customWidth="1"/>
    <col min="530" max="530" width="10.6640625" style="121" customWidth="1"/>
    <col min="531" max="531" width="12" style="121" customWidth="1"/>
    <col min="532" max="532" width="11.5" style="121" customWidth="1"/>
    <col min="533" max="533" width="16" style="121" customWidth="1"/>
    <col min="534" max="535" width="10.6640625" style="121" customWidth="1"/>
    <col min="536" max="536" width="15.5" style="121" customWidth="1"/>
    <col min="537" max="537" width="11.5" style="121" customWidth="1"/>
    <col min="538" max="538" width="12" style="121" customWidth="1"/>
    <col min="539" max="539" width="11.5" style="121" customWidth="1"/>
    <col min="540" max="540" width="12" style="121" customWidth="1"/>
    <col min="541" max="541" width="11.5" style="121" customWidth="1"/>
    <col min="542" max="542" width="12.83203125" style="121" customWidth="1"/>
    <col min="543" max="543" width="10.6640625" style="121" customWidth="1"/>
    <col min="544" max="544" width="19" style="121" customWidth="1"/>
    <col min="545" max="545" width="13.33203125" style="121" customWidth="1"/>
    <col min="546" max="546" width="18" style="121" customWidth="1"/>
    <col min="547" max="547" width="42.5" style="121" customWidth="1"/>
    <col min="548" max="548" width="31" style="121" customWidth="1"/>
    <col min="549" max="549" width="35" style="121" customWidth="1"/>
    <col min="550" max="550" width="31" style="121" customWidth="1"/>
    <col min="551" max="551" width="35" style="121" customWidth="1"/>
    <col min="552" max="552" width="31" style="121" customWidth="1"/>
    <col min="553" max="553" width="37.83203125" style="121" customWidth="1"/>
    <col min="554" max="554" width="11.5" style="121" customWidth="1"/>
    <col min="555" max="555" width="54" style="121" customWidth="1"/>
    <col min="556" max="556" width="43.5" style="121" customWidth="1"/>
    <col min="557" max="557" width="44.6640625" style="121" customWidth="1"/>
    <col min="558" max="767" width="6.33203125" style="121"/>
    <col min="768" max="769" width="2.1640625" style="121" customWidth="1"/>
    <col min="770" max="770" width="0" style="121" hidden="1" customWidth="1"/>
    <col min="771" max="773" width="12.83203125" style="121" customWidth="1"/>
    <col min="774" max="774" width="12" style="121" customWidth="1"/>
    <col min="775" max="775" width="12.33203125" style="121" customWidth="1"/>
    <col min="776" max="776" width="13.5" style="121" customWidth="1"/>
    <col min="777" max="777" width="0" style="121" hidden="1" customWidth="1"/>
    <col min="778" max="780" width="13" style="121" customWidth="1"/>
    <col min="781" max="781" width="14.83203125" style="121" customWidth="1"/>
    <col min="782" max="782" width="13.33203125" style="121" customWidth="1"/>
    <col min="783" max="783" width="13.5" style="121" customWidth="1"/>
    <col min="784" max="784" width="2.1640625" style="121" customWidth="1"/>
    <col min="785" max="785" width="13.83203125" style="121" customWidth="1"/>
    <col min="786" max="786" width="10.6640625" style="121" customWidth="1"/>
    <col min="787" max="787" width="12" style="121" customWidth="1"/>
    <col min="788" max="788" width="11.5" style="121" customWidth="1"/>
    <col min="789" max="789" width="16" style="121" customWidth="1"/>
    <col min="790" max="791" width="10.6640625" style="121" customWidth="1"/>
    <col min="792" max="792" width="15.5" style="121" customWidth="1"/>
    <col min="793" max="793" width="11.5" style="121" customWidth="1"/>
    <col min="794" max="794" width="12" style="121" customWidth="1"/>
    <col min="795" max="795" width="11.5" style="121" customWidth="1"/>
    <col min="796" max="796" width="12" style="121" customWidth="1"/>
    <col min="797" max="797" width="11.5" style="121" customWidth="1"/>
    <col min="798" max="798" width="12.83203125" style="121" customWidth="1"/>
    <col min="799" max="799" width="10.6640625" style="121" customWidth="1"/>
    <col min="800" max="800" width="19" style="121" customWidth="1"/>
    <col min="801" max="801" width="13.33203125" style="121" customWidth="1"/>
    <col min="802" max="802" width="18" style="121" customWidth="1"/>
    <col min="803" max="803" width="42.5" style="121" customWidth="1"/>
    <col min="804" max="804" width="31" style="121" customWidth="1"/>
    <col min="805" max="805" width="35" style="121" customWidth="1"/>
    <col min="806" max="806" width="31" style="121" customWidth="1"/>
    <col min="807" max="807" width="35" style="121" customWidth="1"/>
    <col min="808" max="808" width="31" style="121" customWidth="1"/>
    <col min="809" max="809" width="37.83203125" style="121" customWidth="1"/>
    <col min="810" max="810" width="11.5" style="121" customWidth="1"/>
    <col min="811" max="811" width="54" style="121" customWidth="1"/>
    <col min="812" max="812" width="43.5" style="121" customWidth="1"/>
    <col min="813" max="813" width="44.6640625" style="121" customWidth="1"/>
    <col min="814" max="1023" width="6.33203125" style="121"/>
    <col min="1024" max="1025" width="2.1640625" style="121" customWidth="1"/>
    <col min="1026" max="1026" width="0" style="121" hidden="1" customWidth="1"/>
    <col min="1027" max="1029" width="12.83203125" style="121" customWidth="1"/>
    <col min="1030" max="1030" width="12" style="121" customWidth="1"/>
    <col min="1031" max="1031" width="12.33203125" style="121" customWidth="1"/>
    <col min="1032" max="1032" width="13.5" style="121" customWidth="1"/>
    <col min="1033" max="1033" width="0" style="121" hidden="1" customWidth="1"/>
    <col min="1034" max="1036" width="13" style="121" customWidth="1"/>
    <col min="1037" max="1037" width="14.83203125" style="121" customWidth="1"/>
    <col min="1038" max="1038" width="13.33203125" style="121" customWidth="1"/>
    <col min="1039" max="1039" width="13.5" style="121" customWidth="1"/>
    <col min="1040" max="1040" width="2.1640625" style="121" customWidth="1"/>
    <col min="1041" max="1041" width="13.83203125" style="121" customWidth="1"/>
    <col min="1042" max="1042" width="10.6640625" style="121" customWidth="1"/>
    <col min="1043" max="1043" width="12" style="121" customWidth="1"/>
    <col min="1044" max="1044" width="11.5" style="121" customWidth="1"/>
    <col min="1045" max="1045" width="16" style="121" customWidth="1"/>
    <col min="1046" max="1047" width="10.6640625" style="121" customWidth="1"/>
    <col min="1048" max="1048" width="15.5" style="121" customWidth="1"/>
    <col min="1049" max="1049" width="11.5" style="121" customWidth="1"/>
    <col min="1050" max="1050" width="12" style="121" customWidth="1"/>
    <col min="1051" max="1051" width="11.5" style="121" customWidth="1"/>
    <col min="1052" max="1052" width="12" style="121" customWidth="1"/>
    <col min="1053" max="1053" width="11.5" style="121" customWidth="1"/>
    <col min="1054" max="1054" width="12.83203125" style="121" customWidth="1"/>
    <col min="1055" max="1055" width="10.6640625" style="121" customWidth="1"/>
    <col min="1056" max="1056" width="19" style="121" customWidth="1"/>
    <col min="1057" max="1057" width="13.33203125" style="121" customWidth="1"/>
    <col min="1058" max="1058" width="18" style="121" customWidth="1"/>
    <col min="1059" max="1059" width="42.5" style="121" customWidth="1"/>
    <col min="1060" max="1060" width="31" style="121" customWidth="1"/>
    <col min="1061" max="1061" width="35" style="121" customWidth="1"/>
    <col min="1062" max="1062" width="31" style="121" customWidth="1"/>
    <col min="1063" max="1063" width="35" style="121" customWidth="1"/>
    <col min="1064" max="1064" width="31" style="121" customWidth="1"/>
    <col min="1065" max="1065" width="37.83203125" style="121" customWidth="1"/>
    <col min="1066" max="1066" width="11.5" style="121" customWidth="1"/>
    <col min="1067" max="1067" width="54" style="121" customWidth="1"/>
    <col min="1068" max="1068" width="43.5" style="121" customWidth="1"/>
    <col min="1069" max="1069" width="44.6640625" style="121" customWidth="1"/>
    <col min="1070" max="1279" width="6.33203125" style="121"/>
    <col min="1280" max="1281" width="2.1640625" style="121" customWidth="1"/>
    <col min="1282" max="1282" width="0" style="121" hidden="1" customWidth="1"/>
    <col min="1283" max="1285" width="12.83203125" style="121" customWidth="1"/>
    <col min="1286" max="1286" width="12" style="121" customWidth="1"/>
    <col min="1287" max="1287" width="12.33203125" style="121" customWidth="1"/>
    <col min="1288" max="1288" width="13.5" style="121" customWidth="1"/>
    <col min="1289" max="1289" width="0" style="121" hidden="1" customWidth="1"/>
    <col min="1290" max="1292" width="13" style="121" customWidth="1"/>
    <col min="1293" max="1293" width="14.83203125" style="121" customWidth="1"/>
    <col min="1294" max="1294" width="13.33203125" style="121" customWidth="1"/>
    <col min="1295" max="1295" width="13.5" style="121" customWidth="1"/>
    <col min="1296" max="1296" width="2.1640625" style="121" customWidth="1"/>
    <col min="1297" max="1297" width="13.83203125" style="121" customWidth="1"/>
    <col min="1298" max="1298" width="10.6640625" style="121" customWidth="1"/>
    <col min="1299" max="1299" width="12" style="121" customWidth="1"/>
    <col min="1300" max="1300" width="11.5" style="121" customWidth="1"/>
    <col min="1301" max="1301" width="16" style="121" customWidth="1"/>
    <col min="1302" max="1303" width="10.6640625" style="121" customWidth="1"/>
    <col min="1304" max="1304" width="15.5" style="121" customWidth="1"/>
    <col min="1305" max="1305" width="11.5" style="121" customWidth="1"/>
    <col min="1306" max="1306" width="12" style="121" customWidth="1"/>
    <col min="1307" max="1307" width="11.5" style="121" customWidth="1"/>
    <col min="1308" max="1308" width="12" style="121" customWidth="1"/>
    <col min="1309" max="1309" width="11.5" style="121" customWidth="1"/>
    <col min="1310" max="1310" width="12.83203125" style="121" customWidth="1"/>
    <col min="1311" max="1311" width="10.6640625" style="121" customWidth="1"/>
    <col min="1312" max="1312" width="19" style="121" customWidth="1"/>
    <col min="1313" max="1313" width="13.33203125" style="121" customWidth="1"/>
    <col min="1314" max="1314" width="18" style="121" customWidth="1"/>
    <col min="1315" max="1315" width="42.5" style="121" customWidth="1"/>
    <col min="1316" max="1316" width="31" style="121" customWidth="1"/>
    <col min="1317" max="1317" width="35" style="121" customWidth="1"/>
    <col min="1318" max="1318" width="31" style="121" customWidth="1"/>
    <col min="1319" max="1319" width="35" style="121" customWidth="1"/>
    <col min="1320" max="1320" width="31" style="121" customWidth="1"/>
    <col min="1321" max="1321" width="37.83203125" style="121" customWidth="1"/>
    <col min="1322" max="1322" width="11.5" style="121" customWidth="1"/>
    <col min="1323" max="1323" width="54" style="121" customWidth="1"/>
    <col min="1324" max="1324" width="43.5" style="121" customWidth="1"/>
    <col min="1325" max="1325" width="44.6640625" style="121" customWidth="1"/>
    <col min="1326" max="1535" width="6.33203125" style="121"/>
    <col min="1536" max="1537" width="2.1640625" style="121" customWidth="1"/>
    <col min="1538" max="1538" width="0" style="121" hidden="1" customWidth="1"/>
    <col min="1539" max="1541" width="12.83203125" style="121" customWidth="1"/>
    <col min="1542" max="1542" width="12" style="121" customWidth="1"/>
    <col min="1543" max="1543" width="12.33203125" style="121" customWidth="1"/>
    <col min="1544" max="1544" width="13.5" style="121" customWidth="1"/>
    <col min="1545" max="1545" width="0" style="121" hidden="1" customWidth="1"/>
    <col min="1546" max="1548" width="13" style="121" customWidth="1"/>
    <col min="1549" max="1549" width="14.83203125" style="121" customWidth="1"/>
    <col min="1550" max="1550" width="13.33203125" style="121" customWidth="1"/>
    <col min="1551" max="1551" width="13.5" style="121" customWidth="1"/>
    <col min="1552" max="1552" width="2.1640625" style="121" customWidth="1"/>
    <col min="1553" max="1553" width="13.83203125" style="121" customWidth="1"/>
    <col min="1554" max="1554" width="10.6640625" style="121" customWidth="1"/>
    <col min="1555" max="1555" width="12" style="121" customWidth="1"/>
    <col min="1556" max="1556" width="11.5" style="121" customWidth="1"/>
    <col min="1557" max="1557" width="16" style="121" customWidth="1"/>
    <col min="1558" max="1559" width="10.6640625" style="121" customWidth="1"/>
    <col min="1560" max="1560" width="15.5" style="121" customWidth="1"/>
    <col min="1561" max="1561" width="11.5" style="121" customWidth="1"/>
    <col min="1562" max="1562" width="12" style="121" customWidth="1"/>
    <col min="1563" max="1563" width="11.5" style="121" customWidth="1"/>
    <col min="1564" max="1564" width="12" style="121" customWidth="1"/>
    <col min="1565" max="1565" width="11.5" style="121" customWidth="1"/>
    <col min="1566" max="1566" width="12.83203125" style="121" customWidth="1"/>
    <col min="1567" max="1567" width="10.6640625" style="121" customWidth="1"/>
    <col min="1568" max="1568" width="19" style="121" customWidth="1"/>
    <col min="1569" max="1569" width="13.33203125" style="121" customWidth="1"/>
    <col min="1570" max="1570" width="18" style="121" customWidth="1"/>
    <col min="1571" max="1571" width="42.5" style="121" customWidth="1"/>
    <col min="1572" max="1572" width="31" style="121" customWidth="1"/>
    <col min="1573" max="1573" width="35" style="121" customWidth="1"/>
    <col min="1574" max="1574" width="31" style="121" customWidth="1"/>
    <col min="1575" max="1575" width="35" style="121" customWidth="1"/>
    <col min="1576" max="1576" width="31" style="121" customWidth="1"/>
    <col min="1577" max="1577" width="37.83203125" style="121" customWidth="1"/>
    <col min="1578" max="1578" width="11.5" style="121" customWidth="1"/>
    <col min="1579" max="1579" width="54" style="121" customWidth="1"/>
    <col min="1580" max="1580" width="43.5" style="121" customWidth="1"/>
    <col min="1581" max="1581" width="44.6640625" style="121" customWidth="1"/>
    <col min="1582" max="1791" width="6.33203125" style="121"/>
    <col min="1792" max="1793" width="2.1640625" style="121" customWidth="1"/>
    <col min="1794" max="1794" width="0" style="121" hidden="1" customWidth="1"/>
    <col min="1795" max="1797" width="12.83203125" style="121" customWidth="1"/>
    <col min="1798" max="1798" width="12" style="121" customWidth="1"/>
    <col min="1799" max="1799" width="12.33203125" style="121" customWidth="1"/>
    <col min="1800" max="1800" width="13.5" style="121" customWidth="1"/>
    <col min="1801" max="1801" width="0" style="121" hidden="1" customWidth="1"/>
    <col min="1802" max="1804" width="13" style="121" customWidth="1"/>
    <col min="1805" max="1805" width="14.83203125" style="121" customWidth="1"/>
    <col min="1806" max="1806" width="13.33203125" style="121" customWidth="1"/>
    <col min="1807" max="1807" width="13.5" style="121" customWidth="1"/>
    <col min="1808" max="1808" width="2.1640625" style="121" customWidth="1"/>
    <col min="1809" max="1809" width="13.83203125" style="121" customWidth="1"/>
    <col min="1810" max="1810" width="10.6640625" style="121" customWidth="1"/>
    <col min="1811" max="1811" width="12" style="121" customWidth="1"/>
    <col min="1812" max="1812" width="11.5" style="121" customWidth="1"/>
    <col min="1813" max="1813" width="16" style="121" customWidth="1"/>
    <col min="1814" max="1815" width="10.6640625" style="121" customWidth="1"/>
    <col min="1816" max="1816" width="15.5" style="121" customWidth="1"/>
    <col min="1817" max="1817" width="11.5" style="121" customWidth="1"/>
    <col min="1818" max="1818" width="12" style="121" customWidth="1"/>
    <col min="1819" max="1819" width="11.5" style="121" customWidth="1"/>
    <col min="1820" max="1820" width="12" style="121" customWidth="1"/>
    <col min="1821" max="1821" width="11.5" style="121" customWidth="1"/>
    <col min="1822" max="1822" width="12.83203125" style="121" customWidth="1"/>
    <col min="1823" max="1823" width="10.6640625" style="121" customWidth="1"/>
    <col min="1824" max="1824" width="19" style="121" customWidth="1"/>
    <col min="1825" max="1825" width="13.33203125" style="121" customWidth="1"/>
    <col min="1826" max="1826" width="18" style="121" customWidth="1"/>
    <col min="1827" max="1827" width="42.5" style="121" customWidth="1"/>
    <col min="1828" max="1828" width="31" style="121" customWidth="1"/>
    <col min="1829" max="1829" width="35" style="121" customWidth="1"/>
    <col min="1830" max="1830" width="31" style="121" customWidth="1"/>
    <col min="1831" max="1831" width="35" style="121" customWidth="1"/>
    <col min="1832" max="1832" width="31" style="121" customWidth="1"/>
    <col min="1833" max="1833" width="37.83203125" style="121" customWidth="1"/>
    <col min="1834" max="1834" width="11.5" style="121" customWidth="1"/>
    <col min="1835" max="1835" width="54" style="121" customWidth="1"/>
    <col min="1836" max="1836" width="43.5" style="121" customWidth="1"/>
    <col min="1837" max="1837" width="44.6640625" style="121" customWidth="1"/>
    <col min="1838" max="2047" width="6.33203125" style="121"/>
    <col min="2048" max="2049" width="2.1640625" style="121" customWidth="1"/>
    <col min="2050" max="2050" width="0" style="121" hidden="1" customWidth="1"/>
    <col min="2051" max="2053" width="12.83203125" style="121" customWidth="1"/>
    <col min="2054" max="2054" width="12" style="121" customWidth="1"/>
    <col min="2055" max="2055" width="12.33203125" style="121" customWidth="1"/>
    <col min="2056" max="2056" width="13.5" style="121" customWidth="1"/>
    <col min="2057" max="2057" width="0" style="121" hidden="1" customWidth="1"/>
    <col min="2058" max="2060" width="13" style="121" customWidth="1"/>
    <col min="2061" max="2061" width="14.83203125" style="121" customWidth="1"/>
    <col min="2062" max="2062" width="13.33203125" style="121" customWidth="1"/>
    <col min="2063" max="2063" width="13.5" style="121" customWidth="1"/>
    <col min="2064" max="2064" width="2.1640625" style="121" customWidth="1"/>
    <col min="2065" max="2065" width="13.83203125" style="121" customWidth="1"/>
    <col min="2066" max="2066" width="10.6640625" style="121" customWidth="1"/>
    <col min="2067" max="2067" width="12" style="121" customWidth="1"/>
    <col min="2068" max="2068" width="11.5" style="121" customWidth="1"/>
    <col min="2069" max="2069" width="16" style="121" customWidth="1"/>
    <col min="2070" max="2071" width="10.6640625" style="121" customWidth="1"/>
    <col min="2072" max="2072" width="15.5" style="121" customWidth="1"/>
    <col min="2073" max="2073" width="11.5" style="121" customWidth="1"/>
    <col min="2074" max="2074" width="12" style="121" customWidth="1"/>
    <col min="2075" max="2075" width="11.5" style="121" customWidth="1"/>
    <col min="2076" max="2076" width="12" style="121" customWidth="1"/>
    <col min="2077" max="2077" width="11.5" style="121" customWidth="1"/>
    <col min="2078" max="2078" width="12.83203125" style="121" customWidth="1"/>
    <col min="2079" max="2079" width="10.6640625" style="121" customWidth="1"/>
    <col min="2080" max="2080" width="19" style="121" customWidth="1"/>
    <col min="2081" max="2081" width="13.33203125" style="121" customWidth="1"/>
    <col min="2082" max="2082" width="18" style="121" customWidth="1"/>
    <col min="2083" max="2083" width="42.5" style="121" customWidth="1"/>
    <col min="2084" max="2084" width="31" style="121" customWidth="1"/>
    <col min="2085" max="2085" width="35" style="121" customWidth="1"/>
    <col min="2086" max="2086" width="31" style="121" customWidth="1"/>
    <col min="2087" max="2087" width="35" style="121" customWidth="1"/>
    <col min="2088" max="2088" width="31" style="121" customWidth="1"/>
    <col min="2089" max="2089" width="37.83203125" style="121" customWidth="1"/>
    <col min="2090" max="2090" width="11.5" style="121" customWidth="1"/>
    <col min="2091" max="2091" width="54" style="121" customWidth="1"/>
    <col min="2092" max="2092" width="43.5" style="121" customWidth="1"/>
    <col min="2093" max="2093" width="44.6640625" style="121" customWidth="1"/>
    <col min="2094" max="2303" width="6.33203125" style="121"/>
    <col min="2304" max="2305" width="2.1640625" style="121" customWidth="1"/>
    <col min="2306" max="2306" width="0" style="121" hidden="1" customWidth="1"/>
    <col min="2307" max="2309" width="12.83203125" style="121" customWidth="1"/>
    <col min="2310" max="2310" width="12" style="121" customWidth="1"/>
    <col min="2311" max="2311" width="12.33203125" style="121" customWidth="1"/>
    <col min="2312" max="2312" width="13.5" style="121" customWidth="1"/>
    <col min="2313" max="2313" width="0" style="121" hidden="1" customWidth="1"/>
    <col min="2314" max="2316" width="13" style="121" customWidth="1"/>
    <col min="2317" max="2317" width="14.83203125" style="121" customWidth="1"/>
    <col min="2318" max="2318" width="13.33203125" style="121" customWidth="1"/>
    <col min="2319" max="2319" width="13.5" style="121" customWidth="1"/>
    <col min="2320" max="2320" width="2.1640625" style="121" customWidth="1"/>
    <col min="2321" max="2321" width="13.83203125" style="121" customWidth="1"/>
    <col min="2322" max="2322" width="10.6640625" style="121" customWidth="1"/>
    <col min="2323" max="2323" width="12" style="121" customWidth="1"/>
    <col min="2324" max="2324" width="11.5" style="121" customWidth="1"/>
    <col min="2325" max="2325" width="16" style="121" customWidth="1"/>
    <col min="2326" max="2327" width="10.6640625" style="121" customWidth="1"/>
    <col min="2328" max="2328" width="15.5" style="121" customWidth="1"/>
    <col min="2329" max="2329" width="11.5" style="121" customWidth="1"/>
    <col min="2330" max="2330" width="12" style="121" customWidth="1"/>
    <col min="2331" max="2331" width="11.5" style="121" customWidth="1"/>
    <col min="2332" max="2332" width="12" style="121" customWidth="1"/>
    <col min="2333" max="2333" width="11.5" style="121" customWidth="1"/>
    <col min="2334" max="2334" width="12.83203125" style="121" customWidth="1"/>
    <col min="2335" max="2335" width="10.6640625" style="121" customWidth="1"/>
    <col min="2336" max="2336" width="19" style="121" customWidth="1"/>
    <col min="2337" max="2337" width="13.33203125" style="121" customWidth="1"/>
    <col min="2338" max="2338" width="18" style="121" customWidth="1"/>
    <col min="2339" max="2339" width="42.5" style="121" customWidth="1"/>
    <col min="2340" max="2340" width="31" style="121" customWidth="1"/>
    <col min="2341" max="2341" width="35" style="121" customWidth="1"/>
    <col min="2342" max="2342" width="31" style="121" customWidth="1"/>
    <col min="2343" max="2343" width="35" style="121" customWidth="1"/>
    <col min="2344" max="2344" width="31" style="121" customWidth="1"/>
    <col min="2345" max="2345" width="37.83203125" style="121" customWidth="1"/>
    <col min="2346" max="2346" width="11.5" style="121" customWidth="1"/>
    <col min="2347" max="2347" width="54" style="121" customWidth="1"/>
    <col min="2348" max="2348" width="43.5" style="121" customWidth="1"/>
    <col min="2349" max="2349" width="44.6640625" style="121" customWidth="1"/>
    <col min="2350" max="2559" width="6.33203125" style="121"/>
    <col min="2560" max="2561" width="2.1640625" style="121" customWidth="1"/>
    <col min="2562" max="2562" width="0" style="121" hidden="1" customWidth="1"/>
    <col min="2563" max="2565" width="12.83203125" style="121" customWidth="1"/>
    <col min="2566" max="2566" width="12" style="121" customWidth="1"/>
    <col min="2567" max="2567" width="12.33203125" style="121" customWidth="1"/>
    <col min="2568" max="2568" width="13.5" style="121" customWidth="1"/>
    <col min="2569" max="2569" width="0" style="121" hidden="1" customWidth="1"/>
    <col min="2570" max="2572" width="13" style="121" customWidth="1"/>
    <col min="2573" max="2573" width="14.83203125" style="121" customWidth="1"/>
    <col min="2574" max="2574" width="13.33203125" style="121" customWidth="1"/>
    <col min="2575" max="2575" width="13.5" style="121" customWidth="1"/>
    <col min="2576" max="2576" width="2.1640625" style="121" customWidth="1"/>
    <col min="2577" max="2577" width="13.83203125" style="121" customWidth="1"/>
    <col min="2578" max="2578" width="10.6640625" style="121" customWidth="1"/>
    <col min="2579" max="2579" width="12" style="121" customWidth="1"/>
    <col min="2580" max="2580" width="11.5" style="121" customWidth="1"/>
    <col min="2581" max="2581" width="16" style="121" customWidth="1"/>
    <col min="2582" max="2583" width="10.6640625" style="121" customWidth="1"/>
    <col min="2584" max="2584" width="15.5" style="121" customWidth="1"/>
    <col min="2585" max="2585" width="11.5" style="121" customWidth="1"/>
    <col min="2586" max="2586" width="12" style="121" customWidth="1"/>
    <col min="2587" max="2587" width="11.5" style="121" customWidth="1"/>
    <col min="2588" max="2588" width="12" style="121" customWidth="1"/>
    <col min="2589" max="2589" width="11.5" style="121" customWidth="1"/>
    <col min="2590" max="2590" width="12.83203125" style="121" customWidth="1"/>
    <col min="2591" max="2591" width="10.6640625" style="121" customWidth="1"/>
    <col min="2592" max="2592" width="19" style="121" customWidth="1"/>
    <col min="2593" max="2593" width="13.33203125" style="121" customWidth="1"/>
    <col min="2594" max="2594" width="18" style="121" customWidth="1"/>
    <col min="2595" max="2595" width="42.5" style="121" customWidth="1"/>
    <col min="2596" max="2596" width="31" style="121" customWidth="1"/>
    <col min="2597" max="2597" width="35" style="121" customWidth="1"/>
    <col min="2598" max="2598" width="31" style="121" customWidth="1"/>
    <col min="2599" max="2599" width="35" style="121" customWidth="1"/>
    <col min="2600" max="2600" width="31" style="121" customWidth="1"/>
    <col min="2601" max="2601" width="37.83203125" style="121" customWidth="1"/>
    <col min="2602" max="2602" width="11.5" style="121" customWidth="1"/>
    <col min="2603" max="2603" width="54" style="121" customWidth="1"/>
    <col min="2604" max="2604" width="43.5" style="121" customWidth="1"/>
    <col min="2605" max="2605" width="44.6640625" style="121" customWidth="1"/>
    <col min="2606" max="2815" width="6.33203125" style="121"/>
    <col min="2816" max="2817" width="2.1640625" style="121" customWidth="1"/>
    <col min="2818" max="2818" width="0" style="121" hidden="1" customWidth="1"/>
    <col min="2819" max="2821" width="12.83203125" style="121" customWidth="1"/>
    <col min="2822" max="2822" width="12" style="121" customWidth="1"/>
    <col min="2823" max="2823" width="12.33203125" style="121" customWidth="1"/>
    <col min="2824" max="2824" width="13.5" style="121" customWidth="1"/>
    <col min="2825" max="2825" width="0" style="121" hidden="1" customWidth="1"/>
    <col min="2826" max="2828" width="13" style="121" customWidth="1"/>
    <col min="2829" max="2829" width="14.83203125" style="121" customWidth="1"/>
    <col min="2830" max="2830" width="13.33203125" style="121" customWidth="1"/>
    <col min="2831" max="2831" width="13.5" style="121" customWidth="1"/>
    <col min="2832" max="2832" width="2.1640625" style="121" customWidth="1"/>
    <col min="2833" max="2833" width="13.83203125" style="121" customWidth="1"/>
    <col min="2834" max="2834" width="10.6640625" style="121" customWidth="1"/>
    <col min="2835" max="2835" width="12" style="121" customWidth="1"/>
    <col min="2836" max="2836" width="11.5" style="121" customWidth="1"/>
    <col min="2837" max="2837" width="16" style="121" customWidth="1"/>
    <col min="2838" max="2839" width="10.6640625" style="121" customWidth="1"/>
    <col min="2840" max="2840" width="15.5" style="121" customWidth="1"/>
    <col min="2841" max="2841" width="11.5" style="121" customWidth="1"/>
    <col min="2842" max="2842" width="12" style="121" customWidth="1"/>
    <col min="2843" max="2843" width="11.5" style="121" customWidth="1"/>
    <col min="2844" max="2844" width="12" style="121" customWidth="1"/>
    <col min="2845" max="2845" width="11.5" style="121" customWidth="1"/>
    <col min="2846" max="2846" width="12.83203125" style="121" customWidth="1"/>
    <col min="2847" max="2847" width="10.6640625" style="121" customWidth="1"/>
    <col min="2848" max="2848" width="19" style="121" customWidth="1"/>
    <col min="2849" max="2849" width="13.33203125" style="121" customWidth="1"/>
    <col min="2850" max="2850" width="18" style="121" customWidth="1"/>
    <col min="2851" max="2851" width="42.5" style="121" customWidth="1"/>
    <col min="2852" max="2852" width="31" style="121" customWidth="1"/>
    <col min="2853" max="2853" width="35" style="121" customWidth="1"/>
    <col min="2854" max="2854" width="31" style="121" customWidth="1"/>
    <col min="2855" max="2855" width="35" style="121" customWidth="1"/>
    <col min="2856" max="2856" width="31" style="121" customWidth="1"/>
    <col min="2857" max="2857" width="37.83203125" style="121" customWidth="1"/>
    <col min="2858" max="2858" width="11.5" style="121" customWidth="1"/>
    <col min="2859" max="2859" width="54" style="121" customWidth="1"/>
    <col min="2860" max="2860" width="43.5" style="121" customWidth="1"/>
    <col min="2861" max="2861" width="44.6640625" style="121" customWidth="1"/>
    <col min="2862" max="3071" width="6.33203125" style="121"/>
    <col min="3072" max="3073" width="2.1640625" style="121" customWidth="1"/>
    <col min="3074" max="3074" width="0" style="121" hidden="1" customWidth="1"/>
    <col min="3075" max="3077" width="12.83203125" style="121" customWidth="1"/>
    <col min="3078" max="3078" width="12" style="121" customWidth="1"/>
    <col min="3079" max="3079" width="12.33203125" style="121" customWidth="1"/>
    <col min="3080" max="3080" width="13.5" style="121" customWidth="1"/>
    <col min="3081" max="3081" width="0" style="121" hidden="1" customWidth="1"/>
    <col min="3082" max="3084" width="13" style="121" customWidth="1"/>
    <col min="3085" max="3085" width="14.83203125" style="121" customWidth="1"/>
    <col min="3086" max="3086" width="13.33203125" style="121" customWidth="1"/>
    <col min="3087" max="3087" width="13.5" style="121" customWidth="1"/>
    <col min="3088" max="3088" width="2.1640625" style="121" customWidth="1"/>
    <col min="3089" max="3089" width="13.83203125" style="121" customWidth="1"/>
    <col min="3090" max="3090" width="10.6640625" style="121" customWidth="1"/>
    <col min="3091" max="3091" width="12" style="121" customWidth="1"/>
    <col min="3092" max="3092" width="11.5" style="121" customWidth="1"/>
    <col min="3093" max="3093" width="16" style="121" customWidth="1"/>
    <col min="3094" max="3095" width="10.6640625" style="121" customWidth="1"/>
    <col min="3096" max="3096" width="15.5" style="121" customWidth="1"/>
    <col min="3097" max="3097" width="11.5" style="121" customWidth="1"/>
    <col min="3098" max="3098" width="12" style="121" customWidth="1"/>
    <col min="3099" max="3099" width="11.5" style="121" customWidth="1"/>
    <col min="3100" max="3100" width="12" style="121" customWidth="1"/>
    <col min="3101" max="3101" width="11.5" style="121" customWidth="1"/>
    <col min="3102" max="3102" width="12.83203125" style="121" customWidth="1"/>
    <col min="3103" max="3103" width="10.6640625" style="121" customWidth="1"/>
    <col min="3104" max="3104" width="19" style="121" customWidth="1"/>
    <col min="3105" max="3105" width="13.33203125" style="121" customWidth="1"/>
    <col min="3106" max="3106" width="18" style="121" customWidth="1"/>
    <col min="3107" max="3107" width="42.5" style="121" customWidth="1"/>
    <col min="3108" max="3108" width="31" style="121" customWidth="1"/>
    <col min="3109" max="3109" width="35" style="121" customWidth="1"/>
    <col min="3110" max="3110" width="31" style="121" customWidth="1"/>
    <col min="3111" max="3111" width="35" style="121" customWidth="1"/>
    <col min="3112" max="3112" width="31" style="121" customWidth="1"/>
    <col min="3113" max="3113" width="37.83203125" style="121" customWidth="1"/>
    <col min="3114" max="3114" width="11.5" style="121" customWidth="1"/>
    <col min="3115" max="3115" width="54" style="121" customWidth="1"/>
    <col min="3116" max="3116" width="43.5" style="121" customWidth="1"/>
    <col min="3117" max="3117" width="44.6640625" style="121" customWidth="1"/>
    <col min="3118" max="3327" width="6.33203125" style="121"/>
    <col min="3328" max="3329" width="2.1640625" style="121" customWidth="1"/>
    <col min="3330" max="3330" width="0" style="121" hidden="1" customWidth="1"/>
    <col min="3331" max="3333" width="12.83203125" style="121" customWidth="1"/>
    <col min="3334" max="3334" width="12" style="121" customWidth="1"/>
    <col min="3335" max="3335" width="12.33203125" style="121" customWidth="1"/>
    <col min="3336" max="3336" width="13.5" style="121" customWidth="1"/>
    <col min="3337" max="3337" width="0" style="121" hidden="1" customWidth="1"/>
    <col min="3338" max="3340" width="13" style="121" customWidth="1"/>
    <col min="3341" max="3341" width="14.83203125" style="121" customWidth="1"/>
    <col min="3342" max="3342" width="13.33203125" style="121" customWidth="1"/>
    <col min="3343" max="3343" width="13.5" style="121" customWidth="1"/>
    <col min="3344" max="3344" width="2.1640625" style="121" customWidth="1"/>
    <col min="3345" max="3345" width="13.83203125" style="121" customWidth="1"/>
    <col min="3346" max="3346" width="10.6640625" style="121" customWidth="1"/>
    <col min="3347" max="3347" width="12" style="121" customWidth="1"/>
    <col min="3348" max="3348" width="11.5" style="121" customWidth="1"/>
    <col min="3349" max="3349" width="16" style="121" customWidth="1"/>
    <col min="3350" max="3351" width="10.6640625" style="121" customWidth="1"/>
    <col min="3352" max="3352" width="15.5" style="121" customWidth="1"/>
    <col min="3353" max="3353" width="11.5" style="121" customWidth="1"/>
    <col min="3354" max="3354" width="12" style="121" customWidth="1"/>
    <col min="3355" max="3355" width="11.5" style="121" customWidth="1"/>
    <col min="3356" max="3356" width="12" style="121" customWidth="1"/>
    <col min="3357" max="3357" width="11.5" style="121" customWidth="1"/>
    <col min="3358" max="3358" width="12.83203125" style="121" customWidth="1"/>
    <col min="3359" max="3359" width="10.6640625" style="121" customWidth="1"/>
    <col min="3360" max="3360" width="19" style="121" customWidth="1"/>
    <col min="3361" max="3361" width="13.33203125" style="121" customWidth="1"/>
    <col min="3362" max="3362" width="18" style="121" customWidth="1"/>
    <col min="3363" max="3363" width="42.5" style="121" customWidth="1"/>
    <col min="3364" max="3364" width="31" style="121" customWidth="1"/>
    <col min="3365" max="3365" width="35" style="121" customWidth="1"/>
    <col min="3366" max="3366" width="31" style="121" customWidth="1"/>
    <col min="3367" max="3367" width="35" style="121" customWidth="1"/>
    <col min="3368" max="3368" width="31" style="121" customWidth="1"/>
    <col min="3369" max="3369" width="37.83203125" style="121" customWidth="1"/>
    <col min="3370" max="3370" width="11.5" style="121" customWidth="1"/>
    <col min="3371" max="3371" width="54" style="121" customWidth="1"/>
    <col min="3372" max="3372" width="43.5" style="121" customWidth="1"/>
    <col min="3373" max="3373" width="44.6640625" style="121" customWidth="1"/>
    <col min="3374" max="3583" width="6.33203125" style="121"/>
    <col min="3584" max="3585" width="2.1640625" style="121" customWidth="1"/>
    <col min="3586" max="3586" width="0" style="121" hidden="1" customWidth="1"/>
    <col min="3587" max="3589" width="12.83203125" style="121" customWidth="1"/>
    <col min="3590" max="3590" width="12" style="121" customWidth="1"/>
    <col min="3591" max="3591" width="12.33203125" style="121" customWidth="1"/>
    <col min="3592" max="3592" width="13.5" style="121" customWidth="1"/>
    <col min="3593" max="3593" width="0" style="121" hidden="1" customWidth="1"/>
    <col min="3594" max="3596" width="13" style="121" customWidth="1"/>
    <col min="3597" max="3597" width="14.83203125" style="121" customWidth="1"/>
    <col min="3598" max="3598" width="13.33203125" style="121" customWidth="1"/>
    <col min="3599" max="3599" width="13.5" style="121" customWidth="1"/>
    <col min="3600" max="3600" width="2.1640625" style="121" customWidth="1"/>
    <col min="3601" max="3601" width="13.83203125" style="121" customWidth="1"/>
    <col min="3602" max="3602" width="10.6640625" style="121" customWidth="1"/>
    <col min="3603" max="3603" width="12" style="121" customWidth="1"/>
    <col min="3604" max="3604" width="11.5" style="121" customWidth="1"/>
    <col min="3605" max="3605" width="16" style="121" customWidth="1"/>
    <col min="3606" max="3607" width="10.6640625" style="121" customWidth="1"/>
    <col min="3608" max="3608" width="15.5" style="121" customWidth="1"/>
    <col min="3609" max="3609" width="11.5" style="121" customWidth="1"/>
    <col min="3610" max="3610" width="12" style="121" customWidth="1"/>
    <col min="3611" max="3611" width="11.5" style="121" customWidth="1"/>
    <col min="3612" max="3612" width="12" style="121" customWidth="1"/>
    <col min="3613" max="3613" width="11.5" style="121" customWidth="1"/>
    <col min="3614" max="3614" width="12.83203125" style="121" customWidth="1"/>
    <col min="3615" max="3615" width="10.6640625" style="121" customWidth="1"/>
    <col min="3616" max="3616" width="19" style="121" customWidth="1"/>
    <col min="3617" max="3617" width="13.33203125" style="121" customWidth="1"/>
    <col min="3618" max="3618" width="18" style="121" customWidth="1"/>
    <col min="3619" max="3619" width="42.5" style="121" customWidth="1"/>
    <col min="3620" max="3620" width="31" style="121" customWidth="1"/>
    <col min="3621" max="3621" width="35" style="121" customWidth="1"/>
    <col min="3622" max="3622" width="31" style="121" customWidth="1"/>
    <col min="3623" max="3623" width="35" style="121" customWidth="1"/>
    <col min="3624" max="3624" width="31" style="121" customWidth="1"/>
    <col min="3625" max="3625" width="37.83203125" style="121" customWidth="1"/>
    <col min="3626" max="3626" width="11.5" style="121" customWidth="1"/>
    <col min="3627" max="3627" width="54" style="121" customWidth="1"/>
    <col min="3628" max="3628" width="43.5" style="121" customWidth="1"/>
    <col min="3629" max="3629" width="44.6640625" style="121" customWidth="1"/>
    <col min="3630" max="3839" width="6.33203125" style="121"/>
    <col min="3840" max="3841" width="2.1640625" style="121" customWidth="1"/>
    <col min="3842" max="3842" width="0" style="121" hidden="1" customWidth="1"/>
    <col min="3843" max="3845" width="12.83203125" style="121" customWidth="1"/>
    <col min="3846" max="3846" width="12" style="121" customWidth="1"/>
    <col min="3847" max="3847" width="12.33203125" style="121" customWidth="1"/>
    <col min="3848" max="3848" width="13.5" style="121" customWidth="1"/>
    <col min="3849" max="3849" width="0" style="121" hidden="1" customWidth="1"/>
    <col min="3850" max="3852" width="13" style="121" customWidth="1"/>
    <col min="3853" max="3853" width="14.83203125" style="121" customWidth="1"/>
    <col min="3854" max="3854" width="13.33203125" style="121" customWidth="1"/>
    <col min="3855" max="3855" width="13.5" style="121" customWidth="1"/>
    <col min="3856" max="3856" width="2.1640625" style="121" customWidth="1"/>
    <col min="3857" max="3857" width="13.83203125" style="121" customWidth="1"/>
    <col min="3858" max="3858" width="10.6640625" style="121" customWidth="1"/>
    <col min="3859" max="3859" width="12" style="121" customWidth="1"/>
    <col min="3860" max="3860" width="11.5" style="121" customWidth="1"/>
    <col min="3861" max="3861" width="16" style="121" customWidth="1"/>
    <col min="3862" max="3863" width="10.6640625" style="121" customWidth="1"/>
    <col min="3864" max="3864" width="15.5" style="121" customWidth="1"/>
    <col min="3865" max="3865" width="11.5" style="121" customWidth="1"/>
    <col min="3866" max="3866" width="12" style="121" customWidth="1"/>
    <col min="3867" max="3867" width="11.5" style="121" customWidth="1"/>
    <col min="3868" max="3868" width="12" style="121" customWidth="1"/>
    <col min="3869" max="3869" width="11.5" style="121" customWidth="1"/>
    <col min="3870" max="3870" width="12.83203125" style="121" customWidth="1"/>
    <col min="3871" max="3871" width="10.6640625" style="121" customWidth="1"/>
    <col min="3872" max="3872" width="19" style="121" customWidth="1"/>
    <col min="3873" max="3873" width="13.33203125" style="121" customWidth="1"/>
    <col min="3874" max="3874" width="18" style="121" customWidth="1"/>
    <col min="3875" max="3875" width="42.5" style="121" customWidth="1"/>
    <col min="3876" max="3876" width="31" style="121" customWidth="1"/>
    <col min="3877" max="3877" width="35" style="121" customWidth="1"/>
    <col min="3878" max="3878" width="31" style="121" customWidth="1"/>
    <col min="3879" max="3879" width="35" style="121" customWidth="1"/>
    <col min="3880" max="3880" width="31" style="121" customWidth="1"/>
    <col min="3881" max="3881" width="37.83203125" style="121" customWidth="1"/>
    <col min="3882" max="3882" width="11.5" style="121" customWidth="1"/>
    <col min="3883" max="3883" width="54" style="121" customWidth="1"/>
    <col min="3884" max="3884" width="43.5" style="121" customWidth="1"/>
    <col min="3885" max="3885" width="44.6640625" style="121" customWidth="1"/>
    <col min="3886" max="4095" width="6.33203125" style="121"/>
    <col min="4096" max="4097" width="2.1640625" style="121" customWidth="1"/>
    <col min="4098" max="4098" width="0" style="121" hidden="1" customWidth="1"/>
    <col min="4099" max="4101" width="12.83203125" style="121" customWidth="1"/>
    <col min="4102" max="4102" width="12" style="121" customWidth="1"/>
    <col min="4103" max="4103" width="12.33203125" style="121" customWidth="1"/>
    <col min="4104" max="4104" width="13.5" style="121" customWidth="1"/>
    <col min="4105" max="4105" width="0" style="121" hidden="1" customWidth="1"/>
    <col min="4106" max="4108" width="13" style="121" customWidth="1"/>
    <col min="4109" max="4109" width="14.83203125" style="121" customWidth="1"/>
    <col min="4110" max="4110" width="13.33203125" style="121" customWidth="1"/>
    <col min="4111" max="4111" width="13.5" style="121" customWidth="1"/>
    <col min="4112" max="4112" width="2.1640625" style="121" customWidth="1"/>
    <col min="4113" max="4113" width="13.83203125" style="121" customWidth="1"/>
    <col min="4114" max="4114" width="10.6640625" style="121" customWidth="1"/>
    <col min="4115" max="4115" width="12" style="121" customWidth="1"/>
    <col min="4116" max="4116" width="11.5" style="121" customWidth="1"/>
    <col min="4117" max="4117" width="16" style="121" customWidth="1"/>
    <col min="4118" max="4119" width="10.6640625" style="121" customWidth="1"/>
    <col min="4120" max="4120" width="15.5" style="121" customWidth="1"/>
    <col min="4121" max="4121" width="11.5" style="121" customWidth="1"/>
    <col min="4122" max="4122" width="12" style="121" customWidth="1"/>
    <col min="4123" max="4123" width="11.5" style="121" customWidth="1"/>
    <col min="4124" max="4124" width="12" style="121" customWidth="1"/>
    <col min="4125" max="4125" width="11.5" style="121" customWidth="1"/>
    <col min="4126" max="4126" width="12.83203125" style="121" customWidth="1"/>
    <col min="4127" max="4127" width="10.6640625" style="121" customWidth="1"/>
    <col min="4128" max="4128" width="19" style="121" customWidth="1"/>
    <col min="4129" max="4129" width="13.33203125" style="121" customWidth="1"/>
    <col min="4130" max="4130" width="18" style="121" customWidth="1"/>
    <col min="4131" max="4131" width="42.5" style="121" customWidth="1"/>
    <col min="4132" max="4132" width="31" style="121" customWidth="1"/>
    <col min="4133" max="4133" width="35" style="121" customWidth="1"/>
    <col min="4134" max="4134" width="31" style="121" customWidth="1"/>
    <col min="4135" max="4135" width="35" style="121" customWidth="1"/>
    <col min="4136" max="4136" width="31" style="121" customWidth="1"/>
    <col min="4137" max="4137" width="37.83203125" style="121" customWidth="1"/>
    <col min="4138" max="4138" width="11.5" style="121" customWidth="1"/>
    <col min="4139" max="4139" width="54" style="121" customWidth="1"/>
    <col min="4140" max="4140" width="43.5" style="121" customWidth="1"/>
    <col min="4141" max="4141" width="44.6640625" style="121" customWidth="1"/>
    <col min="4142" max="4351" width="6.33203125" style="121"/>
    <col min="4352" max="4353" width="2.1640625" style="121" customWidth="1"/>
    <col min="4354" max="4354" width="0" style="121" hidden="1" customWidth="1"/>
    <col min="4355" max="4357" width="12.83203125" style="121" customWidth="1"/>
    <col min="4358" max="4358" width="12" style="121" customWidth="1"/>
    <col min="4359" max="4359" width="12.33203125" style="121" customWidth="1"/>
    <col min="4360" max="4360" width="13.5" style="121" customWidth="1"/>
    <col min="4361" max="4361" width="0" style="121" hidden="1" customWidth="1"/>
    <col min="4362" max="4364" width="13" style="121" customWidth="1"/>
    <col min="4365" max="4365" width="14.83203125" style="121" customWidth="1"/>
    <col min="4366" max="4366" width="13.33203125" style="121" customWidth="1"/>
    <col min="4367" max="4367" width="13.5" style="121" customWidth="1"/>
    <col min="4368" max="4368" width="2.1640625" style="121" customWidth="1"/>
    <col min="4369" max="4369" width="13.83203125" style="121" customWidth="1"/>
    <col min="4370" max="4370" width="10.6640625" style="121" customWidth="1"/>
    <col min="4371" max="4371" width="12" style="121" customWidth="1"/>
    <col min="4372" max="4372" width="11.5" style="121" customWidth="1"/>
    <col min="4373" max="4373" width="16" style="121" customWidth="1"/>
    <col min="4374" max="4375" width="10.6640625" style="121" customWidth="1"/>
    <col min="4376" max="4376" width="15.5" style="121" customWidth="1"/>
    <col min="4377" max="4377" width="11.5" style="121" customWidth="1"/>
    <col min="4378" max="4378" width="12" style="121" customWidth="1"/>
    <col min="4379" max="4379" width="11.5" style="121" customWidth="1"/>
    <col min="4380" max="4380" width="12" style="121" customWidth="1"/>
    <col min="4381" max="4381" width="11.5" style="121" customWidth="1"/>
    <col min="4382" max="4382" width="12.83203125" style="121" customWidth="1"/>
    <col min="4383" max="4383" width="10.6640625" style="121" customWidth="1"/>
    <col min="4384" max="4384" width="19" style="121" customWidth="1"/>
    <col min="4385" max="4385" width="13.33203125" style="121" customWidth="1"/>
    <col min="4386" max="4386" width="18" style="121" customWidth="1"/>
    <col min="4387" max="4387" width="42.5" style="121" customWidth="1"/>
    <col min="4388" max="4388" width="31" style="121" customWidth="1"/>
    <col min="4389" max="4389" width="35" style="121" customWidth="1"/>
    <col min="4390" max="4390" width="31" style="121" customWidth="1"/>
    <col min="4391" max="4391" width="35" style="121" customWidth="1"/>
    <col min="4392" max="4392" width="31" style="121" customWidth="1"/>
    <col min="4393" max="4393" width="37.83203125" style="121" customWidth="1"/>
    <col min="4394" max="4394" width="11.5" style="121" customWidth="1"/>
    <col min="4395" max="4395" width="54" style="121" customWidth="1"/>
    <col min="4396" max="4396" width="43.5" style="121" customWidth="1"/>
    <col min="4397" max="4397" width="44.6640625" style="121" customWidth="1"/>
    <col min="4398" max="4607" width="6.33203125" style="121"/>
    <col min="4608" max="4609" width="2.1640625" style="121" customWidth="1"/>
    <col min="4610" max="4610" width="0" style="121" hidden="1" customWidth="1"/>
    <col min="4611" max="4613" width="12.83203125" style="121" customWidth="1"/>
    <col min="4614" max="4614" width="12" style="121" customWidth="1"/>
    <col min="4615" max="4615" width="12.33203125" style="121" customWidth="1"/>
    <col min="4616" max="4616" width="13.5" style="121" customWidth="1"/>
    <col min="4617" max="4617" width="0" style="121" hidden="1" customWidth="1"/>
    <col min="4618" max="4620" width="13" style="121" customWidth="1"/>
    <col min="4621" max="4621" width="14.83203125" style="121" customWidth="1"/>
    <col min="4622" max="4622" width="13.33203125" style="121" customWidth="1"/>
    <col min="4623" max="4623" width="13.5" style="121" customWidth="1"/>
    <col min="4624" max="4624" width="2.1640625" style="121" customWidth="1"/>
    <col min="4625" max="4625" width="13.83203125" style="121" customWidth="1"/>
    <col min="4626" max="4626" width="10.6640625" style="121" customWidth="1"/>
    <col min="4627" max="4627" width="12" style="121" customWidth="1"/>
    <col min="4628" max="4628" width="11.5" style="121" customWidth="1"/>
    <col min="4629" max="4629" width="16" style="121" customWidth="1"/>
    <col min="4630" max="4631" width="10.6640625" style="121" customWidth="1"/>
    <col min="4632" max="4632" width="15.5" style="121" customWidth="1"/>
    <col min="4633" max="4633" width="11.5" style="121" customWidth="1"/>
    <col min="4634" max="4634" width="12" style="121" customWidth="1"/>
    <col min="4635" max="4635" width="11.5" style="121" customWidth="1"/>
    <col min="4636" max="4636" width="12" style="121" customWidth="1"/>
    <col min="4637" max="4637" width="11.5" style="121" customWidth="1"/>
    <col min="4638" max="4638" width="12.83203125" style="121" customWidth="1"/>
    <col min="4639" max="4639" width="10.6640625" style="121" customWidth="1"/>
    <col min="4640" max="4640" width="19" style="121" customWidth="1"/>
    <col min="4641" max="4641" width="13.33203125" style="121" customWidth="1"/>
    <col min="4642" max="4642" width="18" style="121" customWidth="1"/>
    <col min="4643" max="4643" width="42.5" style="121" customWidth="1"/>
    <col min="4644" max="4644" width="31" style="121" customWidth="1"/>
    <col min="4645" max="4645" width="35" style="121" customWidth="1"/>
    <col min="4646" max="4646" width="31" style="121" customWidth="1"/>
    <col min="4647" max="4647" width="35" style="121" customWidth="1"/>
    <col min="4648" max="4648" width="31" style="121" customWidth="1"/>
    <col min="4649" max="4649" width="37.83203125" style="121" customWidth="1"/>
    <col min="4650" max="4650" width="11.5" style="121" customWidth="1"/>
    <col min="4651" max="4651" width="54" style="121" customWidth="1"/>
    <col min="4652" max="4652" width="43.5" style="121" customWidth="1"/>
    <col min="4653" max="4653" width="44.6640625" style="121" customWidth="1"/>
    <col min="4654" max="4863" width="6.33203125" style="121"/>
    <col min="4864" max="4865" width="2.1640625" style="121" customWidth="1"/>
    <col min="4866" max="4866" width="0" style="121" hidden="1" customWidth="1"/>
    <col min="4867" max="4869" width="12.83203125" style="121" customWidth="1"/>
    <col min="4870" max="4870" width="12" style="121" customWidth="1"/>
    <col min="4871" max="4871" width="12.33203125" style="121" customWidth="1"/>
    <col min="4872" max="4872" width="13.5" style="121" customWidth="1"/>
    <col min="4873" max="4873" width="0" style="121" hidden="1" customWidth="1"/>
    <col min="4874" max="4876" width="13" style="121" customWidth="1"/>
    <col min="4877" max="4877" width="14.83203125" style="121" customWidth="1"/>
    <col min="4878" max="4878" width="13.33203125" style="121" customWidth="1"/>
    <col min="4879" max="4879" width="13.5" style="121" customWidth="1"/>
    <col min="4880" max="4880" width="2.1640625" style="121" customWidth="1"/>
    <col min="4881" max="4881" width="13.83203125" style="121" customWidth="1"/>
    <col min="4882" max="4882" width="10.6640625" style="121" customWidth="1"/>
    <col min="4883" max="4883" width="12" style="121" customWidth="1"/>
    <col min="4884" max="4884" width="11.5" style="121" customWidth="1"/>
    <col min="4885" max="4885" width="16" style="121" customWidth="1"/>
    <col min="4886" max="4887" width="10.6640625" style="121" customWidth="1"/>
    <col min="4888" max="4888" width="15.5" style="121" customWidth="1"/>
    <col min="4889" max="4889" width="11.5" style="121" customWidth="1"/>
    <col min="4890" max="4890" width="12" style="121" customWidth="1"/>
    <col min="4891" max="4891" width="11.5" style="121" customWidth="1"/>
    <col min="4892" max="4892" width="12" style="121" customWidth="1"/>
    <col min="4893" max="4893" width="11.5" style="121" customWidth="1"/>
    <col min="4894" max="4894" width="12.83203125" style="121" customWidth="1"/>
    <col min="4895" max="4895" width="10.6640625" style="121" customWidth="1"/>
    <col min="4896" max="4896" width="19" style="121" customWidth="1"/>
    <col min="4897" max="4897" width="13.33203125" style="121" customWidth="1"/>
    <col min="4898" max="4898" width="18" style="121" customWidth="1"/>
    <col min="4899" max="4899" width="42.5" style="121" customWidth="1"/>
    <col min="4900" max="4900" width="31" style="121" customWidth="1"/>
    <col min="4901" max="4901" width="35" style="121" customWidth="1"/>
    <col min="4902" max="4902" width="31" style="121" customWidth="1"/>
    <col min="4903" max="4903" width="35" style="121" customWidth="1"/>
    <col min="4904" max="4904" width="31" style="121" customWidth="1"/>
    <col min="4905" max="4905" width="37.83203125" style="121" customWidth="1"/>
    <col min="4906" max="4906" width="11.5" style="121" customWidth="1"/>
    <col min="4907" max="4907" width="54" style="121" customWidth="1"/>
    <col min="4908" max="4908" width="43.5" style="121" customWidth="1"/>
    <col min="4909" max="4909" width="44.6640625" style="121" customWidth="1"/>
    <col min="4910" max="5119" width="6.33203125" style="121"/>
    <col min="5120" max="5121" width="2.1640625" style="121" customWidth="1"/>
    <col min="5122" max="5122" width="0" style="121" hidden="1" customWidth="1"/>
    <col min="5123" max="5125" width="12.83203125" style="121" customWidth="1"/>
    <col min="5126" max="5126" width="12" style="121" customWidth="1"/>
    <col min="5127" max="5127" width="12.33203125" style="121" customWidth="1"/>
    <col min="5128" max="5128" width="13.5" style="121" customWidth="1"/>
    <col min="5129" max="5129" width="0" style="121" hidden="1" customWidth="1"/>
    <col min="5130" max="5132" width="13" style="121" customWidth="1"/>
    <col min="5133" max="5133" width="14.83203125" style="121" customWidth="1"/>
    <col min="5134" max="5134" width="13.33203125" style="121" customWidth="1"/>
    <col min="5135" max="5135" width="13.5" style="121" customWidth="1"/>
    <col min="5136" max="5136" width="2.1640625" style="121" customWidth="1"/>
    <col min="5137" max="5137" width="13.83203125" style="121" customWidth="1"/>
    <col min="5138" max="5138" width="10.6640625" style="121" customWidth="1"/>
    <col min="5139" max="5139" width="12" style="121" customWidth="1"/>
    <col min="5140" max="5140" width="11.5" style="121" customWidth="1"/>
    <col min="5141" max="5141" width="16" style="121" customWidth="1"/>
    <col min="5142" max="5143" width="10.6640625" style="121" customWidth="1"/>
    <col min="5144" max="5144" width="15.5" style="121" customWidth="1"/>
    <col min="5145" max="5145" width="11.5" style="121" customWidth="1"/>
    <col min="5146" max="5146" width="12" style="121" customWidth="1"/>
    <col min="5147" max="5147" width="11.5" style="121" customWidth="1"/>
    <col min="5148" max="5148" width="12" style="121" customWidth="1"/>
    <col min="5149" max="5149" width="11.5" style="121" customWidth="1"/>
    <col min="5150" max="5150" width="12.83203125" style="121" customWidth="1"/>
    <col min="5151" max="5151" width="10.6640625" style="121" customWidth="1"/>
    <col min="5152" max="5152" width="19" style="121" customWidth="1"/>
    <col min="5153" max="5153" width="13.33203125" style="121" customWidth="1"/>
    <col min="5154" max="5154" width="18" style="121" customWidth="1"/>
    <col min="5155" max="5155" width="42.5" style="121" customWidth="1"/>
    <col min="5156" max="5156" width="31" style="121" customWidth="1"/>
    <col min="5157" max="5157" width="35" style="121" customWidth="1"/>
    <col min="5158" max="5158" width="31" style="121" customWidth="1"/>
    <col min="5159" max="5159" width="35" style="121" customWidth="1"/>
    <col min="5160" max="5160" width="31" style="121" customWidth="1"/>
    <col min="5161" max="5161" width="37.83203125" style="121" customWidth="1"/>
    <col min="5162" max="5162" width="11.5" style="121" customWidth="1"/>
    <col min="5163" max="5163" width="54" style="121" customWidth="1"/>
    <col min="5164" max="5164" width="43.5" style="121" customWidth="1"/>
    <col min="5165" max="5165" width="44.6640625" style="121" customWidth="1"/>
    <col min="5166" max="5375" width="6.33203125" style="121"/>
    <col min="5376" max="5377" width="2.1640625" style="121" customWidth="1"/>
    <col min="5378" max="5378" width="0" style="121" hidden="1" customWidth="1"/>
    <col min="5379" max="5381" width="12.83203125" style="121" customWidth="1"/>
    <col min="5382" max="5382" width="12" style="121" customWidth="1"/>
    <col min="5383" max="5383" width="12.33203125" style="121" customWidth="1"/>
    <col min="5384" max="5384" width="13.5" style="121" customWidth="1"/>
    <col min="5385" max="5385" width="0" style="121" hidden="1" customWidth="1"/>
    <col min="5386" max="5388" width="13" style="121" customWidth="1"/>
    <col min="5389" max="5389" width="14.83203125" style="121" customWidth="1"/>
    <col min="5390" max="5390" width="13.33203125" style="121" customWidth="1"/>
    <col min="5391" max="5391" width="13.5" style="121" customWidth="1"/>
    <col min="5392" max="5392" width="2.1640625" style="121" customWidth="1"/>
    <col min="5393" max="5393" width="13.83203125" style="121" customWidth="1"/>
    <col min="5394" max="5394" width="10.6640625" style="121" customWidth="1"/>
    <col min="5395" max="5395" width="12" style="121" customWidth="1"/>
    <col min="5396" max="5396" width="11.5" style="121" customWidth="1"/>
    <col min="5397" max="5397" width="16" style="121" customWidth="1"/>
    <col min="5398" max="5399" width="10.6640625" style="121" customWidth="1"/>
    <col min="5400" max="5400" width="15.5" style="121" customWidth="1"/>
    <col min="5401" max="5401" width="11.5" style="121" customWidth="1"/>
    <col min="5402" max="5402" width="12" style="121" customWidth="1"/>
    <col min="5403" max="5403" width="11.5" style="121" customWidth="1"/>
    <col min="5404" max="5404" width="12" style="121" customWidth="1"/>
    <col min="5405" max="5405" width="11.5" style="121" customWidth="1"/>
    <col min="5406" max="5406" width="12.83203125" style="121" customWidth="1"/>
    <col min="5407" max="5407" width="10.6640625" style="121" customWidth="1"/>
    <col min="5408" max="5408" width="19" style="121" customWidth="1"/>
    <col min="5409" max="5409" width="13.33203125" style="121" customWidth="1"/>
    <col min="5410" max="5410" width="18" style="121" customWidth="1"/>
    <col min="5411" max="5411" width="42.5" style="121" customWidth="1"/>
    <col min="5412" max="5412" width="31" style="121" customWidth="1"/>
    <col min="5413" max="5413" width="35" style="121" customWidth="1"/>
    <col min="5414" max="5414" width="31" style="121" customWidth="1"/>
    <col min="5415" max="5415" width="35" style="121" customWidth="1"/>
    <col min="5416" max="5416" width="31" style="121" customWidth="1"/>
    <col min="5417" max="5417" width="37.83203125" style="121" customWidth="1"/>
    <col min="5418" max="5418" width="11.5" style="121" customWidth="1"/>
    <col min="5419" max="5419" width="54" style="121" customWidth="1"/>
    <col min="5420" max="5420" width="43.5" style="121" customWidth="1"/>
    <col min="5421" max="5421" width="44.6640625" style="121" customWidth="1"/>
    <col min="5422" max="5631" width="6.33203125" style="121"/>
    <col min="5632" max="5633" width="2.1640625" style="121" customWidth="1"/>
    <col min="5634" max="5634" width="0" style="121" hidden="1" customWidth="1"/>
    <col min="5635" max="5637" width="12.83203125" style="121" customWidth="1"/>
    <col min="5638" max="5638" width="12" style="121" customWidth="1"/>
    <col min="5639" max="5639" width="12.33203125" style="121" customWidth="1"/>
    <col min="5640" max="5640" width="13.5" style="121" customWidth="1"/>
    <col min="5641" max="5641" width="0" style="121" hidden="1" customWidth="1"/>
    <col min="5642" max="5644" width="13" style="121" customWidth="1"/>
    <col min="5645" max="5645" width="14.83203125" style="121" customWidth="1"/>
    <col min="5646" max="5646" width="13.33203125" style="121" customWidth="1"/>
    <col min="5647" max="5647" width="13.5" style="121" customWidth="1"/>
    <col min="5648" max="5648" width="2.1640625" style="121" customWidth="1"/>
    <col min="5649" max="5649" width="13.83203125" style="121" customWidth="1"/>
    <col min="5650" max="5650" width="10.6640625" style="121" customWidth="1"/>
    <col min="5651" max="5651" width="12" style="121" customWidth="1"/>
    <col min="5652" max="5652" width="11.5" style="121" customWidth="1"/>
    <col min="5653" max="5653" width="16" style="121" customWidth="1"/>
    <col min="5654" max="5655" width="10.6640625" style="121" customWidth="1"/>
    <col min="5656" max="5656" width="15.5" style="121" customWidth="1"/>
    <col min="5657" max="5657" width="11.5" style="121" customWidth="1"/>
    <col min="5658" max="5658" width="12" style="121" customWidth="1"/>
    <col min="5659" max="5659" width="11.5" style="121" customWidth="1"/>
    <col min="5660" max="5660" width="12" style="121" customWidth="1"/>
    <col min="5661" max="5661" width="11.5" style="121" customWidth="1"/>
    <col min="5662" max="5662" width="12.83203125" style="121" customWidth="1"/>
    <col min="5663" max="5663" width="10.6640625" style="121" customWidth="1"/>
    <col min="5664" max="5664" width="19" style="121" customWidth="1"/>
    <col min="5665" max="5665" width="13.33203125" style="121" customWidth="1"/>
    <col min="5666" max="5666" width="18" style="121" customWidth="1"/>
    <col min="5667" max="5667" width="42.5" style="121" customWidth="1"/>
    <col min="5668" max="5668" width="31" style="121" customWidth="1"/>
    <col min="5669" max="5669" width="35" style="121" customWidth="1"/>
    <col min="5670" max="5670" width="31" style="121" customWidth="1"/>
    <col min="5671" max="5671" width="35" style="121" customWidth="1"/>
    <col min="5672" max="5672" width="31" style="121" customWidth="1"/>
    <col min="5673" max="5673" width="37.83203125" style="121" customWidth="1"/>
    <col min="5674" max="5674" width="11.5" style="121" customWidth="1"/>
    <col min="5675" max="5675" width="54" style="121" customWidth="1"/>
    <col min="5676" max="5676" width="43.5" style="121" customWidth="1"/>
    <col min="5677" max="5677" width="44.6640625" style="121" customWidth="1"/>
    <col min="5678" max="5887" width="6.33203125" style="121"/>
    <col min="5888" max="5889" width="2.1640625" style="121" customWidth="1"/>
    <col min="5890" max="5890" width="0" style="121" hidden="1" customWidth="1"/>
    <col min="5891" max="5893" width="12.83203125" style="121" customWidth="1"/>
    <col min="5894" max="5894" width="12" style="121" customWidth="1"/>
    <col min="5895" max="5895" width="12.33203125" style="121" customWidth="1"/>
    <col min="5896" max="5896" width="13.5" style="121" customWidth="1"/>
    <col min="5897" max="5897" width="0" style="121" hidden="1" customWidth="1"/>
    <col min="5898" max="5900" width="13" style="121" customWidth="1"/>
    <col min="5901" max="5901" width="14.83203125" style="121" customWidth="1"/>
    <col min="5902" max="5902" width="13.33203125" style="121" customWidth="1"/>
    <col min="5903" max="5903" width="13.5" style="121" customWidth="1"/>
    <col min="5904" max="5904" width="2.1640625" style="121" customWidth="1"/>
    <col min="5905" max="5905" width="13.83203125" style="121" customWidth="1"/>
    <col min="5906" max="5906" width="10.6640625" style="121" customWidth="1"/>
    <col min="5907" max="5907" width="12" style="121" customWidth="1"/>
    <col min="5908" max="5908" width="11.5" style="121" customWidth="1"/>
    <col min="5909" max="5909" width="16" style="121" customWidth="1"/>
    <col min="5910" max="5911" width="10.6640625" style="121" customWidth="1"/>
    <col min="5912" max="5912" width="15.5" style="121" customWidth="1"/>
    <col min="5913" max="5913" width="11.5" style="121" customWidth="1"/>
    <col min="5914" max="5914" width="12" style="121" customWidth="1"/>
    <col min="5915" max="5915" width="11.5" style="121" customWidth="1"/>
    <col min="5916" max="5916" width="12" style="121" customWidth="1"/>
    <col min="5917" max="5917" width="11.5" style="121" customWidth="1"/>
    <col min="5918" max="5918" width="12.83203125" style="121" customWidth="1"/>
    <col min="5919" max="5919" width="10.6640625" style="121" customWidth="1"/>
    <col min="5920" max="5920" width="19" style="121" customWidth="1"/>
    <col min="5921" max="5921" width="13.33203125" style="121" customWidth="1"/>
    <col min="5922" max="5922" width="18" style="121" customWidth="1"/>
    <col min="5923" max="5923" width="42.5" style="121" customWidth="1"/>
    <col min="5924" max="5924" width="31" style="121" customWidth="1"/>
    <col min="5925" max="5925" width="35" style="121" customWidth="1"/>
    <col min="5926" max="5926" width="31" style="121" customWidth="1"/>
    <col min="5927" max="5927" width="35" style="121" customWidth="1"/>
    <col min="5928" max="5928" width="31" style="121" customWidth="1"/>
    <col min="5929" max="5929" width="37.83203125" style="121" customWidth="1"/>
    <col min="5930" max="5930" width="11.5" style="121" customWidth="1"/>
    <col min="5931" max="5931" width="54" style="121" customWidth="1"/>
    <col min="5932" max="5932" width="43.5" style="121" customWidth="1"/>
    <col min="5933" max="5933" width="44.6640625" style="121" customWidth="1"/>
    <col min="5934" max="6143" width="6.33203125" style="121"/>
    <col min="6144" max="6145" width="2.1640625" style="121" customWidth="1"/>
    <col min="6146" max="6146" width="0" style="121" hidden="1" customWidth="1"/>
    <col min="6147" max="6149" width="12.83203125" style="121" customWidth="1"/>
    <col min="6150" max="6150" width="12" style="121" customWidth="1"/>
    <col min="6151" max="6151" width="12.33203125" style="121" customWidth="1"/>
    <col min="6152" max="6152" width="13.5" style="121" customWidth="1"/>
    <col min="6153" max="6153" width="0" style="121" hidden="1" customWidth="1"/>
    <col min="6154" max="6156" width="13" style="121" customWidth="1"/>
    <col min="6157" max="6157" width="14.83203125" style="121" customWidth="1"/>
    <col min="6158" max="6158" width="13.33203125" style="121" customWidth="1"/>
    <col min="6159" max="6159" width="13.5" style="121" customWidth="1"/>
    <col min="6160" max="6160" width="2.1640625" style="121" customWidth="1"/>
    <col min="6161" max="6161" width="13.83203125" style="121" customWidth="1"/>
    <col min="6162" max="6162" width="10.6640625" style="121" customWidth="1"/>
    <col min="6163" max="6163" width="12" style="121" customWidth="1"/>
    <col min="6164" max="6164" width="11.5" style="121" customWidth="1"/>
    <col min="6165" max="6165" width="16" style="121" customWidth="1"/>
    <col min="6166" max="6167" width="10.6640625" style="121" customWidth="1"/>
    <col min="6168" max="6168" width="15.5" style="121" customWidth="1"/>
    <col min="6169" max="6169" width="11.5" style="121" customWidth="1"/>
    <col min="6170" max="6170" width="12" style="121" customWidth="1"/>
    <col min="6171" max="6171" width="11.5" style="121" customWidth="1"/>
    <col min="6172" max="6172" width="12" style="121" customWidth="1"/>
    <col min="6173" max="6173" width="11.5" style="121" customWidth="1"/>
    <col min="6174" max="6174" width="12.83203125" style="121" customWidth="1"/>
    <col min="6175" max="6175" width="10.6640625" style="121" customWidth="1"/>
    <col min="6176" max="6176" width="19" style="121" customWidth="1"/>
    <col min="6177" max="6177" width="13.33203125" style="121" customWidth="1"/>
    <col min="6178" max="6178" width="18" style="121" customWidth="1"/>
    <col min="6179" max="6179" width="42.5" style="121" customWidth="1"/>
    <col min="6180" max="6180" width="31" style="121" customWidth="1"/>
    <col min="6181" max="6181" width="35" style="121" customWidth="1"/>
    <col min="6182" max="6182" width="31" style="121" customWidth="1"/>
    <col min="6183" max="6183" width="35" style="121" customWidth="1"/>
    <col min="6184" max="6184" width="31" style="121" customWidth="1"/>
    <col min="6185" max="6185" width="37.83203125" style="121" customWidth="1"/>
    <col min="6186" max="6186" width="11.5" style="121" customWidth="1"/>
    <col min="6187" max="6187" width="54" style="121" customWidth="1"/>
    <col min="6188" max="6188" width="43.5" style="121" customWidth="1"/>
    <col min="6189" max="6189" width="44.6640625" style="121" customWidth="1"/>
    <col min="6190" max="6399" width="6.33203125" style="121"/>
    <col min="6400" max="6401" width="2.1640625" style="121" customWidth="1"/>
    <col min="6402" max="6402" width="0" style="121" hidden="1" customWidth="1"/>
    <col min="6403" max="6405" width="12.83203125" style="121" customWidth="1"/>
    <col min="6406" max="6406" width="12" style="121" customWidth="1"/>
    <col min="6407" max="6407" width="12.33203125" style="121" customWidth="1"/>
    <col min="6408" max="6408" width="13.5" style="121" customWidth="1"/>
    <col min="6409" max="6409" width="0" style="121" hidden="1" customWidth="1"/>
    <col min="6410" max="6412" width="13" style="121" customWidth="1"/>
    <col min="6413" max="6413" width="14.83203125" style="121" customWidth="1"/>
    <col min="6414" max="6414" width="13.33203125" style="121" customWidth="1"/>
    <col min="6415" max="6415" width="13.5" style="121" customWidth="1"/>
    <col min="6416" max="6416" width="2.1640625" style="121" customWidth="1"/>
    <col min="6417" max="6417" width="13.83203125" style="121" customWidth="1"/>
    <col min="6418" max="6418" width="10.6640625" style="121" customWidth="1"/>
    <col min="6419" max="6419" width="12" style="121" customWidth="1"/>
    <col min="6420" max="6420" width="11.5" style="121" customWidth="1"/>
    <col min="6421" max="6421" width="16" style="121" customWidth="1"/>
    <col min="6422" max="6423" width="10.6640625" style="121" customWidth="1"/>
    <col min="6424" max="6424" width="15.5" style="121" customWidth="1"/>
    <col min="6425" max="6425" width="11.5" style="121" customWidth="1"/>
    <col min="6426" max="6426" width="12" style="121" customWidth="1"/>
    <col min="6427" max="6427" width="11.5" style="121" customWidth="1"/>
    <col min="6428" max="6428" width="12" style="121" customWidth="1"/>
    <col min="6429" max="6429" width="11.5" style="121" customWidth="1"/>
    <col min="6430" max="6430" width="12.83203125" style="121" customWidth="1"/>
    <col min="6431" max="6431" width="10.6640625" style="121" customWidth="1"/>
    <col min="6432" max="6432" width="19" style="121" customWidth="1"/>
    <col min="6433" max="6433" width="13.33203125" style="121" customWidth="1"/>
    <col min="6434" max="6434" width="18" style="121" customWidth="1"/>
    <col min="6435" max="6435" width="42.5" style="121" customWidth="1"/>
    <col min="6436" max="6436" width="31" style="121" customWidth="1"/>
    <col min="6437" max="6437" width="35" style="121" customWidth="1"/>
    <col min="6438" max="6438" width="31" style="121" customWidth="1"/>
    <col min="6439" max="6439" width="35" style="121" customWidth="1"/>
    <col min="6440" max="6440" width="31" style="121" customWidth="1"/>
    <col min="6441" max="6441" width="37.83203125" style="121" customWidth="1"/>
    <col min="6442" max="6442" width="11.5" style="121" customWidth="1"/>
    <col min="6443" max="6443" width="54" style="121" customWidth="1"/>
    <col min="6444" max="6444" width="43.5" style="121" customWidth="1"/>
    <col min="6445" max="6445" width="44.6640625" style="121" customWidth="1"/>
    <col min="6446" max="6655" width="6.33203125" style="121"/>
    <col min="6656" max="6657" width="2.1640625" style="121" customWidth="1"/>
    <col min="6658" max="6658" width="0" style="121" hidden="1" customWidth="1"/>
    <col min="6659" max="6661" width="12.83203125" style="121" customWidth="1"/>
    <col min="6662" max="6662" width="12" style="121" customWidth="1"/>
    <col min="6663" max="6663" width="12.33203125" style="121" customWidth="1"/>
    <col min="6664" max="6664" width="13.5" style="121" customWidth="1"/>
    <col min="6665" max="6665" width="0" style="121" hidden="1" customWidth="1"/>
    <col min="6666" max="6668" width="13" style="121" customWidth="1"/>
    <col min="6669" max="6669" width="14.83203125" style="121" customWidth="1"/>
    <col min="6670" max="6670" width="13.33203125" style="121" customWidth="1"/>
    <col min="6671" max="6671" width="13.5" style="121" customWidth="1"/>
    <col min="6672" max="6672" width="2.1640625" style="121" customWidth="1"/>
    <col min="6673" max="6673" width="13.83203125" style="121" customWidth="1"/>
    <col min="6674" max="6674" width="10.6640625" style="121" customWidth="1"/>
    <col min="6675" max="6675" width="12" style="121" customWidth="1"/>
    <col min="6676" max="6676" width="11.5" style="121" customWidth="1"/>
    <col min="6677" max="6677" width="16" style="121" customWidth="1"/>
    <col min="6678" max="6679" width="10.6640625" style="121" customWidth="1"/>
    <col min="6680" max="6680" width="15.5" style="121" customWidth="1"/>
    <col min="6681" max="6681" width="11.5" style="121" customWidth="1"/>
    <col min="6682" max="6682" width="12" style="121" customWidth="1"/>
    <col min="6683" max="6683" width="11.5" style="121" customWidth="1"/>
    <col min="6684" max="6684" width="12" style="121" customWidth="1"/>
    <col min="6685" max="6685" width="11.5" style="121" customWidth="1"/>
    <col min="6686" max="6686" width="12.83203125" style="121" customWidth="1"/>
    <col min="6687" max="6687" width="10.6640625" style="121" customWidth="1"/>
    <col min="6688" max="6688" width="19" style="121" customWidth="1"/>
    <col min="6689" max="6689" width="13.33203125" style="121" customWidth="1"/>
    <col min="6690" max="6690" width="18" style="121" customWidth="1"/>
    <col min="6691" max="6691" width="42.5" style="121" customWidth="1"/>
    <col min="6692" max="6692" width="31" style="121" customWidth="1"/>
    <col min="6693" max="6693" width="35" style="121" customWidth="1"/>
    <col min="6694" max="6694" width="31" style="121" customWidth="1"/>
    <col min="6695" max="6695" width="35" style="121" customWidth="1"/>
    <col min="6696" max="6696" width="31" style="121" customWidth="1"/>
    <col min="6697" max="6697" width="37.83203125" style="121" customWidth="1"/>
    <col min="6698" max="6698" width="11.5" style="121" customWidth="1"/>
    <col min="6699" max="6699" width="54" style="121" customWidth="1"/>
    <col min="6700" max="6700" width="43.5" style="121" customWidth="1"/>
    <col min="6701" max="6701" width="44.6640625" style="121" customWidth="1"/>
    <col min="6702" max="6911" width="6.33203125" style="121"/>
    <col min="6912" max="6913" width="2.1640625" style="121" customWidth="1"/>
    <col min="6914" max="6914" width="0" style="121" hidden="1" customWidth="1"/>
    <col min="6915" max="6917" width="12.83203125" style="121" customWidth="1"/>
    <col min="6918" max="6918" width="12" style="121" customWidth="1"/>
    <col min="6919" max="6919" width="12.33203125" style="121" customWidth="1"/>
    <col min="6920" max="6920" width="13.5" style="121" customWidth="1"/>
    <col min="6921" max="6921" width="0" style="121" hidden="1" customWidth="1"/>
    <col min="6922" max="6924" width="13" style="121" customWidth="1"/>
    <col min="6925" max="6925" width="14.83203125" style="121" customWidth="1"/>
    <col min="6926" max="6926" width="13.33203125" style="121" customWidth="1"/>
    <col min="6927" max="6927" width="13.5" style="121" customWidth="1"/>
    <col min="6928" max="6928" width="2.1640625" style="121" customWidth="1"/>
    <col min="6929" max="6929" width="13.83203125" style="121" customWidth="1"/>
    <col min="6930" max="6930" width="10.6640625" style="121" customWidth="1"/>
    <col min="6931" max="6931" width="12" style="121" customWidth="1"/>
    <col min="6932" max="6932" width="11.5" style="121" customWidth="1"/>
    <col min="6933" max="6933" width="16" style="121" customWidth="1"/>
    <col min="6934" max="6935" width="10.6640625" style="121" customWidth="1"/>
    <col min="6936" max="6936" width="15.5" style="121" customWidth="1"/>
    <col min="6937" max="6937" width="11.5" style="121" customWidth="1"/>
    <col min="6938" max="6938" width="12" style="121" customWidth="1"/>
    <col min="6939" max="6939" width="11.5" style="121" customWidth="1"/>
    <col min="6940" max="6940" width="12" style="121" customWidth="1"/>
    <col min="6941" max="6941" width="11.5" style="121" customWidth="1"/>
    <col min="6942" max="6942" width="12.83203125" style="121" customWidth="1"/>
    <col min="6943" max="6943" width="10.6640625" style="121" customWidth="1"/>
    <col min="6944" max="6944" width="19" style="121" customWidth="1"/>
    <col min="6945" max="6945" width="13.33203125" style="121" customWidth="1"/>
    <col min="6946" max="6946" width="18" style="121" customWidth="1"/>
    <col min="6947" max="6947" width="42.5" style="121" customWidth="1"/>
    <col min="6948" max="6948" width="31" style="121" customWidth="1"/>
    <col min="6949" max="6949" width="35" style="121" customWidth="1"/>
    <col min="6950" max="6950" width="31" style="121" customWidth="1"/>
    <col min="6951" max="6951" width="35" style="121" customWidth="1"/>
    <col min="6952" max="6952" width="31" style="121" customWidth="1"/>
    <col min="6953" max="6953" width="37.83203125" style="121" customWidth="1"/>
    <col min="6954" max="6954" width="11.5" style="121" customWidth="1"/>
    <col min="6955" max="6955" width="54" style="121" customWidth="1"/>
    <col min="6956" max="6956" width="43.5" style="121" customWidth="1"/>
    <col min="6957" max="6957" width="44.6640625" style="121" customWidth="1"/>
    <col min="6958" max="7167" width="6.33203125" style="121"/>
    <col min="7168" max="7169" width="2.1640625" style="121" customWidth="1"/>
    <col min="7170" max="7170" width="0" style="121" hidden="1" customWidth="1"/>
    <col min="7171" max="7173" width="12.83203125" style="121" customWidth="1"/>
    <col min="7174" max="7174" width="12" style="121" customWidth="1"/>
    <col min="7175" max="7175" width="12.33203125" style="121" customWidth="1"/>
    <col min="7176" max="7176" width="13.5" style="121" customWidth="1"/>
    <col min="7177" max="7177" width="0" style="121" hidden="1" customWidth="1"/>
    <col min="7178" max="7180" width="13" style="121" customWidth="1"/>
    <col min="7181" max="7181" width="14.83203125" style="121" customWidth="1"/>
    <col min="7182" max="7182" width="13.33203125" style="121" customWidth="1"/>
    <col min="7183" max="7183" width="13.5" style="121" customWidth="1"/>
    <col min="7184" max="7184" width="2.1640625" style="121" customWidth="1"/>
    <col min="7185" max="7185" width="13.83203125" style="121" customWidth="1"/>
    <col min="7186" max="7186" width="10.6640625" style="121" customWidth="1"/>
    <col min="7187" max="7187" width="12" style="121" customWidth="1"/>
    <col min="7188" max="7188" width="11.5" style="121" customWidth="1"/>
    <col min="7189" max="7189" width="16" style="121" customWidth="1"/>
    <col min="7190" max="7191" width="10.6640625" style="121" customWidth="1"/>
    <col min="7192" max="7192" width="15.5" style="121" customWidth="1"/>
    <col min="7193" max="7193" width="11.5" style="121" customWidth="1"/>
    <col min="7194" max="7194" width="12" style="121" customWidth="1"/>
    <col min="7195" max="7195" width="11.5" style="121" customWidth="1"/>
    <col min="7196" max="7196" width="12" style="121" customWidth="1"/>
    <col min="7197" max="7197" width="11.5" style="121" customWidth="1"/>
    <col min="7198" max="7198" width="12.83203125" style="121" customWidth="1"/>
    <col min="7199" max="7199" width="10.6640625" style="121" customWidth="1"/>
    <col min="7200" max="7200" width="19" style="121" customWidth="1"/>
    <col min="7201" max="7201" width="13.33203125" style="121" customWidth="1"/>
    <col min="7202" max="7202" width="18" style="121" customWidth="1"/>
    <col min="7203" max="7203" width="42.5" style="121" customWidth="1"/>
    <col min="7204" max="7204" width="31" style="121" customWidth="1"/>
    <col min="7205" max="7205" width="35" style="121" customWidth="1"/>
    <col min="7206" max="7206" width="31" style="121" customWidth="1"/>
    <col min="7207" max="7207" width="35" style="121" customWidth="1"/>
    <col min="7208" max="7208" width="31" style="121" customWidth="1"/>
    <col min="7209" max="7209" width="37.83203125" style="121" customWidth="1"/>
    <col min="7210" max="7210" width="11.5" style="121" customWidth="1"/>
    <col min="7211" max="7211" width="54" style="121" customWidth="1"/>
    <col min="7212" max="7212" width="43.5" style="121" customWidth="1"/>
    <col min="7213" max="7213" width="44.6640625" style="121" customWidth="1"/>
    <col min="7214" max="7423" width="6.33203125" style="121"/>
    <col min="7424" max="7425" width="2.1640625" style="121" customWidth="1"/>
    <col min="7426" max="7426" width="0" style="121" hidden="1" customWidth="1"/>
    <col min="7427" max="7429" width="12.83203125" style="121" customWidth="1"/>
    <col min="7430" max="7430" width="12" style="121" customWidth="1"/>
    <col min="7431" max="7431" width="12.33203125" style="121" customWidth="1"/>
    <col min="7432" max="7432" width="13.5" style="121" customWidth="1"/>
    <col min="7433" max="7433" width="0" style="121" hidden="1" customWidth="1"/>
    <col min="7434" max="7436" width="13" style="121" customWidth="1"/>
    <col min="7437" max="7437" width="14.83203125" style="121" customWidth="1"/>
    <col min="7438" max="7438" width="13.33203125" style="121" customWidth="1"/>
    <col min="7439" max="7439" width="13.5" style="121" customWidth="1"/>
    <col min="7440" max="7440" width="2.1640625" style="121" customWidth="1"/>
    <col min="7441" max="7441" width="13.83203125" style="121" customWidth="1"/>
    <col min="7442" max="7442" width="10.6640625" style="121" customWidth="1"/>
    <col min="7443" max="7443" width="12" style="121" customWidth="1"/>
    <col min="7444" max="7444" width="11.5" style="121" customWidth="1"/>
    <col min="7445" max="7445" width="16" style="121" customWidth="1"/>
    <col min="7446" max="7447" width="10.6640625" style="121" customWidth="1"/>
    <col min="7448" max="7448" width="15.5" style="121" customWidth="1"/>
    <col min="7449" max="7449" width="11.5" style="121" customWidth="1"/>
    <col min="7450" max="7450" width="12" style="121" customWidth="1"/>
    <col min="7451" max="7451" width="11.5" style="121" customWidth="1"/>
    <col min="7452" max="7452" width="12" style="121" customWidth="1"/>
    <col min="7453" max="7453" width="11.5" style="121" customWidth="1"/>
    <col min="7454" max="7454" width="12.83203125" style="121" customWidth="1"/>
    <col min="7455" max="7455" width="10.6640625" style="121" customWidth="1"/>
    <col min="7456" max="7456" width="19" style="121" customWidth="1"/>
    <col min="7457" max="7457" width="13.33203125" style="121" customWidth="1"/>
    <col min="7458" max="7458" width="18" style="121" customWidth="1"/>
    <col min="7459" max="7459" width="42.5" style="121" customWidth="1"/>
    <col min="7460" max="7460" width="31" style="121" customWidth="1"/>
    <col min="7461" max="7461" width="35" style="121" customWidth="1"/>
    <col min="7462" max="7462" width="31" style="121" customWidth="1"/>
    <col min="7463" max="7463" width="35" style="121" customWidth="1"/>
    <col min="7464" max="7464" width="31" style="121" customWidth="1"/>
    <col min="7465" max="7465" width="37.83203125" style="121" customWidth="1"/>
    <col min="7466" max="7466" width="11.5" style="121" customWidth="1"/>
    <col min="7467" max="7467" width="54" style="121" customWidth="1"/>
    <col min="7468" max="7468" width="43.5" style="121" customWidth="1"/>
    <col min="7469" max="7469" width="44.6640625" style="121" customWidth="1"/>
    <col min="7470" max="7679" width="6.33203125" style="121"/>
    <col min="7680" max="7681" width="2.1640625" style="121" customWidth="1"/>
    <col min="7682" max="7682" width="0" style="121" hidden="1" customWidth="1"/>
    <col min="7683" max="7685" width="12.83203125" style="121" customWidth="1"/>
    <col min="7686" max="7686" width="12" style="121" customWidth="1"/>
    <col min="7687" max="7687" width="12.33203125" style="121" customWidth="1"/>
    <col min="7688" max="7688" width="13.5" style="121" customWidth="1"/>
    <col min="7689" max="7689" width="0" style="121" hidden="1" customWidth="1"/>
    <col min="7690" max="7692" width="13" style="121" customWidth="1"/>
    <col min="7693" max="7693" width="14.83203125" style="121" customWidth="1"/>
    <col min="7694" max="7694" width="13.33203125" style="121" customWidth="1"/>
    <col min="7695" max="7695" width="13.5" style="121" customWidth="1"/>
    <col min="7696" max="7696" width="2.1640625" style="121" customWidth="1"/>
    <col min="7697" max="7697" width="13.83203125" style="121" customWidth="1"/>
    <col min="7698" max="7698" width="10.6640625" style="121" customWidth="1"/>
    <col min="7699" max="7699" width="12" style="121" customWidth="1"/>
    <col min="7700" max="7700" width="11.5" style="121" customWidth="1"/>
    <col min="7701" max="7701" width="16" style="121" customWidth="1"/>
    <col min="7702" max="7703" width="10.6640625" style="121" customWidth="1"/>
    <col min="7704" max="7704" width="15.5" style="121" customWidth="1"/>
    <col min="7705" max="7705" width="11.5" style="121" customWidth="1"/>
    <col min="7706" max="7706" width="12" style="121" customWidth="1"/>
    <col min="7707" max="7707" width="11.5" style="121" customWidth="1"/>
    <col min="7708" max="7708" width="12" style="121" customWidth="1"/>
    <col min="7709" max="7709" width="11.5" style="121" customWidth="1"/>
    <col min="7710" max="7710" width="12.83203125" style="121" customWidth="1"/>
    <col min="7711" max="7711" width="10.6640625" style="121" customWidth="1"/>
    <col min="7712" max="7712" width="19" style="121" customWidth="1"/>
    <col min="7713" max="7713" width="13.33203125" style="121" customWidth="1"/>
    <col min="7714" max="7714" width="18" style="121" customWidth="1"/>
    <col min="7715" max="7715" width="42.5" style="121" customWidth="1"/>
    <col min="7716" max="7716" width="31" style="121" customWidth="1"/>
    <col min="7717" max="7717" width="35" style="121" customWidth="1"/>
    <col min="7718" max="7718" width="31" style="121" customWidth="1"/>
    <col min="7719" max="7719" width="35" style="121" customWidth="1"/>
    <col min="7720" max="7720" width="31" style="121" customWidth="1"/>
    <col min="7721" max="7721" width="37.83203125" style="121" customWidth="1"/>
    <col min="7722" max="7722" width="11.5" style="121" customWidth="1"/>
    <col min="7723" max="7723" width="54" style="121" customWidth="1"/>
    <col min="7724" max="7724" width="43.5" style="121" customWidth="1"/>
    <col min="7725" max="7725" width="44.6640625" style="121" customWidth="1"/>
    <col min="7726" max="7935" width="6.33203125" style="121"/>
    <col min="7936" max="7937" width="2.1640625" style="121" customWidth="1"/>
    <col min="7938" max="7938" width="0" style="121" hidden="1" customWidth="1"/>
    <col min="7939" max="7941" width="12.83203125" style="121" customWidth="1"/>
    <col min="7942" max="7942" width="12" style="121" customWidth="1"/>
    <col min="7943" max="7943" width="12.33203125" style="121" customWidth="1"/>
    <col min="7944" max="7944" width="13.5" style="121" customWidth="1"/>
    <col min="7945" max="7945" width="0" style="121" hidden="1" customWidth="1"/>
    <col min="7946" max="7948" width="13" style="121" customWidth="1"/>
    <col min="7949" max="7949" width="14.83203125" style="121" customWidth="1"/>
    <col min="7950" max="7950" width="13.33203125" style="121" customWidth="1"/>
    <col min="7951" max="7951" width="13.5" style="121" customWidth="1"/>
    <col min="7952" max="7952" width="2.1640625" style="121" customWidth="1"/>
    <col min="7953" max="7953" width="13.83203125" style="121" customWidth="1"/>
    <col min="7954" max="7954" width="10.6640625" style="121" customWidth="1"/>
    <col min="7955" max="7955" width="12" style="121" customWidth="1"/>
    <col min="7956" max="7956" width="11.5" style="121" customWidth="1"/>
    <col min="7957" max="7957" width="16" style="121" customWidth="1"/>
    <col min="7958" max="7959" width="10.6640625" style="121" customWidth="1"/>
    <col min="7960" max="7960" width="15.5" style="121" customWidth="1"/>
    <col min="7961" max="7961" width="11.5" style="121" customWidth="1"/>
    <col min="7962" max="7962" width="12" style="121" customWidth="1"/>
    <col min="7963" max="7963" width="11.5" style="121" customWidth="1"/>
    <col min="7964" max="7964" width="12" style="121" customWidth="1"/>
    <col min="7965" max="7965" width="11.5" style="121" customWidth="1"/>
    <col min="7966" max="7966" width="12.83203125" style="121" customWidth="1"/>
    <col min="7967" max="7967" width="10.6640625" style="121" customWidth="1"/>
    <col min="7968" max="7968" width="19" style="121" customWidth="1"/>
    <col min="7969" max="7969" width="13.33203125" style="121" customWidth="1"/>
    <col min="7970" max="7970" width="18" style="121" customWidth="1"/>
    <col min="7971" max="7971" width="42.5" style="121" customWidth="1"/>
    <col min="7972" max="7972" width="31" style="121" customWidth="1"/>
    <col min="7973" max="7973" width="35" style="121" customWidth="1"/>
    <col min="7974" max="7974" width="31" style="121" customWidth="1"/>
    <col min="7975" max="7975" width="35" style="121" customWidth="1"/>
    <col min="7976" max="7976" width="31" style="121" customWidth="1"/>
    <col min="7977" max="7977" width="37.83203125" style="121" customWidth="1"/>
    <col min="7978" max="7978" width="11.5" style="121" customWidth="1"/>
    <col min="7979" max="7979" width="54" style="121" customWidth="1"/>
    <col min="7980" max="7980" width="43.5" style="121" customWidth="1"/>
    <col min="7981" max="7981" width="44.6640625" style="121" customWidth="1"/>
    <col min="7982" max="8191" width="6.33203125" style="121"/>
    <col min="8192" max="8193" width="2.1640625" style="121" customWidth="1"/>
    <col min="8194" max="8194" width="0" style="121" hidden="1" customWidth="1"/>
    <col min="8195" max="8197" width="12.83203125" style="121" customWidth="1"/>
    <col min="8198" max="8198" width="12" style="121" customWidth="1"/>
    <col min="8199" max="8199" width="12.33203125" style="121" customWidth="1"/>
    <col min="8200" max="8200" width="13.5" style="121" customWidth="1"/>
    <col min="8201" max="8201" width="0" style="121" hidden="1" customWidth="1"/>
    <col min="8202" max="8204" width="13" style="121" customWidth="1"/>
    <col min="8205" max="8205" width="14.83203125" style="121" customWidth="1"/>
    <col min="8206" max="8206" width="13.33203125" style="121" customWidth="1"/>
    <col min="8207" max="8207" width="13.5" style="121" customWidth="1"/>
    <col min="8208" max="8208" width="2.1640625" style="121" customWidth="1"/>
    <col min="8209" max="8209" width="13.83203125" style="121" customWidth="1"/>
    <col min="8210" max="8210" width="10.6640625" style="121" customWidth="1"/>
    <col min="8211" max="8211" width="12" style="121" customWidth="1"/>
    <col min="8212" max="8212" width="11.5" style="121" customWidth="1"/>
    <col min="8213" max="8213" width="16" style="121" customWidth="1"/>
    <col min="8214" max="8215" width="10.6640625" style="121" customWidth="1"/>
    <col min="8216" max="8216" width="15.5" style="121" customWidth="1"/>
    <col min="8217" max="8217" width="11.5" style="121" customWidth="1"/>
    <col min="8218" max="8218" width="12" style="121" customWidth="1"/>
    <col min="8219" max="8219" width="11.5" style="121" customWidth="1"/>
    <col min="8220" max="8220" width="12" style="121" customWidth="1"/>
    <col min="8221" max="8221" width="11.5" style="121" customWidth="1"/>
    <col min="8222" max="8222" width="12.83203125" style="121" customWidth="1"/>
    <col min="8223" max="8223" width="10.6640625" style="121" customWidth="1"/>
    <col min="8224" max="8224" width="19" style="121" customWidth="1"/>
    <col min="8225" max="8225" width="13.33203125" style="121" customWidth="1"/>
    <col min="8226" max="8226" width="18" style="121" customWidth="1"/>
    <col min="8227" max="8227" width="42.5" style="121" customWidth="1"/>
    <col min="8228" max="8228" width="31" style="121" customWidth="1"/>
    <col min="8229" max="8229" width="35" style="121" customWidth="1"/>
    <col min="8230" max="8230" width="31" style="121" customWidth="1"/>
    <col min="8231" max="8231" width="35" style="121" customWidth="1"/>
    <col min="8232" max="8232" width="31" style="121" customWidth="1"/>
    <col min="8233" max="8233" width="37.83203125" style="121" customWidth="1"/>
    <col min="8234" max="8234" width="11.5" style="121" customWidth="1"/>
    <col min="8235" max="8235" width="54" style="121" customWidth="1"/>
    <col min="8236" max="8236" width="43.5" style="121" customWidth="1"/>
    <col min="8237" max="8237" width="44.6640625" style="121" customWidth="1"/>
    <col min="8238" max="8447" width="6.33203125" style="121"/>
    <col min="8448" max="8449" width="2.1640625" style="121" customWidth="1"/>
    <col min="8450" max="8450" width="0" style="121" hidden="1" customWidth="1"/>
    <col min="8451" max="8453" width="12.83203125" style="121" customWidth="1"/>
    <col min="8454" max="8454" width="12" style="121" customWidth="1"/>
    <col min="8455" max="8455" width="12.33203125" style="121" customWidth="1"/>
    <col min="8456" max="8456" width="13.5" style="121" customWidth="1"/>
    <col min="8457" max="8457" width="0" style="121" hidden="1" customWidth="1"/>
    <col min="8458" max="8460" width="13" style="121" customWidth="1"/>
    <col min="8461" max="8461" width="14.83203125" style="121" customWidth="1"/>
    <col min="8462" max="8462" width="13.33203125" style="121" customWidth="1"/>
    <col min="8463" max="8463" width="13.5" style="121" customWidth="1"/>
    <col min="8464" max="8464" width="2.1640625" style="121" customWidth="1"/>
    <col min="8465" max="8465" width="13.83203125" style="121" customWidth="1"/>
    <col min="8466" max="8466" width="10.6640625" style="121" customWidth="1"/>
    <col min="8467" max="8467" width="12" style="121" customWidth="1"/>
    <col min="8468" max="8468" width="11.5" style="121" customWidth="1"/>
    <col min="8469" max="8469" width="16" style="121" customWidth="1"/>
    <col min="8470" max="8471" width="10.6640625" style="121" customWidth="1"/>
    <col min="8472" max="8472" width="15.5" style="121" customWidth="1"/>
    <col min="8473" max="8473" width="11.5" style="121" customWidth="1"/>
    <col min="8474" max="8474" width="12" style="121" customWidth="1"/>
    <col min="8475" max="8475" width="11.5" style="121" customWidth="1"/>
    <col min="8476" max="8476" width="12" style="121" customWidth="1"/>
    <col min="8477" max="8477" width="11.5" style="121" customWidth="1"/>
    <col min="8478" max="8478" width="12.83203125" style="121" customWidth="1"/>
    <col min="8479" max="8479" width="10.6640625" style="121" customWidth="1"/>
    <col min="8480" max="8480" width="19" style="121" customWidth="1"/>
    <col min="8481" max="8481" width="13.33203125" style="121" customWidth="1"/>
    <col min="8482" max="8482" width="18" style="121" customWidth="1"/>
    <col min="8483" max="8483" width="42.5" style="121" customWidth="1"/>
    <col min="8484" max="8484" width="31" style="121" customWidth="1"/>
    <col min="8485" max="8485" width="35" style="121" customWidth="1"/>
    <col min="8486" max="8486" width="31" style="121" customWidth="1"/>
    <col min="8487" max="8487" width="35" style="121" customWidth="1"/>
    <col min="8488" max="8488" width="31" style="121" customWidth="1"/>
    <col min="8489" max="8489" width="37.83203125" style="121" customWidth="1"/>
    <col min="8490" max="8490" width="11.5" style="121" customWidth="1"/>
    <col min="8491" max="8491" width="54" style="121" customWidth="1"/>
    <col min="8492" max="8492" width="43.5" style="121" customWidth="1"/>
    <col min="8493" max="8493" width="44.6640625" style="121" customWidth="1"/>
    <col min="8494" max="8703" width="6.33203125" style="121"/>
    <col min="8704" max="8705" width="2.1640625" style="121" customWidth="1"/>
    <col min="8706" max="8706" width="0" style="121" hidden="1" customWidth="1"/>
    <col min="8707" max="8709" width="12.83203125" style="121" customWidth="1"/>
    <col min="8710" max="8710" width="12" style="121" customWidth="1"/>
    <col min="8711" max="8711" width="12.33203125" style="121" customWidth="1"/>
    <col min="8712" max="8712" width="13.5" style="121" customWidth="1"/>
    <col min="8713" max="8713" width="0" style="121" hidden="1" customWidth="1"/>
    <col min="8714" max="8716" width="13" style="121" customWidth="1"/>
    <col min="8717" max="8717" width="14.83203125" style="121" customWidth="1"/>
    <col min="8718" max="8718" width="13.33203125" style="121" customWidth="1"/>
    <col min="8719" max="8719" width="13.5" style="121" customWidth="1"/>
    <col min="8720" max="8720" width="2.1640625" style="121" customWidth="1"/>
    <col min="8721" max="8721" width="13.83203125" style="121" customWidth="1"/>
    <col min="8722" max="8722" width="10.6640625" style="121" customWidth="1"/>
    <col min="8723" max="8723" width="12" style="121" customWidth="1"/>
    <col min="8724" max="8724" width="11.5" style="121" customWidth="1"/>
    <col min="8725" max="8725" width="16" style="121" customWidth="1"/>
    <col min="8726" max="8727" width="10.6640625" style="121" customWidth="1"/>
    <col min="8728" max="8728" width="15.5" style="121" customWidth="1"/>
    <col min="8729" max="8729" width="11.5" style="121" customWidth="1"/>
    <col min="8730" max="8730" width="12" style="121" customWidth="1"/>
    <col min="8731" max="8731" width="11.5" style="121" customWidth="1"/>
    <col min="8732" max="8732" width="12" style="121" customWidth="1"/>
    <col min="8733" max="8733" width="11.5" style="121" customWidth="1"/>
    <col min="8734" max="8734" width="12.83203125" style="121" customWidth="1"/>
    <col min="8735" max="8735" width="10.6640625" style="121" customWidth="1"/>
    <col min="8736" max="8736" width="19" style="121" customWidth="1"/>
    <col min="8737" max="8737" width="13.33203125" style="121" customWidth="1"/>
    <col min="8738" max="8738" width="18" style="121" customWidth="1"/>
    <col min="8739" max="8739" width="42.5" style="121" customWidth="1"/>
    <col min="8740" max="8740" width="31" style="121" customWidth="1"/>
    <col min="8741" max="8741" width="35" style="121" customWidth="1"/>
    <col min="8742" max="8742" width="31" style="121" customWidth="1"/>
    <col min="8743" max="8743" width="35" style="121" customWidth="1"/>
    <col min="8744" max="8744" width="31" style="121" customWidth="1"/>
    <col min="8745" max="8745" width="37.83203125" style="121" customWidth="1"/>
    <col min="8746" max="8746" width="11.5" style="121" customWidth="1"/>
    <col min="8747" max="8747" width="54" style="121" customWidth="1"/>
    <col min="8748" max="8748" width="43.5" style="121" customWidth="1"/>
    <col min="8749" max="8749" width="44.6640625" style="121" customWidth="1"/>
    <col min="8750" max="8959" width="6.33203125" style="121"/>
    <col min="8960" max="8961" width="2.1640625" style="121" customWidth="1"/>
    <col min="8962" max="8962" width="0" style="121" hidden="1" customWidth="1"/>
    <col min="8963" max="8965" width="12.83203125" style="121" customWidth="1"/>
    <col min="8966" max="8966" width="12" style="121" customWidth="1"/>
    <col min="8967" max="8967" width="12.33203125" style="121" customWidth="1"/>
    <col min="8968" max="8968" width="13.5" style="121" customWidth="1"/>
    <col min="8969" max="8969" width="0" style="121" hidden="1" customWidth="1"/>
    <col min="8970" max="8972" width="13" style="121" customWidth="1"/>
    <col min="8973" max="8973" width="14.83203125" style="121" customWidth="1"/>
    <col min="8974" max="8974" width="13.33203125" style="121" customWidth="1"/>
    <col min="8975" max="8975" width="13.5" style="121" customWidth="1"/>
    <col min="8976" max="8976" width="2.1640625" style="121" customWidth="1"/>
    <col min="8977" max="8977" width="13.83203125" style="121" customWidth="1"/>
    <col min="8978" max="8978" width="10.6640625" style="121" customWidth="1"/>
    <col min="8979" max="8979" width="12" style="121" customWidth="1"/>
    <col min="8980" max="8980" width="11.5" style="121" customWidth="1"/>
    <col min="8981" max="8981" width="16" style="121" customWidth="1"/>
    <col min="8982" max="8983" width="10.6640625" style="121" customWidth="1"/>
    <col min="8984" max="8984" width="15.5" style="121" customWidth="1"/>
    <col min="8985" max="8985" width="11.5" style="121" customWidth="1"/>
    <col min="8986" max="8986" width="12" style="121" customWidth="1"/>
    <col min="8987" max="8987" width="11.5" style="121" customWidth="1"/>
    <col min="8988" max="8988" width="12" style="121" customWidth="1"/>
    <col min="8989" max="8989" width="11.5" style="121" customWidth="1"/>
    <col min="8990" max="8990" width="12.83203125" style="121" customWidth="1"/>
    <col min="8991" max="8991" width="10.6640625" style="121" customWidth="1"/>
    <col min="8992" max="8992" width="19" style="121" customWidth="1"/>
    <col min="8993" max="8993" width="13.33203125" style="121" customWidth="1"/>
    <col min="8994" max="8994" width="18" style="121" customWidth="1"/>
    <col min="8995" max="8995" width="42.5" style="121" customWidth="1"/>
    <col min="8996" max="8996" width="31" style="121" customWidth="1"/>
    <col min="8997" max="8997" width="35" style="121" customWidth="1"/>
    <col min="8998" max="8998" width="31" style="121" customWidth="1"/>
    <col min="8999" max="8999" width="35" style="121" customWidth="1"/>
    <col min="9000" max="9000" width="31" style="121" customWidth="1"/>
    <col min="9001" max="9001" width="37.83203125" style="121" customWidth="1"/>
    <col min="9002" max="9002" width="11.5" style="121" customWidth="1"/>
    <col min="9003" max="9003" width="54" style="121" customWidth="1"/>
    <col min="9004" max="9004" width="43.5" style="121" customWidth="1"/>
    <col min="9005" max="9005" width="44.6640625" style="121" customWidth="1"/>
    <col min="9006" max="9215" width="6.33203125" style="121"/>
    <col min="9216" max="9217" width="2.1640625" style="121" customWidth="1"/>
    <col min="9218" max="9218" width="0" style="121" hidden="1" customWidth="1"/>
    <col min="9219" max="9221" width="12.83203125" style="121" customWidth="1"/>
    <col min="9222" max="9222" width="12" style="121" customWidth="1"/>
    <col min="9223" max="9223" width="12.33203125" style="121" customWidth="1"/>
    <col min="9224" max="9224" width="13.5" style="121" customWidth="1"/>
    <col min="9225" max="9225" width="0" style="121" hidden="1" customWidth="1"/>
    <col min="9226" max="9228" width="13" style="121" customWidth="1"/>
    <col min="9229" max="9229" width="14.83203125" style="121" customWidth="1"/>
    <col min="9230" max="9230" width="13.33203125" style="121" customWidth="1"/>
    <col min="9231" max="9231" width="13.5" style="121" customWidth="1"/>
    <col min="9232" max="9232" width="2.1640625" style="121" customWidth="1"/>
    <col min="9233" max="9233" width="13.83203125" style="121" customWidth="1"/>
    <col min="9234" max="9234" width="10.6640625" style="121" customWidth="1"/>
    <col min="9235" max="9235" width="12" style="121" customWidth="1"/>
    <col min="9236" max="9236" width="11.5" style="121" customWidth="1"/>
    <col min="9237" max="9237" width="16" style="121" customWidth="1"/>
    <col min="9238" max="9239" width="10.6640625" style="121" customWidth="1"/>
    <col min="9240" max="9240" width="15.5" style="121" customWidth="1"/>
    <col min="9241" max="9241" width="11.5" style="121" customWidth="1"/>
    <col min="9242" max="9242" width="12" style="121" customWidth="1"/>
    <col min="9243" max="9243" width="11.5" style="121" customWidth="1"/>
    <col min="9244" max="9244" width="12" style="121" customWidth="1"/>
    <col min="9245" max="9245" width="11.5" style="121" customWidth="1"/>
    <col min="9246" max="9246" width="12.83203125" style="121" customWidth="1"/>
    <col min="9247" max="9247" width="10.6640625" style="121" customWidth="1"/>
    <col min="9248" max="9248" width="19" style="121" customWidth="1"/>
    <col min="9249" max="9249" width="13.33203125" style="121" customWidth="1"/>
    <col min="9250" max="9250" width="18" style="121" customWidth="1"/>
    <col min="9251" max="9251" width="42.5" style="121" customWidth="1"/>
    <col min="9252" max="9252" width="31" style="121" customWidth="1"/>
    <col min="9253" max="9253" width="35" style="121" customWidth="1"/>
    <col min="9254" max="9254" width="31" style="121" customWidth="1"/>
    <col min="9255" max="9255" width="35" style="121" customWidth="1"/>
    <col min="9256" max="9256" width="31" style="121" customWidth="1"/>
    <col min="9257" max="9257" width="37.83203125" style="121" customWidth="1"/>
    <col min="9258" max="9258" width="11.5" style="121" customWidth="1"/>
    <col min="9259" max="9259" width="54" style="121" customWidth="1"/>
    <col min="9260" max="9260" width="43.5" style="121" customWidth="1"/>
    <col min="9261" max="9261" width="44.6640625" style="121" customWidth="1"/>
    <col min="9262" max="9471" width="6.33203125" style="121"/>
    <col min="9472" max="9473" width="2.1640625" style="121" customWidth="1"/>
    <col min="9474" max="9474" width="0" style="121" hidden="1" customWidth="1"/>
    <col min="9475" max="9477" width="12.83203125" style="121" customWidth="1"/>
    <col min="9478" max="9478" width="12" style="121" customWidth="1"/>
    <col min="9479" max="9479" width="12.33203125" style="121" customWidth="1"/>
    <col min="9480" max="9480" width="13.5" style="121" customWidth="1"/>
    <col min="9481" max="9481" width="0" style="121" hidden="1" customWidth="1"/>
    <col min="9482" max="9484" width="13" style="121" customWidth="1"/>
    <col min="9485" max="9485" width="14.83203125" style="121" customWidth="1"/>
    <col min="9486" max="9486" width="13.33203125" style="121" customWidth="1"/>
    <col min="9487" max="9487" width="13.5" style="121" customWidth="1"/>
    <col min="9488" max="9488" width="2.1640625" style="121" customWidth="1"/>
    <col min="9489" max="9489" width="13.83203125" style="121" customWidth="1"/>
    <col min="9490" max="9490" width="10.6640625" style="121" customWidth="1"/>
    <col min="9491" max="9491" width="12" style="121" customWidth="1"/>
    <col min="9492" max="9492" width="11.5" style="121" customWidth="1"/>
    <col min="9493" max="9493" width="16" style="121" customWidth="1"/>
    <col min="9494" max="9495" width="10.6640625" style="121" customWidth="1"/>
    <col min="9496" max="9496" width="15.5" style="121" customWidth="1"/>
    <col min="9497" max="9497" width="11.5" style="121" customWidth="1"/>
    <col min="9498" max="9498" width="12" style="121" customWidth="1"/>
    <col min="9499" max="9499" width="11.5" style="121" customWidth="1"/>
    <col min="9500" max="9500" width="12" style="121" customWidth="1"/>
    <col min="9501" max="9501" width="11.5" style="121" customWidth="1"/>
    <col min="9502" max="9502" width="12.83203125" style="121" customWidth="1"/>
    <col min="9503" max="9503" width="10.6640625" style="121" customWidth="1"/>
    <col min="9504" max="9504" width="19" style="121" customWidth="1"/>
    <col min="9505" max="9505" width="13.33203125" style="121" customWidth="1"/>
    <col min="9506" max="9506" width="18" style="121" customWidth="1"/>
    <col min="9507" max="9507" width="42.5" style="121" customWidth="1"/>
    <col min="9508" max="9508" width="31" style="121" customWidth="1"/>
    <col min="9509" max="9509" width="35" style="121" customWidth="1"/>
    <col min="9510" max="9510" width="31" style="121" customWidth="1"/>
    <col min="9511" max="9511" width="35" style="121" customWidth="1"/>
    <col min="9512" max="9512" width="31" style="121" customWidth="1"/>
    <col min="9513" max="9513" width="37.83203125" style="121" customWidth="1"/>
    <col min="9514" max="9514" width="11.5" style="121" customWidth="1"/>
    <col min="9515" max="9515" width="54" style="121" customWidth="1"/>
    <col min="9516" max="9516" width="43.5" style="121" customWidth="1"/>
    <col min="9517" max="9517" width="44.6640625" style="121" customWidth="1"/>
    <col min="9518" max="9727" width="6.33203125" style="121"/>
    <col min="9728" max="9729" width="2.1640625" style="121" customWidth="1"/>
    <col min="9730" max="9730" width="0" style="121" hidden="1" customWidth="1"/>
    <col min="9731" max="9733" width="12.83203125" style="121" customWidth="1"/>
    <col min="9734" max="9734" width="12" style="121" customWidth="1"/>
    <col min="9735" max="9735" width="12.33203125" style="121" customWidth="1"/>
    <col min="9736" max="9736" width="13.5" style="121" customWidth="1"/>
    <col min="9737" max="9737" width="0" style="121" hidden="1" customWidth="1"/>
    <col min="9738" max="9740" width="13" style="121" customWidth="1"/>
    <col min="9741" max="9741" width="14.83203125" style="121" customWidth="1"/>
    <col min="9742" max="9742" width="13.33203125" style="121" customWidth="1"/>
    <col min="9743" max="9743" width="13.5" style="121" customWidth="1"/>
    <col min="9744" max="9744" width="2.1640625" style="121" customWidth="1"/>
    <col min="9745" max="9745" width="13.83203125" style="121" customWidth="1"/>
    <col min="9746" max="9746" width="10.6640625" style="121" customWidth="1"/>
    <col min="9747" max="9747" width="12" style="121" customWidth="1"/>
    <col min="9748" max="9748" width="11.5" style="121" customWidth="1"/>
    <col min="9749" max="9749" width="16" style="121" customWidth="1"/>
    <col min="9750" max="9751" width="10.6640625" style="121" customWidth="1"/>
    <col min="9752" max="9752" width="15.5" style="121" customWidth="1"/>
    <col min="9753" max="9753" width="11.5" style="121" customWidth="1"/>
    <col min="9754" max="9754" width="12" style="121" customWidth="1"/>
    <col min="9755" max="9755" width="11.5" style="121" customWidth="1"/>
    <col min="9756" max="9756" width="12" style="121" customWidth="1"/>
    <col min="9757" max="9757" width="11.5" style="121" customWidth="1"/>
    <col min="9758" max="9758" width="12.83203125" style="121" customWidth="1"/>
    <col min="9759" max="9759" width="10.6640625" style="121" customWidth="1"/>
    <col min="9760" max="9760" width="19" style="121" customWidth="1"/>
    <col min="9761" max="9761" width="13.33203125" style="121" customWidth="1"/>
    <col min="9762" max="9762" width="18" style="121" customWidth="1"/>
    <col min="9763" max="9763" width="42.5" style="121" customWidth="1"/>
    <col min="9764" max="9764" width="31" style="121" customWidth="1"/>
    <col min="9765" max="9765" width="35" style="121" customWidth="1"/>
    <col min="9766" max="9766" width="31" style="121" customWidth="1"/>
    <col min="9767" max="9767" width="35" style="121" customWidth="1"/>
    <col min="9768" max="9768" width="31" style="121" customWidth="1"/>
    <col min="9769" max="9769" width="37.83203125" style="121" customWidth="1"/>
    <col min="9770" max="9770" width="11.5" style="121" customWidth="1"/>
    <col min="9771" max="9771" width="54" style="121" customWidth="1"/>
    <col min="9772" max="9772" width="43.5" style="121" customWidth="1"/>
    <col min="9773" max="9773" width="44.6640625" style="121" customWidth="1"/>
    <col min="9774" max="9983" width="6.33203125" style="121"/>
    <col min="9984" max="9985" width="2.1640625" style="121" customWidth="1"/>
    <col min="9986" max="9986" width="0" style="121" hidden="1" customWidth="1"/>
    <col min="9987" max="9989" width="12.83203125" style="121" customWidth="1"/>
    <col min="9990" max="9990" width="12" style="121" customWidth="1"/>
    <col min="9991" max="9991" width="12.33203125" style="121" customWidth="1"/>
    <col min="9992" max="9992" width="13.5" style="121" customWidth="1"/>
    <col min="9993" max="9993" width="0" style="121" hidden="1" customWidth="1"/>
    <col min="9994" max="9996" width="13" style="121" customWidth="1"/>
    <col min="9997" max="9997" width="14.83203125" style="121" customWidth="1"/>
    <col min="9998" max="9998" width="13.33203125" style="121" customWidth="1"/>
    <col min="9999" max="9999" width="13.5" style="121" customWidth="1"/>
    <col min="10000" max="10000" width="2.1640625" style="121" customWidth="1"/>
    <col min="10001" max="10001" width="13.83203125" style="121" customWidth="1"/>
    <col min="10002" max="10002" width="10.6640625" style="121" customWidth="1"/>
    <col min="10003" max="10003" width="12" style="121" customWidth="1"/>
    <col min="10004" max="10004" width="11.5" style="121" customWidth="1"/>
    <col min="10005" max="10005" width="16" style="121" customWidth="1"/>
    <col min="10006" max="10007" width="10.6640625" style="121" customWidth="1"/>
    <col min="10008" max="10008" width="15.5" style="121" customWidth="1"/>
    <col min="10009" max="10009" width="11.5" style="121" customWidth="1"/>
    <col min="10010" max="10010" width="12" style="121" customWidth="1"/>
    <col min="10011" max="10011" width="11.5" style="121" customWidth="1"/>
    <col min="10012" max="10012" width="12" style="121" customWidth="1"/>
    <col min="10013" max="10013" width="11.5" style="121" customWidth="1"/>
    <col min="10014" max="10014" width="12.83203125" style="121" customWidth="1"/>
    <col min="10015" max="10015" width="10.6640625" style="121" customWidth="1"/>
    <col min="10016" max="10016" width="19" style="121" customWidth="1"/>
    <col min="10017" max="10017" width="13.33203125" style="121" customWidth="1"/>
    <col min="10018" max="10018" width="18" style="121" customWidth="1"/>
    <col min="10019" max="10019" width="42.5" style="121" customWidth="1"/>
    <col min="10020" max="10020" width="31" style="121" customWidth="1"/>
    <col min="10021" max="10021" width="35" style="121" customWidth="1"/>
    <col min="10022" max="10022" width="31" style="121" customWidth="1"/>
    <col min="10023" max="10023" width="35" style="121" customWidth="1"/>
    <col min="10024" max="10024" width="31" style="121" customWidth="1"/>
    <col min="10025" max="10025" width="37.83203125" style="121" customWidth="1"/>
    <col min="10026" max="10026" width="11.5" style="121" customWidth="1"/>
    <col min="10027" max="10027" width="54" style="121" customWidth="1"/>
    <col min="10028" max="10028" width="43.5" style="121" customWidth="1"/>
    <col min="10029" max="10029" width="44.6640625" style="121" customWidth="1"/>
    <col min="10030" max="10239" width="6.33203125" style="121"/>
    <col min="10240" max="10241" width="2.1640625" style="121" customWidth="1"/>
    <col min="10242" max="10242" width="0" style="121" hidden="1" customWidth="1"/>
    <col min="10243" max="10245" width="12.83203125" style="121" customWidth="1"/>
    <col min="10246" max="10246" width="12" style="121" customWidth="1"/>
    <col min="10247" max="10247" width="12.33203125" style="121" customWidth="1"/>
    <col min="10248" max="10248" width="13.5" style="121" customWidth="1"/>
    <col min="10249" max="10249" width="0" style="121" hidden="1" customWidth="1"/>
    <col min="10250" max="10252" width="13" style="121" customWidth="1"/>
    <col min="10253" max="10253" width="14.83203125" style="121" customWidth="1"/>
    <col min="10254" max="10254" width="13.33203125" style="121" customWidth="1"/>
    <col min="10255" max="10255" width="13.5" style="121" customWidth="1"/>
    <col min="10256" max="10256" width="2.1640625" style="121" customWidth="1"/>
    <col min="10257" max="10257" width="13.83203125" style="121" customWidth="1"/>
    <col min="10258" max="10258" width="10.6640625" style="121" customWidth="1"/>
    <col min="10259" max="10259" width="12" style="121" customWidth="1"/>
    <col min="10260" max="10260" width="11.5" style="121" customWidth="1"/>
    <col min="10261" max="10261" width="16" style="121" customWidth="1"/>
    <col min="10262" max="10263" width="10.6640625" style="121" customWidth="1"/>
    <col min="10264" max="10264" width="15.5" style="121" customWidth="1"/>
    <col min="10265" max="10265" width="11.5" style="121" customWidth="1"/>
    <col min="10266" max="10266" width="12" style="121" customWidth="1"/>
    <col min="10267" max="10267" width="11.5" style="121" customWidth="1"/>
    <col min="10268" max="10268" width="12" style="121" customWidth="1"/>
    <col min="10269" max="10269" width="11.5" style="121" customWidth="1"/>
    <col min="10270" max="10270" width="12.83203125" style="121" customWidth="1"/>
    <col min="10271" max="10271" width="10.6640625" style="121" customWidth="1"/>
    <col min="10272" max="10272" width="19" style="121" customWidth="1"/>
    <col min="10273" max="10273" width="13.33203125" style="121" customWidth="1"/>
    <col min="10274" max="10274" width="18" style="121" customWidth="1"/>
    <col min="10275" max="10275" width="42.5" style="121" customWidth="1"/>
    <col min="10276" max="10276" width="31" style="121" customWidth="1"/>
    <col min="10277" max="10277" width="35" style="121" customWidth="1"/>
    <col min="10278" max="10278" width="31" style="121" customWidth="1"/>
    <col min="10279" max="10279" width="35" style="121" customWidth="1"/>
    <col min="10280" max="10280" width="31" style="121" customWidth="1"/>
    <col min="10281" max="10281" width="37.83203125" style="121" customWidth="1"/>
    <col min="10282" max="10282" width="11.5" style="121" customWidth="1"/>
    <col min="10283" max="10283" width="54" style="121" customWidth="1"/>
    <col min="10284" max="10284" width="43.5" style="121" customWidth="1"/>
    <col min="10285" max="10285" width="44.6640625" style="121" customWidth="1"/>
    <col min="10286" max="10495" width="6.33203125" style="121"/>
    <col min="10496" max="10497" width="2.1640625" style="121" customWidth="1"/>
    <col min="10498" max="10498" width="0" style="121" hidden="1" customWidth="1"/>
    <col min="10499" max="10501" width="12.83203125" style="121" customWidth="1"/>
    <col min="10502" max="10502" width="12" style="121" customWidth="1"/>
    <col min="10503" max="10503" width="12.33203125" style="121" customWidth="1"/>
    <col min="10504" max="10504" width="13.5" style="121" customWidth="1"/>
    <col min="10505" max="10505" width="0" style="121" hidden="1" customWidth="1"/>
    <col min="10506" max="10508" width="13" style="121" customWidth="1"/>
    <col min="10509" max="10509" width="14.83203125" style="121" customWidth="1"/>
    <col min="10510" max="10510" width="13.33203125" style="121" customWidth="1"/>
    <col min="10511" max="10511" width="13.5" style="121" customWidth="1"/>
    <col min="10512" max="10512" width="2.1640625" style="121" customWidth="1"/>
    <col min="10513" max="10513" width="13.83203125" style="121" customWidth="1"/>
    <col min="10514" max="10514" width="10.6640625" style="121" customWidth="1"/>
    <col min="10515" max="10515" width="12" style="121" customWidth="1"/>
    <col min="10516" max="10516" width="11.5" style="121" customWidth="1"/>
    <col min="10517" max="10517" width="16" style="121" customWidth="1"/>
    <col min="10518" max="10519" width="10.6640625" style="121" customWidth="1"/>
    <col min="10520" max="10520" width="15.5" style="121" customWidth="1"/>
    <col min="10521" max="10521" width="11.5" style="121" customWidth="1"/>
    <col min="10522" max="10522" width="12" style="121" customWidth="1"/>
    <col min="10523" max="10523" width="11.5" style="121" customWidth="1"/>
    <col min="10524" max="10524" width="12" style="121" customWidth="1"/>
    <col min="10525" max="10525" width="11.5" style="121" customWidth="1"/>
    <col min="10526" max="10526" width="12.83203125" style="121" customWidth="1"/>
    <col min="10527" max="10527" width="10.6640625" style="121" customWidth="1"/>
    <col min="10528" max="10528" width="19" style="121" customWidth="1"/>
    <col min="10529" max="10529" width="13.33203125" style="121" customWidth="1"/>
    <col min="10530" max="10530" width="18" style="121" customWidth="1"/>
    <col min="10531" max="10531" width="42.5" style="121" customWidth="1"/>
    <col min="10532" max="10532" width="31" style="121" customWidth="1"/>
    <col min="10533" max="10533" width="35" style="121" customWidth="1"/>
    <col min="10534" max="10534" width="31" style="121" customWidth="1"/>
    <col min="10535" max="10535" width="35" style="121" customWidth="1"/>
    <col min="10536" max="10536" width="31" style="121" customWidth="1"/>
    <col min="10537" max="10537" width="37.83203125" style="121" customWidth="1"/>
    <col min="10538" max="10538" width="11.5" style="121" customWidth="1"/>
    <col min="10539" max="10539" width="54" style="121" customWidth="1"/>
    <col min="10540" max="10540" width="43.5" style="121" customWidth="1"/>
    <col min="10541" max="10541" width="44.6640625" style="121" customWidth="1"/>
    <col min="10542" max="10751" width="6.33203125" style="121"/>
    <col min="10752" max="10753" width="2.1640625" style="121" customWidth="1"/>
    <col min="10754" max="10754" width="0" style="121" hidden="1" customWidth="1"/>
    <col min="10755" max="10757" width="12.83203125" style="121" customWidth="1"/>
    <col min="10758" max="10758" width="12" style="121" customWidth="1"/>
    <col min="10759" max="10759" width="12.33203125" style="121" customWidth="1"/>
    <col min="10760" max="10760" width="13.5" style="121" customWidth="1"/>
    <col min="10761" max="10761" width="0" style="121" hidden="1" customWidth="1"/>
    <col min="10762" max="10764" width="13" style="121" customWidth="1"/>
    <col min="10765" max="10765" width="14.83203125" style="121" customWidth="1"/>
    <col min="10766" max="10766" width="13.33203125" style="121" customWidth="1"/>
    <col min="10767" max="10767" width="13.5" style="121" customWidth="1"/>
    <col min="10768" max="10768" width="2.1640625" style="121" customWidth="1"/>
    <col min="10769" max="10769" width="13.83203125" style="121" customWidth="1"/>
    <col min="10770" max="10770" width="10.6640625" style="121" customWidth="1"/>
    <col min="10771" max="10771" width="12" style="121" customWidth="1"/>
    <col min="10772" max="10772" width="11.5" style="121" customWidth="1"/>
    <col min="10773" max="10773" width="16" style="121" customWidth="1"/>
    <col min="10774" max="10775" width="10.6640625" style="121" customWidth="1"/>
    <col min="10776" max="10776" width="15.5" style="121" customWidth="1"/>
    <col min="10777" max="10777" width="11.5" style="121" customWidth="1"/>
    <col min="10778" max="10778" width="12" style="121" customWidth="1"/>
    <col min="10779" max="10779" width="11.5" style="121" customWidth="1"/>
    <col min="10780" max="10780" width="12" style="121" customWidth="1"/>
    <col min="10781" max="10781" width="11.5" style="121" customWidth="1"/>
    <col min="10782" max="10782" width="12.83203125" style="121" customWidth="1"/>
    <col min="10783" max="10783" width="10.6640625" style="121" customWidth="1"/>
    <col min="10784" max="10784" width="19" style="121" customWidth="1"/>
    <col min="10785" max="10785" width="13.33203125" style="121" customWidth="1"/>
    <col min="10786" max="10786" width="18" style="121" customWidth="1"/>
    <col min="10787" max="10787" width="42.5" style="121" customWidth="1"/>
    <col min="10788" max="10788" width="31" style="121" customWidth="1"/>
    <col min="10789" max="10789" width="35" style="121" customWidth="1"/>
    <col min="10790" max="10790" width="31" style="121" customWidth="1"/>
    <col min="10791" max="10791" width="35" style="121" customWidth="1"/>
    <col min="10792" max="10792" width="31" style="121" customWidth="1"/>
    <col min="10793" max="10793" width="37.83203125" style="121" customWidth="1"/>
    <col min="10794" max="10794" width="11.5" style="121" customWidth="1"/>
    <col min="10795" max="10795" width="54" style="121" customWidth="1"/>
    <col min="10796" max="10796" width="43.5" style="121" customWidth="1"/>
    <col min="10797" max="10797" width="44.6640625" style="121" customWidth="1"/>
    <col min="10798" max="11007" width="6.33203125" style="121"/>
    <col min="11008" max="11009" width="2.1640625" style="121" customWidth="1"/>
    <col min="11010" max="11010" width="0" style="121" hidden="1" customWidth="1"/>
    <col min="11011" max="11013" width="12.83203125" style="121" customWidth="1"/>
    <col min="11014" max="11014" width="12" style="121" customWidth="1"/>
    <col min="11015" max="11015" width="12.33203125" style="121" customWidth="1"/>
    <col min="11016" max="11016" width="13.5" style="121" customWidth="1"/>
    <col min="11017" max="11017" width="0" style="121" hidden="1" customWidth="1"/>
    <col min="11018" max="11020" width="13" style="121" customWidth="1"/>
    <col min="11021" max="11021" width="14.83203125" style="121" customWidth="1"/>
    <col min="11022" max="11022" width="13.33203125" style="121" customWidth="1"/>
    <col min="11023" max="11023" width="13.5" style="121" customWidth="1"/>
    <col min="11024" max="11024" width="2.1640625" style="121" customWidth="1"/>
    <col min="11025" max="11025" width="13.83203125" style="121" customWidth="1"/>
    <col min="11026" max="11026" width="10.6640625" style="121" customWidth="1"/>
    <col min="11027" max="11027" width="12" style="121" customWidth="1"/>
    <col min="11028" max="11028" width="11.5" style="121" customWidth="1"/>
    <col min="11029" max="11029" width="16" style="121" customWidth="1"/>
    <col min="11030" max="11031" width="10.6640625" style="121" customWidth="1"/>
    <col min="11032" max="11032" width="15.5" style="121" customWidth="1"/>
    <col min="11033" max="11033" width="11.5" style="121" customWidth="1"/>
    <col min="11034" max="11034" width="12" style="121" customWidth="1"/>
    <col min="11035" max="11035" width="11.5" style="121" customWidth="1"/>
    <col min="11036" max="11036" width="12" style="121" customWidth="1"/>
    <col min="11037" max="11037" width="11.5" style="121" customWidth="1"/>
    <col min="11038" max="11038" width="12.83203125" style="121" customWidth="1"/>
    <col min="11039" max="11039" width="10.6640625" style="121" customWidth="1"/>
    <col min="11040" max="11040" width="19" style="121" customWidth="1"/>
    <col min="11041" max="11041" width="13.33203125" style="121" customWidth="1"/>
    <col min="11042" max="11042" width="18" style="121" customWidth="1"/>
    <col min="11043" max="11043" width="42.5" style="121" customWidth="1"/>
    <col min="11044" max="11044" width="31" style="121" customWidth="1"/>
    <col min="11045" max="11045" width="35" style="121" customWidth="1"/>
    <col min="11046" max="11046" width="31" style="121" customWidth="1"/>
    <col min="11047" max="11047" width="35" style="121" customWidth="1"/>
    <col min="11048" max="11048" width="31" style="121" customWidth="1"/>
    <col min="11049" max="11049" width="37.83203125" style="121" customWidth="1"/>
    <col min="11050" max="11050" width="11.5" style="121" customWidth="1"/>
    <col min="11051" max="11051" width="54" style="121" customWidth="1"/>
    <col min="11052" max="11052" width="43.5" style="121" customWidth="1"/>
    <col min="11053" max="11053" width="44.6640625" style="121" customWidth="1"/>
    <col min="11054" max="11263" width="6.33203125" style="121"/>
    <col min="11264" max="11265" width="2.1640625" style="121" customWidth="1"/>
    <col min="11266" max="11266" width="0" style="121" hidden="1" customWidth="1"/>
    <col min="11267" max="11269" width="12.83203125" style="121" customWidth="1"/>
    <col min="11270" max="11270" width="12" style="121" customWidth="1"/>
    <col min="11271" max="11271" width="12.33203125" style="121" customWidth="1"/>
    <col min="11272" max="11272" width="13.5" style="121" customWidth="1"/>
    <col min="11273" max="11273" width="0" style="121" hidden="1" customWidth="1"/>
    <col min="11274" max="11276" width="13" style="121" customWidth="1"/>
    <col min="11277" max="11277" width="14.83203125" style="121" customWidth="1"/>
    <col min="11278" max="11278" width="13.33203125" style="121" customWidth="1"/>
    <col min="11279" max="11279" width="13.5" style="121" customWidth="1"/>
    <col min="11280" max="11280" width="2.1640625" style="121" customWidth="1"/>
    <col min="11281" max="11281" width="13.83203125" style="121" customWidth="1"/>
    <col min="11282" max="11282" width="10.6640625" style="121" customWidth="1"/>
    <col min="11283" max="11283" width="12" style="121" customWidth="1"/>
    <col min="11284" max="11284" width="11.5" style="121" customWidth="1"/>
    <col min="11285" max="11285" width="16" style="121" customWidth="1"/>
    <col min="11286" max="11287" width="10.6640625" style="121" customWidth="1"/>
    <col min="11288" max="11288" width="15.5" style="121" customWidth="1"/>
    <col min="11289" max="11289" width="11.5" style="121" customWidth="1"/>
    <col min="11290" max="11290" width="12" style="121" customWidth="1"/>
    <col min="11291" max="11291" width="11.5" style="121" customWidth="1"/>
    <col min="11292" max="11292" width="12" style="121" customWidth="1"/>
    <col min="11293" max="11293" width="11.5" style="121" customWidth="1"/>
    <col min="11294" max="11294" width="12.83203125" style="121" customWidth="1"/>
    <col min="11295" max="11295" width="10.6640625" style="121" customWidth="1"/>
    <col min="11296" max="11296" width="19" style="121" customWidth="1"/>
    <col min="11297" max="11297" width="13.33203125" style="121" customWidth="1"/>
    <col min="11298" max="11298" width="18" style="121" customWidth="1"/>
    <col min="11299" max="11299" width="42.5" style="121" customWidth="1"/>
    <col min="11300" max="11300" width="31" style="121" customWidth="1"/>
    <col min="11301" max="11301" width="35" style="121" customWidth="1"/>
    <col min="11302" max="11302" width="31" style="121" customWidth="1"/>
    <col min="11303" max="11303" width="35" style="121" customWidth="1"/>
    <col min="11304" max="11304" width="31" style="121" customWidth="1"/>
    <col min="11305" max="11305" width="37.83203125" style="121" customWidth="1"/>
    <col min="11306" max="11306" width="11.5" style="121" customWidth="1"/>
    <col min="11307" max="11307" width="54" style="121" customWidth="1"/>
    <col min="11308" max="11308" width="43.5" style="121" customWidth="1"/>
    <col min="11309" max="11309" width="44.6640625" style="121" customWidth="1"/>
    <col min="11310" max="11519" width="6.33203125" style="121"/>
    <col min="11520" max="11521" width="2.1640625" style="121" customWidth="1"/>
    <col min="11522" max="11522" width="0" style="121" hidden="1" customWidth="1"/>
    <col min="11523" max="11525" width="12.83203125" style="121" customWidth="1"/>
    <col min="11526" max="11526" width="12" style="121" customWidth="1"/>
    <col min="11527" max="11527" width="12.33203125" style="121" customWidth="1"/>
    <col min="11528" max="11528" width="13.5" style="121" customWidth="1"/>
    <col min="11529" max="11529" width="0" style="121" hidden="1" customWidth="1"/>
    <col min="11530" max="11532" width="13" style="121" customWidth="1"/>
    <col min="11533" max="11533" width="14.83203125" style="121" customWidth="1"/>
    <col min="11534" max="11534" width="13.33203125" style="121" customWidth="1"/>
    <col min="11535" max="11535" width="13.5" style="121" customWidth="1"/>
    <col min="11536" max="11536" width="2.1640625" style="121" customWidth="1"/>
    <col min="11537" max="11537" width="13.83203125" style="121" customWidth="1"/>
    <col min="11538" max="11538" width="10.6640625" style="121" customWidth="1"/>
    <col min="11539" max="11539" width="12" style="121" customWidth="1"/>
    <col min="11540" max="11540" width="11.5" style="121" customWidth="1"/>
    <col min="11541" max="11541" width="16" style="121" customWidth="1"/>
    <col min="11542" max="11543" width="10.6640625" style="121" customWidth="1"/>
    <col min="11544" max="11544" width="15.5" style="121" customWidth="1"/>
    <col min="11545" max="11545" width="11.5" style="121" customWidth="1"/>
    <col min="11546" max="11546" width="12" style="121" customWidth="1"/>
    <col min="11547" max="11547" width="11.5" style="121" customWidth="1"/>
    <col min="11548" max="11548" width="12" style="121" customWidth="1"/>
    <col min="11549" max="11549" width="11.5" style="121" customWidth="1"/>
    <col min="11550" max="11550" width="12.83203125" style="121" customWidth="1"/>
    <col min="11551" max="11551" width="10.6640625" style="121" customWidth="1"/>
    <col min="11552" max="11552" width="19" style="121" customWidth="1"/>
    <col min="11553" max="11553" width="13.33203125" style="121" customWidth="1"/>
    <col min="11554" max="11554" width="18" style="121" customWidth="1"/>
    <col min="11555" max="11555" width="42.5" style="121" customWidth="1"/>
    <col min="11556" max="11556" width="31" style="121" customWidth="1"/>
    <col min="11557" max="11557" width="35" style="121" customWidth="1"/>
    <col min="11558" max="11558" width="31" style="121" customWidth="1"/>
    <col min="11559" max="11559" width="35" style="121" customWidth="1"/>
    <col min="11560" max="11560" width="31" style="121" customWidth="1"/>
    <col min="11561" max="11561" width="37.83203125" style="121" customWidth="1"/>
    <col min="11562" max="11562" width="11.5" style="121" customWidth="1"/>
    <col min="11563" max="11563" width="54" style="121" customWidth="1"/>
    <col min="11564" max="11564" width="43.5" style="121" customWidth="1"/>
    <col min="11565" max="11565" width="44.6640625" style="121" customWidth="1"/>
    <col min="11566" max="11775" width="6.33203125" style="121"/>
    <col min="11776" max="11777" width="2.1640625" style="121" customWidth="1"/>
    <col min="11778" max="11778" width="0" style="121" hidden="1" customWidth="1"/>
    <col min="11779" max="11781" width="12.83203125" style="121" customWidth="1"/>
    <col min="11782" max="11782" width="12" style="121" customWidth="1"/>
    <col min="11783" max="11783" width="12.33203125" style="121" customWidth="1"/>
    <col min="11784" max="11784" width="13.5" style="121" customWidth="1"/>
    <col min="11785" max="11785" width="0" style="121" hidden="1" customWidth="1"/>
    <col min="11786" max="11788" width="13" style="121" customWidth="1"/>
    <col min="11789" max="11789" width="14.83203125" style="121" customWidth="1"/>
    <col min="11790" max="11790" width="13.33203125" style="121" customWidth="1"/>
    <col min="11791" max="11791" width="13.5" style="121" customWidth="1"/>
    <col min="11792" max="11792" width="2.1640625" style="121" customWidth="1"/>
    <col min="11793" max="11793" width="13.83203125" style="121" customWidth="1"/>
    <col min="11794" max="11794" width="10.6640625" style="121" customWidth="1"/>
    <col min="11795" max="11795" width="12" style="121" customWidth="1"/>
    <col min="11796" max="11796" width="11.5" style="121" customWidth="1"/>
    <col min="11797" max="11797" width="16" style="121" customWidth="1"/>
    <col min="11798" max="11799" width="10.6640625" style="121" customWidth="1"/>
    <col min="11800" max="11800" width="15.5" style="121" customWidth="1"/>
    <col min="11801" max="11801" width="11.5" style="121" customWidth="1"/>
    <col min="11802" max="11802" width="12" style="121" customWidth="1"/>
    <col min="11803" max="11803" width="11.5" style="121" customWidth="1"/>
    <col min="11804" max="11804" width="12" style="121" customWidth="1"/>
    <col min="11805" max="11805" width="11.5" style="121" customWidth="1"/>
    <col min="11806" max="11806" width="12.83203125" style="121" customWidth="1"/>
    <col min="11807" max="11807" width="10.6640625" style="121" customWidth="1"/>
    <col min="11808" max="11808" width="19" style="121" customWidth="1"/>
    <col min="11809" max="11809" width="13.33203125" style="121" customWidth="1"/>
    <col min="11810" max="11810" width="18" style="121" customWidth="1"/>
    <col min="11811" max="11811" width="42.5" style="121" customWidth="1"/>
    <col min="11812" max="11812" width="31" style="121" customWidth="1"/>
    <col min="11813" max="11813" width="35" style="121" customWidth="1"/>
    <col min="11814" max="11814" width="31" style="121" customWidth="1"/>
    <col min="11815" max="11815" width="35" style="121" customWidth="1"/>
    <col min="11816" max="11816" width="31" style="121" customWidth="1"/>
    <col min="11817" max="11817" width="37.83203125" style="121" customWidth="1"/>
    <col min="11818" max="11818" width="11.5" style="121" customWidth="1"/>
    <col min="11819" max="11819" width="54" style="121" customWidth="1"/>
    <col min="11820" max="11820" width="43.5" style="121" customWidth="1"/>
    <col min="11821" max="11821" width="44.6640625" style="121" customWidth="1"/>
    <col min="11822" max="12031" width="6.33203125" style="121"/>
    <col min="12032" max="12033" width="2.1640625" style="121" customWidth="1"/>
    <col min="12034" max="12034" width="0" style="121" hidden="1" customWidth="1"/>
    <col min="12035" max="12037" width="12.83203125" style="121" customWidth="1"/>
    <col min="12038" max="12038" width="12" style="121" customWidth="1"/>
    <col min="12039" max="12039" width="12.33203125" style="121" customWidth="1"/>
    <col min="12040" max="12040" width="13.5" style="121" customWidth="1"/>
    <col min="12041" max="12041" width="0" style="121" hidden="1" customWidth="1"/>
    <col min="12042" max="12044" width="13" style="121" customWidth="1"/>
    <col min="12045" max="12045" width="14.83203125" style="121" customWidth="1"/>
    <col min="12046" max="12046" width="13.33203125" style="121" customWidth="1"/>
    <col min="12047" max="12047" width="13.5" style="121" customWidth="1"/>
    <col min="12048" max="12048" width="2.1640625" style="121" customWidth="1"/>
    <col min="12049" max="12049" width="13.83203125" style="121" customWidth="1"/>
    <col min="12050" max="12050" width="10.6640625" style="121" customWidth="1"/>
    <col min="12051" max="12051" width="12" style="121" customWidth="1"/>
    <col min="12052" max="12052" width="11.5" style="121" customWidth="1"/>
    <col min="12053" max="12053" width="16" style="121" customWidth="1"/>
    <col min="12054" max="12055" width="10.6640625" style="121" customWidth="1"/>
    <col min="12056" max="12056" width="15.5" style="121" customWidth="1"/>
    <col min="12057" max="12057" width="11.5" style="121" customWidth="1"/>
    <col min="12058" max="12058" width="12" style="121" customWidth="1"/>
    <col min="12059" max="12059" width="11.5" style="121" customWidth="1"/>
    <col min="12060" max="12060" width="12" style="121" customWidth="1"/>
    <col min="12061" max="12061" width="11.5" style="121" customWidth="1"/>
    <col min="12062" max="12062" width="12.83203125" style="121" customWidth="1"/>
    <col min="12063" max="12063" width="10.6640625" style="121" customWidth="1"/>
    <col min="12064" max="12064" width="19" style="121" customWidth="1"/>
    <col min="12065" max="12065" width="13.33203125" style="121" customWidth="1"/>
    <col min="12066" max="12066" width="18" style="121" customWidth="1"/>
    <col min="12067" max="12067" width="42.5" style="121" customWidth="1"/>
    <col min="12068" max="12068" width="31" style="121" customWidth="1"/>
    <col min="12069" max="12069" width="35" style="121" customWidth="1"/>
    <col min="12070" max="12070" width="31" style="121" customWidth="1"/>
    <col min="12071" max="12071" width="35" style="121" customWidth="1"/>
    <col min="12072" max="12072" width="31" style="121" customWidth="1"/>
    <col min="12073" max="12073" width="37.83203125" style="121" customWidth="1"/>
    <col min="12074" max="12074" width="11.5" style="121" customWidth="1"/>
    <col min="12075" max="12075" width="54" style="121" customWidth="1"/>
    <col min="12076" max="12076" width="43.5" style="121" customWidth="1"/>
    <col min="12077" max="12077" width="44.6640625" style="121" customWidth="1"/>
    <col min="12078" max="12287" width="6.33203125" style="121"/>
    <col min="12288" max="12289" width="2.1640625" style="121" customWidth="1"/>
    <col min="12290" max="12290" width="0" style="121" hidden="1" customWidth="1"/>
    <col min="12291" max="12293" width="12.83203125" style="121" customWidth="1"/>
    <col min="12294" max="12294" width="12" style="121" customWidth="1"/>
    <col min="12295" max="12295" width="12.33203125" style="121" customWidth="1"/>
    <col min="12296" max="12296" width="13.5" style="121" customWidth="1"/>
    <col min="12297" max="12297" width="0" style="121" hidden="1" customWidth="1"/>
    <col min="12298" max="12300" width="13" style="121" customWidth="1"/>
    <col min="12301" max="12301" width="14.83203125" style="121" customWidth="1"/>
    <col min="12302" max="12302" width="13.33203125" style="121" customWidth="1"/>
    <col min="12303" max="12303" width="13.5" style="121" customWidth="1"/>
    <col min="12304" max="12304" width="2.1640625" style="121" customWidth="1"/>
    <col min="12305" max="12305" width="13.83203125" style="121" customWidth="1"/>
    <col min="12306" max="12306" width="10.6640625" style="121" customWidth="1"/>
    <col min="12307" max="12307" width="12" style="121" customWidth="1"/>
    <col min="12308" max="12308" width="11.5" style="121" customWidth="1"/>
    <col min="12309" max="12309" width="16" style="121" customWidth="1"/>
    <col min="12310" max="12311" width="10.6640625" style="121" customWidth="1"/>
    <col min="12312" max="12312" width="15.5" style="121" customWidth="1"/>
    <col min="12313" max="12313" width="11.5" style="121" customWidth="1"/>
    <col min="12314" max="12314" width="12" style="121" customWidth="1"/>
    <col min="12315" max="12315" width="11.5" style="121" customWidth="1"/>
    <col min="12316" max="12316" width="12" style="121" customWidth="1"/>
    <col min="12317" max="12317" width="11.5" style="121" customWidth="1"/>
    <col min="12318" max="12318" width="12.83203125" style="121" customWidth="1"/>
    <col min="12319" max="12319" width="10.6640625" style="121" customWidth="1"/>
    <col min="12320" max="12320" width="19" style="121" customWidth="1"/>
    <col min="12321" max="12321" width="13.33203125" style="121" customWidth="1"/>
    <col min="12322" max="12322" width="18" style="121" customWidth="1"/>
    <col min="12323" max="12323" width="42.5" style="121" customWidth="1"/>
    <col min="12324" max="12324" width="31" style="121" customWidth="1"/>
    <col min="12325" max="12325" width="35" style="121" customWidth="1"/>
    <col min="12326" max="12326" width="31" style="121" customWidth="1"/>
    <col min="12327" max="12327" width="35" style="121" customWidth="1"/>
    <col min="12328" max="12328" width="31" style="121" customWidth="1"/>
    <col min="12329" max="12329" width="37.83203125" style="121" customWidth="1"/>
    <col min="12330" max="12330" width="11.5" style="121" customWidth="1"/>
    <col min="12331" max="12331" width="54" style="121" customWidth="1"/>
    <col min="12332" max="12332" width="43.5" style="121" customWidth="1"/>
    <col min="12333" max="12333" width="44.6640625" style="121" customWidth="1"/>
    <col min="12334" max="12543" width="6.33203125" style="121"/>
    <col min="12544" max="12545" width="2.1640625" style="121" customWidth="1"/>
    <col min="12546" max="12546" width="0" style="121" hidden="1" customWidth="1"/>
    <col min="12547" max="12549" width="12.83203125" style="121" customWidth="1"/>
    <col min="12550" max="12550" width="12" style="121" customWidth="1"/>
    <col min="12551" max="12551" width="12.33203125" style="121" customWidth="1"/>
    <col min="12552" max="12552" width="13.5" style="121" customWidth="1"/>
    <col min="12553" max="12553" width="0" style="121" hidden="1" customWidth="1"/>
    <col min="12554" max="12556" width="13" style="121" customWidth="1"/>
    <col min="12557" max="12557" width="14.83203125" style="121" customWidth="1"/>
    <col min="12558" max="12558" width="13.33203125" style="121" customWidth="1"/>
    <col min="12559" max="12559" width="13.5" style="121" customWidth="1"/>
    <col min="12560" max="12560" width="2.1640625" style="121" customWidth="1"/>
    <col min="12561" max="12561" width="13.83203125" style="121" customWidth="1"/>
    <col min="12562" max="12562" width="10.6640625" style="121" customWidth="1"/>
    <col min="12563" max="12563" width="12" style="121" customWidth="1"/>
    <col min="12564" max="12564" width="11.5" style="121" customWidth="1"/>
    <col min="12565" max="12565" width="16" style="121" customWidth="1"/>
    <col min="12566" max="12567" width="10.6640625" style="121" customWidth="1"/>
    <col min="12568" max="12568" width="15.5" style="121" customWidth="1"/>
    <col min="12569" max="12569" width="11.5" style="121" customWidth="1"/>
    <col min="12570" max="12570" width="12" style="121" customWidth="1"/>
    <col min="12571" max="12571" width="11.5" style="121" customWidth="1"/>
    <col min="12572" max="12572" width="12" style="121" customWidth="1"/>
    <col min="12573" max="12573" width="11.5" style="121" customWidth="1"/>
    <col min="12574" max="12574" width="12.83203125" style="121" customWidth="1"/>
    <col min="12575" max="12575" width="10.6640625" style="121" customWidth="1"/>
    <col min="12576" max="12576" width="19" style="121" customWidth="1"/>
    <col min="12577" max="12577" width="13.33203125" style="121" customWidth="1"/>
    <col min="12578" max="12578" width="18" style="121" customWidth="1"/>
    <col min="12579" max="12579" width="42.5" style="121" customWidth="1"/>
    <col min="12580" max="12580" width="31" style="121" customWidth="1"/>
    <col min="12581" max="12581" width="35" style="121" customWidth="1"/>
    <col min="12582" max="12582" width="31" style="121" customWidth="1"/>
    <col min="12583" max="12583" width="35" style="121" customWidth="1"/>
    <col min="12584" max="12584" width="31" style="121" customWidth="1"/>
    <col min="12585" max="12585" width="37.83203125" style="121" customWidth="1"/>
    <col min="12586" max="12586" width="11.5" style="121" customWidth="1"/>
    <col min="12587" max="12587" width="54" style="121" customWidth="1"/>
    <col min="12588" max="12588" width="43.5" style="121" customWidth="1"/>
    <col min="12589" max="12589" width="44.6640625" style="121" customWidth="1"/>
    <col min="12590" max="12799" width="6.33203125" style="121"/>
    <col min="12800" max="12801" width="2.1640625" style="121" customWidth="1"/>
    <col min="12802" max="12802" width="0" style="121" hidden="1" customWidth="1"/>
    <col min="12803" max="12805" width="12.83203125" style="121" customWidth="1"/>
    <col min="12806" max="12806" width="12" style="121" customWidth="1"/>
    <col min="12807" max="12807" width="12.33203125" style="121" customWidth="1"/>
    <col min="12808" max="12808" width="13.5" style="121" customWidth="1"/>
    <col min="12809" max="12809" width="0" style="121" hidden="1" customWidth="1"/>
    <col min="12810" max="12812" width="13" style="121" customWidth="1"/>
    <col min="12813" max="12813" width="14.83203125" style="121" customWidth="1"/>
    <col min="12814" max="12814" width="13.33203125" style="121" customWidth="1"/>
    <col min="12815" max="12815" width="13.5" style="121" customWidth="1"/>
    <col min="12816" max="12816" width="2.1640625" style="121" customWidth="1"/>
    <col min="12817" max="12817" width="13.83203125" style="121" customWidth="1"/>
    <col min="12818" max="12818" width="10.6640625" style="121" customWidth="1"/>
    <col min="12819" max="12819" width="12" style="121" customWidth="1"/>
    <col min="12820" max="12820" width="11.5" style="121" customWidth="1"/>
    <col min="12821" max="12821" width="16" style="121" customWidth="1"/>
    <col min="12822" max="12823" width="10.6640625" style="121" customWidth="1"/>
    <col min="12824" max="12824" width="15.5" style="121" customWidth="1"/>
    <col min="12825" max="12825" width="11.5" style="121" customWidth="1"/>
    <col min="12826" max="12826" width="12" style="121" customWidth="1"/>
    <col min="12827" max="12827" width="11.5" style="121" customWidth="1"/>
    <col min="12828" max="12828" width="12" style="121" customWidth="1"/>
    <col min="12829" max="12829" width="11.5" style="121" customWidth="1"/>
    <col min="12830" max="12830" width="12.83203125" style="121" customWidth="1"/>
    <col min="12831" max="12831" width="10.6640625" style="121" customWidth="1"/>
    <col min="12832" max="12832" width="19" style="121" customWidth="1"/>
    <col min="12833" max="12833" width="13.33203125" style="121" customWidth="1"/>
    <col min="12834" max="12834" width="18" style="121" customWidth="1"/>
    <col min="12835" max="12835" width="42.5" style="121" customWidth="1"/>
    <col min="12836" max="12836" width="31" style="121" customWidth="1"/>
    <col min="12837" max="12837" width="35" style="121" customWidth="1"/>
    <col min="12838" max="12838" width="31" style="121" customWidth="1"/>
    <col min="12839" max="12839" width="35" style="121" customWidth="1"/>
    <col min="12840" max="12840" width="31" style="121" customWidth="1"/>
    <col min="12841" max="12841" width="37.83203125" style="121" customWidth="1"/>
    <col min="12842" max="12842" width="11.5" style="121" customWidth="1"/>
    <col min="12843" max="12843" width="54" style="121" customWidth="1"/>
    <col min="12844" max="12844" width="43.5" style="121" customWidth="1"/>
    <col min="12845" max="12845" width="44.6640625" style="121" customWidth="1"/>
    <col min="12846" max="13055" width="6.33203125" style="121"/>
    <col min="13056" max="13057" width="2.1640625" style="121" customWidth="1"/>
    <col min="13058" max="13058" width="0" style="121" hidden="1" customWidth="1"/>
    <col min="13059" max="13061" width="12.83203125" style="121" customWidth="1"/>
    <col min="13062" max="13062" width="12" style="121" customWidth="1"/>
    <col min="13063" max="13063" width="12.33203125" style="121" customWidth="1"/>
    <col min="13064" max="13064" width="13.5" style="121" customWidth="1"/>
    <col min="13065" max="13065" width="0" style="121" hidden="1" customWidth="1"/>
    <col min="13066" max="13068" width="13" style="121" customWidth="1"/>
    <col min="13069" max="13069" width="14.83203125" style="121" customWidth="1"/>
    <col min="13070" max="13070" width="13.33203125" style="121" customWidth="1"/>
    <col min="13071" max="13071" width="13.5" style="121" customWidth="1"/>
    <col min="13072" max="13072" width="2.1640625" style="121" customWidth="1"/>
    <col min="13073" max="13073" width="13.83203125" style="121" customWidth="1"/>
    <col min="13074" max="13074" width="10.6640625" style="121" customWidth="1"/>
    <col min="13075" max="13075" width="12" style="121" customWidth="1"/>
    <col min="13076" max="13076" width="11.5" style="121" customWidth="1"/>
    <col min="13077" max="13077" width="16" style="121" customWidth="1"/>
    <col min="13078" max="13079" width="10.6640625" style="121" customWidth="1"/>
    <col min="13080" max="13080" width="15.5" style="121" customWidth="1"/>
    <col min="13081" max="13081" width="11.5" style="121" customWidth="1"/>
    <col min="13082" max="13082" width="12" style="121" customWidth="1"/>
    <col min="13083" max="13083" width="11.5" style="121" customWidth="1"/>
    <col min="13084" max="13084" width="12" style="121" customWidth="1"/>
    <col min="13085" max="13085" width="11.5" style="121" customWidth="1"/>
    <col min="13086" max="13086" width="12.83203125" style="121" customWidth="1"/>
    <col min="13087" max="13087" width="10.6640625" style="121" customWidth="1"/>
    <col min="13088" max="13088" width="19" style="121" customWidth="1"/>
    <col min="13089" max="13089" width="13.33203125" style="121" customWidth="1"/>
    <col min="13090" max="13090" width="18" style="121" customWidth="1"/>
    <col min="13091" max="13091" width="42.5" style="121" customWidth="1"/>
    <col min="13092" max="13092" width="31" style="121" customWidth="1"/>
    <col min="13093" max="13093" width="35" style="121" customWidth="1"/>
    <col min="13094" max="13094" width="31" style="121" customWidth="1"/>
    <col min="13095" max="13095" width="35" style="121" customWidth="1"/>
    <col min="13096" max="13096" width="31" style="121" customWidth="1"/>
    <col min="13097" max="13097" width="37.83203125" style="121" customWidth="1"/>
    <col min="13098" max="13098" width="11.5" style="121" customWidth="1"/>
    <col min="13099" max="13099" width="54" style="121" customWidth="1"/>
    <col min="13100" max="13100" width="43.5" style="121" customWidth="1"/>
    <col min="13101" max="13101" width="44.6640625" style="121" customWidth="1"/>
    <col min="13102" max="13311" width="6.33203125" style="121"/>
    <col min="13312" max="13313" width="2.1640625" style="121" customWidth="1"/>
    <col min="13314" max="13314" width="0" style="121" hidden="1" customWidth="1"/>
    <col min="13315" max="13317" width="12.83203125" style="121" customWidth="1"/>
    <col min="13318" max="13318" width="12" style="121" customWidth="1"/>
    <col min="13319" max="13319" width="12.33203125" style="121" customWidth="1"/>
    <col min="13320" max="13320" width="13.5" style="121" customWidth="1"/>
    <col min="13321" max="13321" width="0" style="121" hidden="1" customWidth="1"/>
    <col min="13322" max="13324" width="13" style="121" customWidth="1"/>
    <col min="13325" max="13325" width="14.83203125" style="121" customWidth="1"/>
    <col min="13326" max="13326" width="13.33203125" style="121" customWidth="1"/>
    <col min="13327" max="13327" width="13.5" style="121" customWidth="1"/>
    <col min="13328" max="13328" width="2.1640625" style="121" customWidth="1"/>
    <col min="13329" max="13329" width="13.83203125" style="121" customWidth="1"/>
    <col min="13330" max="13330" width="10.6640625" style="121" customWidth="1"/>
    <col min="13331" max="13331" width="12" style="121" customWidth="1"/>
    <col min="13332" max="13332" width="11.5" style="121" customWidth="1"/>
    <col min="13333" max="13333" width="16" style="121" customWidth="1"/>
    <col min="13334" max="13335" width="10.6640625" style="121" customWidth="1"/>
    <col min="13336" max="13336" width="15.5" style="121" customWidth="1"/>
    <col min="13337" max="13337" width="11.5" style="121" customWidth="1"/>
    <col min="13338" max="13338" width="12" style="121" customWidth="1"/>
    <col min="13339" max="13339" width="11.5" style="121" customWidth="1"/>
    <col min="13340" max="13340" width="12" style="121" customWidth="1"/>
    <col min="13341" max="13341" width="11.5" style="121" customWidth="1"/>
    <col min="13342" max="13342" width="12.83203125" style="121" customWidth="1"/>
    <col min="13343" max="13343" width="10.6640625" style="121" customWidth="1"/>
    <col min="13344" max="13344" width="19" style="121" customWidth="1"/>
    <col min="13345" max="13345" width="13.33203125" style="121" customWidth="1"/>
    <col min="13346" max="13346" width="18" style="121" customWidth="1"/>
    <col min="13347" max="13347" width="42.5" style="121" customWidth="1"/>
    <col min="13348" max="13348" width="31" style="121" customWidth="1"/>
    <col min="13349" max="13349" width="35" style="121" customWidth="1"/>
    <col min="13350" max="13350" width="31" style="121" customWidth="1"/>
    <col min="13351" max="13351" width="35" style="121" customWidth="1"/>
    <col min="13352" max="13352" width="31" style="121" customWidth="1"/>
    <col min="13353" max="13353" width="37.83203125" style="121" customWidth="1"/>
    <col min="13354" max="13354" width="11.5" style="121" customWidth="1"/>
    <col min="13355" max="13355" width="54" style="121" customWidth="1"/>
    <col min="13356" max="13356" width="43.5" style="121" customWidth="1"/>
    <col min="13357" max="13357" width="44.6640625" style="121" customWidth="1"/>
    <col min="13358" max="13567" width="6.33203125" style="121"/>
    <col min="13568" max="13569" width="2.1640625" style="121" customWidth="1"/>
    <col min="13570" max="13570" width="0" style="121" hidden="1" customWidth="1"/>
    <col min="13571" max="13573" width="12.83203125" style="121" customWidth="1"/>
    <col min="13574" max="13574" width="12" style="121" customWidth="1"/>
    <col min="13575" max="13575" width="12.33203125" style="121" customWidth="1"/>
    <col min="13576" max="13576" width="13.5" style="121" customWidth="1"/>
    <col min="13577" max="13577" width="0" style="121" hidden="1" customWidth="1"/>
    <col min="13578" max="13580" width="13" style="121" customWidth="1"/>
    <col min="13581" max="13581" width="14.83203125" style="121" customWidth="1"/>
    <col min="13582" max="13582" width="13.33203125" style="121" customWidth="1"/>
    <col min="13583" max="13583" width="13.5" style="121" customWidth="1"/>
    <col min="13584" max="13584" width="2.1640625" style="121" customWidth="1"/>
    <col min="13585" max="13585" width="13.83203125" style="121" customWidth="1"/>
    <col min="13586" max="13586" width="10.6640625" style="121" customWidth="1"/>
    <col min="13587" max="13587" width="12" style="121" customWidth="1"/>
    <col min="13588" max="13588" width="11.5" style="121" customWidth="1"/>
    <col min="13589" max="13589" width="16" style="121" customWidth="1"/>
    <col min="13590" max="13591" width="10.6640625" style="121" customWidth="1"/>
    <col min="13592" max="13592" width="15.5" style="121" customWidth="1"/>
    <col min="13593" max="13593" width="11.5" style="121" customWidth="1"/>
    <col min="13594" max="13594" width="12" style="121" customWidth="1"/>
    <col min="13595" max="13595" width="11.5" style="121" customWidth="1"/>
    <col min="13596" max="13596" width="12" style="121" customWidth="1"/>
    <col min="13597" max="13597" width="11.5" style="121" customWidth="1"/>
    <col min="13598" max="13598" width="12.83203125" style="121" customWidth="1"/>
    <col min="13599" max="13599" width="10.6640625" style="121" customWidth="1"/>
    <col min="13600" max="13600" width="19" style="121" customWidth="1"/>
    <col min="13601" max="13601" width="13.33203125" style="121" customWidth="1"/>
    <col min="13602" max="13602" width="18" style="121" customWidth="1"/>
    <col min="13603" max="13603" width="42.5" style="121" customWidth="1"/>
    <col min="13604" max="13604" width="31" style="121" customWidth="1"/>
    <col min="13605" max="13605" width="35" style="121" customWidth="1"/>
    <col min="13606" max="13606" width="31" style="121" customWidth="1"/>
    <col min="13607" max="13607" width="35" style="121" customWidth="1"/>
    <col min="13608" max="13608" width="31" style="121" customWidth="1"/>
    <col min="13609" max="13609" width="37.83203125" style="121" customWidth="1"/>
    <col min="13610" max="13610" width="11.5" style="121" customWidth="1"/>
    <col min="13611" max="13611" width="54" style="121" customWidth="1"/>
    <col min="13612" max="13612" width="43.5" style="121" customWidth="1"/>
    <col min="13613" max="13613" width="44.6640625" style="121" customWidth="1"/>
    <col min="13614" max="13823" width="6.33203125" style="121"/>
    <col min="13824" max="13825" width="2.1640625" style="121" customWidth="1"/>
    <col min="13826" max="13826" width="0" style="121" hidden="1" customWidth="1"/>
    <col min="13827" max="13829" width="12.83203125" style="121" customWidth="1"/>
    <col min="13830" max="13830" width="12" style="121" customWidth="1"/>
    <col min="13831" max="13831" width="12.33203125" style="121" customWidth="1"/>
    <col min="13832" max="13832" width="13.5" style="121" customWidth="1"/>
    <col min="13833" max="13833" width="0" style="121" hidden="1" customWidth="1"/>
    <col min="13834" max="13836" width="13" style="121" customWidth="1"/>
    <col min="13837" max="13837" width="14.83203125" style="121" customWidth="1"/>
    <col min="13838" max="13838" width="13.33203125" style="121" customWidth="1"/>
    <col min="13839" max="13839" width="13.5" style="121" customWidth="1"/>
    <col min="13840" max="13840" width="2.1640625" style="121" customWidth="1"/>
    <col min="13841" max="13841" width="13.83203125" style="121" customWidth="1"/>
    <col min="13842" max="13842" width="10.6640625" style="121" customWidth="1"/>
    <col min="13843" max="13843" width="12" style="121" customWidth="1"/>
    <col min="13844" max="13844" width="11.5" style="121" customWidth="1"/>
    <col min="13845" max="13845" width="16" style="121" customWidth="1"/>
    <col min="13846" max="13847" width="10.6640625" style="121" customWidth="1"/>
    <col min="13848" max="13848" width="15.5" style="121" customWidth="1"/>
    <col min="13849" max="13849" width="11.5" style="121" customWidth="1"/>
    <col min="13850" max="13850" width="12" style="121" customWidth="1"/>
    <col min="13851" max="13851" width="11.5" style="121" customWidth="1"/>
    <col min="13852" max="13852" width="12" style="121" customWidth="1"/>
    <col min="13853" max="13853" width="11.5" style="121" customWidth="1"/>
    <col min="13854" max="13854" width="12.83203125" style="121" customWidth="1"/>
    <col min="13855" max="13855" width="10.6640625" style="121" customWidth="1"/>
    <col min="13856" max="13856" width="19" style="121" customWidth="1"/>
    <col min="13857" max="13857" width="13.33203125" style="121" customWidth="1"/>
    <col min="13858" max="13858" width="18" style="121" customWidth="1"/>
    <col min="13859" max="13859" width="42.5" style="121" customWidth="1"/>
    <col min="13860" max="13860" width="31" style="121" customWidth="1"/>
    <col min="13861" max="13861" width="35" style="121" customWidth="1"/>
    <col min="13862" max="13862" width="31" style="121" customWidth="1"/>
    <col min="13863" max="13863" width="35" style="121" customWidth="1"/>
    <col min="13864" max="13864" width="31" style="121" customWidth="1"/>
    <col min="13865" max="13865" width="37.83203125" style="121" customWidth="1"/>
    <col min="13866" max="13866" width="11.5" style="121" customWidth="1"/>
    <col min="13867" max="13867" width="54" style="121" customWidth="1"/>
    <col min="13868" max="13868" width="43.5" style="121" customWidth="1"/>
    <col min="13869" max="13869" width="44.6640625" style="121" customWidth="1"/>
    <col min="13870" max="14079" width="6.33203125" style="121"/>
    <col min="14080" max="14081" width="2.1640625" style="121" customWidth="1"/>
    <col min="14082" max="14082" width="0" style="121" hidden="1" customWidth="1"/>
    <col min="14083" max="14085" width="12.83203125" style="121" customWidth="1"/>
    <col min="14086" max="14086" width="12" style="121" customWidth="1"/>
    <col min="14087" max="14087" width="12.33203125" style="121" customWidth="1"/>
    <col min="14088" max="14088" width="13.5" style="121" customWidth="1"/>
    <col min="14089" max="14089" width="0" style="121" hidden="1" customWidth="1"/>
    <col min="14090" max="14092" width="13" style="121" customWidth="1"/>
    <col min="14093" max="14093" width="14.83203125" style="121" customWidth="1"/>
    <col min="14094" max="14094" width="13.33203125" style="121" customWidth="1"/>
    <col min="14095" max="14095" width="13.5" style="121" customWidth="1"/>
    <col min="14096" max="14096" width="2.1640625" style="121" customWidth="1"/>
    <col min="14097" max="14097" width="13.83203125" style="121" customWidth="1"/>
    <col min="14098" max="14098" width="10.6640625" style="121" customWidth="1"/>
    <col min="14099" max="14099" width="12" style="121" customWidth="1"/>
    <col min="14100" max="14100" width="11.5" style="121" customWidth="1"/>
    <col min="14101" max="14101" width="16" style="121" customWidth="1"/>
    <col min="14102" max="14103" width="10.6640625" style="121" customWidth="1"/>
    <col min="14104" max="14104" width="15.5" style="121" customWidth="1"/>
    <col min="14105" max="14105" width="11.5" style="121" customWidth="1"/>
    <col min="14106" max="14106" width="12" style="121" customWidth="1"/>
    <col min="14107" max="14107" width="11.5" style="121" customWidth="1"/>
    <col min="14108" max="14108" width="12" style="121" customWidth="1"/>
    <col min="14109" max="14109" width="11.5" style="121" customWidth="1"/>
    <col min="14110" max="14110" width="12.83203125" style="121" customWidth="1"/>
    <col min="14111" max="14111" width="10.6640625" style="121" customWidth="1"/>
    <col min="14112" max="14112" width="19" style="121" customWidth="1"/>
    <col min="14113" max="14113" width="13.33203125" style="121" customWidth="1"/>
    <col min="14114" max="14114" width="18" style="121" customWidth="1"/>
    <col min="14115" max="14115" width="42.5" style="121" customWidth="1"/>
    <col min="14116" max="14116" width="31" style="121" customWidth="1"/>
    <col min="14117" max="14117" width="35" style="121" customWidth="1"/>
    <col min="14118" max="14118" width="31" style="121" customWidth="1"/>
    <col min="14119" max="14119" width="35" style="121" customWidth="1"/>
    <col min="14120" max="14120" width="31" style="121" customWidth="1"/>
    <col min="14121" max="14121" width="37.83203125" style="121" customWidth="1"/>
    <col min="14122" max="14122" width="11.5" style="121" customWidth="1"/>
    <col min="14123" max="14123" width="54" style="121" customWidth="1"/>
    <col min="14124" max="14124" width="43.5" style="121" customWidth="1"/>
    <col min="14125" max="14125" width="44.6640625" style="121" customWidth="1"/>
    <col min="14126" max="14335" width="6.33203125" style="121"/>
    <col min="14336" max="14337" width="2.1640625" style="121" customWidth="1"/>
    <col min="14338" max="14338" width="0" style="121" hidden="1" customWidth="1"/>
    <col min="14339" max="14341" width="12.83203125" style="121" customWidth="1"/>
    <col min="14342" max="14342" width="12" style="121" customWidth="1"/>
    <col min="14343" max="14343" width="12.33203125" style="121" customWidth="1"/>
    <col min="14344" max="14344" width="13.5" style="121" customWidth="1"/>
    <col min="14345" max="14345" width="0" style="121" hidden="1" customWidth="1"/>
    <col min="14346" max="14348" width="13" style="121" customWidth="1"/>
    <col min="14349" max="14349" width="14.83203125" style="121" customWidth="1"/>
    <col min="14350" max="14350" width="13.33203125" style="121" customWidth="1"/>
    <col min="14351" max="14351" width="13.5" style="121" customWidth="1"/>
    <col min="14352" max="14352" width="2.1640625" style="121" customWidth="1"/>
    <col min="14353" max="14353" width="13.83203125" style="121" customWidth="1"/>
    <col min="14354" max="14354" width="10.6640625" style="121" customWidth="1"/>
    <col min="14355" max="14355" width="12" style="121" customWidth="1"/>
    <col min="14356" max="14356" width="11.5" style="121" customWidth="1"/>
    <col min="14357" max="14357" width="16" style="121" customWidth="1"/>
    <col min="14358" max="14359" width="10.6640625" style="121" customWidth="1"/>
    <col min="14360" max="14360" width="15.5" style="121" customWidth="1"/>
    <col min="14361" max="14361" width="11.5" style="121" customWidth="1"/>
    <col min="14362" max="14362" width="12" style="121" customWidth="1"/>
    <col min="14363" max="14363" width="11.5" style="121" customWidth="1"/>
    <col min="14364" max="14364" width="12" style="121" customWidth="1"/>
    <col min="14365" max="14365" width="11.5" style="121" customWidth="1"/>
    <col min="14366" max="14366" width="12.83203125" style="121" customWidth="1"/>
    <col min="14367" max="14367" width="10.6640625" style="121" customWidth="1"/>
    <col min="14368" max="14368" width="19" style="121" customWidth="1"/>
    <col min="14369" max="14369" width="13.33203125" style="121" customWidth="1"/>
    <col min="14370" max="14370" width="18" style="121" customWidth="1"/>
    <col min="14371" max="14371" width="42.5" style="121" customWidth="1"/>
    <col min="14372" max="14372" width="31" style="121" customWidth="1"/>
    <col min="14373" max="14373" width="35" style="121" customWidth="1"/>
    <col min="14374" max="14374" width="31" style="121" customWidth="1"/>
    <col min="14375" max="14375" width="35" style="121" customWidth="1"/>
    <col min="14376" max="14376" width="31" style="121" customWidth="1"/>
    <col min="14377" max="14377" width="37.83203125" style="121" customWidth="1"/>
    <col min="14378" max="14378" width="11.5" style="121" customWidth="1"/>
    <col min="14379" max="14379" width="54" style="121" customWidth="1"/>
    <col min="14380" max="14380" width="43.5" style="121" customWidth="1"/>
    <col min="14381" max="14381" width="44.6640625" style="121" customWidth="1"/>
    <col min="14382" max="14591" width="6.33203125" style="121"/>
    <col min="14592" max="14593" width="2.1640625" style="121" customWidth="1"/>
    <col min="14594" max="14594" width="0" style="121" hidden="1" customWidth="1"/>
    <col min="14595" max="14597" width="12.83203125" style="121" customWidth="1"/>
    <col min="14598" max="14598" width="12" style="121" customWidth="1"/>
    <col min="14599" max="14599" width="12.33203125" style="121" customWidth="1"/>
    <col min="14600" max="14600" width="13.5" style="121" customWidth="1"/>
    <col min="14601" max="14601" width="0" style="121" hidden="1" customWidth="1"/>
    <col min="14602" max="14604" width="13" style="121" customWidth="1"/>
    <col min="14605" max="14605" width="14.83203125" style="121" customWidth="1"/>
    <col min="14606" max="14606" width="13.33203125" style="121" customWidth="1"/>
    <col min="14607" max="14607" width="13.5" style="121" customWidth="1"/>
    <col min="14608" max="14608" width="2.1640625" style="121" customWidth="1"/>
    <col min="14609" max="14609" width="13.83203125" style="121" customWidth="1"/>
    <col min="14610" max="14610" width="10.6640625" style="121" customWidth="1"/>
    <col min="14611" max="14611" width="12" style="121" customWidth="1"/>
    <col min="14612" max="14612" width="11.5" style="121" customWidth="1"/>
    <col min="14613" max="14613" width="16" style="121" customWidth="1"/>
    <col min="14614" max="14615" width="10.6640625" style="121" customWidth="1"/>
    <col min="14616" max="14616" width="15.5" style="121" customWidth="1"/>
    <col min="14617" max="14617" width="11.5" style="121" customWidth="1"/>
    <col min="14618" max="14618" width="12" style="121" customWidth="1"/>
    <col min="14619" max="14619" width="11.5" style="121" customWidth="1"/>
    <col min="14620" max="14620" width="12" style="121" customWidth="1"/>
    <col min="14621" max="14621" width="11.5" style="121" customWidth="1"/>
    <col min="14622" max="14622" width="12.83203125" style="121" customWidth="1"/>
    <col min="14623" max="14623" width="10.6640625" style="121" customWidth="1"/>
    <col min="14624" max="14624" width="19" style="121" customWidth="1"/>
    <col min="14625" max="14625" width="13.33203125" style="121" customWidth="1"/>
    <col min="14626" max="14626" width="18" style="121" customWidth="1"/>
    <col min="14627" max="14627" width="42.5" style="121" customWidth="1"/>
    <col min="14628" max="14628" width="31" style="121" customWidth="1"/>
    <col min="14629" max="14629" width="35" style="121" customWidth="1"/>
    <col min="14630" max="14630" width="31" style="121" customWidth="1"/>
    <col min="14631" max="14631" width="35" style="121" customWidth="1"/>
    <col min="14632" max="14632" width="31" style="121" customWidth="1"/>
    <col min="14633" max="14633" width="37.83203125" style="121" customWidth="1"/>
    <col min="14634" max="14634" width="11.5" style="121" customWidth="1"/>
    <col min="14635" max="14635" width="54" style="121" customWidth="1"/>
    <col min="14636" max="14636" width="43.5" style="121" customWidth="1"/>
    <col min="14637" max="14637" width="44.6640625" style="121" customWidth="1"/>
    <col min="14638" max="14847" width="6.33203125" style="121"/>
    <col min="14848" max="14849" width="2.1640625" style="121" customWidth="1"/>
    <col min="14850" max="14850" width="0" style="121" hidden="1" customWidth="1"/>
    <col min="14851" max="14853" width="12.83203125" style="121" customWidth="1"/>
    <col min="14854" max="14854" width="12" style="121" customWidth="1"/>
    <col min="14855" max="14855" width="12.33203125" style="121" customWidth="1"/>
    <col min="14856" max="14856" width="13.5" style="121" customWidth="1"/>
    <col min="14857" max="14857" width="0" style="121" hidden="1" customWidth="1"/>
    <col min="14858" max="14860" width="13" style="121" customWidth="1"/>
    <col min="14861" max="14861" width="14.83203125" style="121" customWidth="1"/>
    <col min="14862" max="14862" width="13.33203125" style="121" customWidth="1"/>
    <col min="14863" max="14863" width="13.5" style="121" customWidth="1"/>
    <col min="14864" max="14864" width="2.1640625" style="121" customWidth="1"/>
    <col min="14865" max="14865" width="13.83203125" style="121" customWidth="1"/>
    <col min="14866" max="14866" width="10.6640625" style="121" customWidth="1"/>
    <col min="14867" max="14867" width="12" style="121" customWidth="1"/>
    <col min="14868" max="14868" width="11.5" style="121" customWidth="1"/>
    <col min="14869" max="14869" width="16" style="121" customWidth="1"/>
    <col min="14870" max="14871" width="10.6640625" style="121" customWidth="1"/>
    <col min="14872" max="14872" width="15.5" style="121" customWidth="1"/>
    <col min="14873" max="14873" width="11.5" style="121" customWidth="1"/>
    <col min="14874" max="14874" width="12" style="121" customWidth="1"/>
    <col min="14875" max="14875" width="11.5" style="121" customWidth="1"/>
    <col min="14876" max="14876" width="12" style="121" customWidth="1"/>
    <col min="14877" max="14877" width="11.5" style="121" customWidth="1"/>
    <col min="14878" max="14878" width="12.83203125" style="121" customWidth="1"/>
    <col min="14879" max="14879" width="10.6640625" style="121" customWidth="1"/>
    <col min="14880" max="14880" width="19" style="121" customWidth="1"/>
    <col min="14881" max="14881" width="13.33203125" style="121" customWidth="1"/>
    <col min="14882" max="14882" width="18" style="121" customWidth="1"/>
    <col min="14883" max="14883" width="42.5" style="121" customWidth="1"/>
    <col min="14884" max="14884" width="31" style="121" customWidth="1"/>
    <col min="14885" max="14885" width="35" style="121" customWidth="1"/>
    <col min="14886" max="14886" width="31" style="121" customWidth="1"/>
    <col min="14887" max="14887" width="35" style="121" customWidth="1"/>
    <col min="14888" max="14888" width="31" style="121" customWidth="1"/>
    <col min="14889" max="14889" width="37.83203125" style="121" customWidth="1"/>
    <col min="14890" max="14890" width="11.5" style="121" customWidth="1"/>
    <col min="14891" max="14891" width="54" style="121" customWidth="1"/>
    <col min="14892" max="14892" width="43.5" style="121" customWidth="1"/>
    <col min="14893" max="14893" width="44.6640625" style="121" customWidth="1"/>
    <col min="14894" max="15103" width="6.33203125" style="121"/>
    <col min="15104" max="15105" width="2.1640625" style="121" customWidth="1"/>
    <col min="15106" max="15106" width="0" style="121" hidden="1" customWidth="1"/>
    <col min="15107" max="15109" width="12.83203125" style="121" customWidth="1"/>
    <col min="15110" max="15110" width="12" style="121" customWidth="1"/>
    <col min="15111" max="15111" width="12.33203125" style="121" customWidth="1"/>
    <col min="15112" max="15112" width="13.5" style="121" customWidth="1"/>
    <col min="15113" max="15113" width="0" style="121" hidden="1" customWidth="1"/>
    <col min="15114" max="15116" width="13" style="121" customWidth="1"/>
    <col min="15117" max="15117" width="14.83203125" style="121" customWidth="1"/>
    <col min="15118" max="15118" width="13.33203125" style="121" customWidth="1"/>
    <col min="15119" max="15119" width="13.5" style="121" customWidth="1"/>
    <col min="15120" max="15120" width="2.1640625" style="121" customWidth="1"/>
    <col min="15121" max="15121" width="13.83203125" style="121" customWidth="1"/>
    <col min="15122" max="15122" width="10.6640625" style="121" customWidth="1"/>
    <col min="15123" max="15123" width="12" style="121" customWidth="1"/>
    <col min="15124" max="15124" width="11.5" style="121" customWidth="1"/>
    <col min="15125" max="15125" width="16" style="121" customWidth="1"/>
    <col min="15126" max="15127" width="10.6640625" style="121" customWidth="1"/>
    <col min="15128" max="15128" width="15.5" style="121" customWidth="1"/>
    <col min="15129" max="15129" width="11.5" style="121" customWidth="1"/>
    <col min="15130" max="15130" width="12" style="121" customWidth="1"/>
    <col min="15131" max="15131" width="11.5" style="121" customWidth="1"/>
    <col min="15132" max="15132" width="12" style="121" customWidth="1"/>
    <col min="15133" max="15133" width="11.5" style="121" customWidth="1"/>
    <col min="15134" max="15134" width="12.83203125" style="121" customWidth="1"/>
    <col min="15135" max="15135" width="10.6640625" style="121" customWidth="1"/>
    <col min="15136" max="15136" width="19" style="121" customWidth="1"/>
    <col min="15137" max="15137" width="13.33203125" style="121" customWidth="1"/>
    <col min="15138" max="15138" width="18" style="121" customWidth="1"/>
    <col min="15139" max="15139" width="42.5" style="121" customWidth="1"/>
    <col min="15140" max="15140" width="31" style="121" customWidth="1"/>
    <col min="15141" max="15141" width="35" style="121" customWidth="1"/>
    <col min="15142" max="15142" width="31" style="121" customWidth="1"/>
    <col min="15143" max="15143" width="35" style="121" customWidth="1"/>
    <col min="15144" max="15144" width="31" style="121" customWidth="1"/>
    <col min="15145" max="15145" width="37.83203125" style="121" customWidth="1"/>
    <col min="15146" max="15146" width="11.5" style="121" customWidth="1"/>
    <col min="15147" max="15147" width="54" style="121" customWidth="1"/>
    <col min="15148" max="15148" width="43.5" style="121" customWidth="1"/>
    <col min="15149" max="15149" width="44.6640625" style="121" customWidth="1"/>
    <col min="15150" max="15359" width="6.33203125" style="121"/>
    <col min="15360" max="15361" width="2.1640625" style="121" customWidth="1"/>
    <col min="15362" max="15362" width="0" style="121" hidden="1" customWidth="1"/>
    <col min="15363" max="15365" width="12.83203125" style="121" customWidth="1"/>
    <col min="15366" max="15366" width="12" style="121" customWidth="1"/>
    <col min="15367" max="15367" width="12.33203125" style="121" customWidth="1"/>
    <col min="15368" max="15368" width="13.5" style="121" customWidth="1"/>
    <col min="15369" max="15369" width="0" style="121" hidden="1" customWidth="1"/>
    <col min="15370" max="15372" width="13" style="121" customWidth="1"/>
    <col min="15373" max="15373" width="14.83203125" style="121" customWidth="1"/>
    <col min="15374" max="15374" width="13.33203125" style="121" customWidth="1"/>
    <col min="15375" max="15375" width="13.5" style="121" customWidth="1"/>
    <col min="15376" max="15376" width="2.1640625" style="121" customWidth="1"/>
    <col min="15377" max="15377" width="13.83203125" style="121" customWidth="1"/>
    <col min="15378" max="15378" width="10.6640625" style="121" customWidth="1"/>
    <col min="15379" max="15379" width="12" style="121" customWidth="1"/>
    <col min="15380" max="15380" width="11.5" style="121" customWidth="1"/>
    <col min="15381" max="15381" width="16" style="121" customWidth="1"/>
    <col min="15382" max="15383" width="10.6640625" style="121" customWidth="1"/>
    <col min="15384" max="15384" width="15.5" style="121" customWidth="1"/>
    <col min="15385" max="15385" width="11.5" style="121" customWidth="1"/>
    <col min="15386" max="15386" width="12" style="121" customWidth="1"/>
    <col min="15387" max="15387" width="11.5" style="121" customWidth="1"/>
    <col min="15388" max="15388" width="12" style="121" customWidth="1"/>
    <col min="15389" max="15389" width="11.5" style="121" customWidth="1"/>
    <col min="15390" max="15390" width="12.83203125" style="121" customWidth="1"/>
    <col min="15391" max="15391" width="10.6640625" style="121" customWidth="1"/>
    <col min="15392" max="15392" width="19" style="121" customWidth="1"/>
    <col min="15393" max="15393" width="13.33203125" style="121" customWidth="1"/>
    <col min="15394" max="15394" width="18" style="121" customWidth="1"/>
    <col min="15395" max="15395" width="42.5" style="121" customWidth="1"/>
    <col min="15396" max="15396" width="31" style="121" customWidth="1"/>
    <col min="15397" max="15397" width="35" style="121" customWidth="1"/>
    <col min="15398" max="15398" width="31" style="121" customWidth="1"/>
    <col min="15399" max="15399" width="35" style="121" customWidth="1"/>
    <col min="15400" max="15400" width="31" style="121" customWidth="1"/>
    <col min="15401" max="15401" width="37.83203125" style="121" customWidth="1"/>
    <col min="15402" max="15402" width="11.5" style="121" customWidth="1"/>
    <col min="15403" max="15403" width="54" style="121" customWidth="1"/>
    <col min="15404" max="15404" width="43.5" style="121" customWidth="1"/>
    <col min="15405" max="15405" width="44.6640625" style="121" customWidth="1"/>
    <col min="15406" max="15615" width="6.33203125" style="121"/>
    <col min="15616" max="15617" width="2.1640625" style="121" customWidth="1"/>
    <col min="15618" max="15618" width="0" style="121" hidden="1" customWidth="1"/>
    <col min="15619" max="15621" width="12.83203125" style="121" customWidth="1"/>
    <col min="15622" max="15622" width="12" style="121" customWidth="1"/>
    <col min="15623" max="15623" width="12.33203125" style="121" customWidth="1"/>
    <col min="15624" max="15624" width="13.5" style="121" customWidth="1"/>
    <col min="15625" max="15625" width="0" style="121" hidden="1" customWidth="1"/>
    <col min="15626" max="15628" width="13" style="121" customWidth="1"/>
    <col min="15629" max="15629" width="14.83203125" style="121" customWidth="1"/>
    <col min="15630" max="15630" width="13.33203125" style="121" customWidth="1"/>
    <col min="15631" max="15631" width="13.5" style="121" customWidth="1"/>
    <col min="15632" max="15632" width="2.1640625" style="121" customWidth="1"/>
    <col min="15633" max="15633" width="13.83203125" style="121" customWidth="1"/>
    <col min="15634" max="15634" width="10.6640625" style="121" customWidth="1"/>
    <col min="15635" max="15635" width="12" style="121" customWidth="1"/>
    <col min="15636" max="15636" width="11.5" style="121" customWidth="1"/>
    <col min="15637" max="15637" width="16" style="121" customWidth="1"/>
    <col min="15638" max="15639" width="10.6640625" style="121" customWidth="1"/>
    <col min="15640" max="15640" width="15.5" style="121" customWidth="1"/>
    <col min="15641" max="15641" width="11.5" style="121" customWidth="1"/>
    <col min="15642" max="15642" width="12" style="121" customWidth="1"/>
    <col min="15643" max="15643" width="11.5" style="121" customWidth="1"/>
    <col min="15644" max="15644" width="12" style="121" customWidth="1"/>
    <col min="15645" max="15645" width="11.5" style="121" customWidth="1"/>
    <col min="15646" max="15646" width="12.83203125" style="121" customWidth="1"/>
    <col min="15647" max="15647" width="10.6640625" style="121" customWidth="1"/>
    <col min="15648" max="15648" width="19" style="121" customWidth="1"/>
    <col min="15649" max="15649" width="13.33203125" style="121" customWidth="1"/>
    <col min="15650" max="15650" width="18" style="121" customWidth="1"/>
    <col min="15651" max="15651" width="42.5" style="121" customWidth="1"/>
    <col min="15652" max="15652" width="31" style="121" customWidth="1"/>
    <col min="15653" max="15653" width="35" style="121" customWidth="1"/>
    <col min="15654" max="15654" width="31" style="121" customWidth="1"/>
    <col min="15655" max="15655" width="35" style="121" customWidth="1"/>
    <col min="15656" max="15656" width="31" style="121" customWidth="1"/>
    <col min="15657" max="15657" width="37.83203125" style="121" customWidth="1"/>
    <col min="15658" max="15658" width="11.5" style="121" customWidth="1"/>
    <col min="15659" max="15659" width="54" style="121" customWidth="1"/>
    <col min="15660" max="15660" width="43.5" style="121" customWidth="1"/>
    <col min="15661" max="15661" width="44.6640625" style="121" customWidth="1"/>
    <col min="15662" max="15871" width="6.33203125" style="121"/>
    <col min="15872" max="15873" width="2.1640625" style="121" customWidth="1"/>
    <col min="15874" max="15874" width="0" style="121" hidden="1" customWidth="1"/>
    <col min="15875" max="15877" width="12.83203125" style="121" customWidth="1"/>
    <col min="15878" max="15878" width="12" style="121" customWidth="1"/>
    <col min="15879" max="15879" width="12.33203125" style="121" customWidth="1"/>
    <col min="15880" max="15880" width="13.5" style="121" customWidth="1"/>
    <col min="15881" max="15881" width="0" style="121" hidden="1" customWidth="1"/>
    <col min="15882" max="15884" width="13" style="121" customWidth="1"/>
    <col min="15885" max="15885" width="14.83203125" style="121" customWidth="1"/>
    <col min="15886" max="15886" width="13.33203125" style="121" customWidth="1"/>
    <col min="15887" max="15887" width="13.5" style="121" customWidth="1"/>
    <col min="15888" max="15888" width="2.1640625" style="121" customWidth="1"/>
    <col min="15889" max="15889" width="13.83203125" style="121" customWidth="1"/>
    <col min="15890" max="15890" width="10.6640625" style="121" customWidth="1"/>
    <col min="15891" max="15891" width="12" style="121" customWidth="1"/>
    <col min="15892" max="15892" width="11.5" style="121" customWidth="1"/>
    <col min="15893" max="15893" width="16" style="121" customWidth="1"/>
    <col min="15894" max="15895" width="10.6640625" style="121" customWidth="1"/>
    <col min="15896" max="15896" width="15.5" style="121" customWidth="1"/>
    <col min="15897" max="15897" width="11.5" style="121" customWidth="1"/>
    <col min="15898" max="15898" width="12" style="121" customWidth="1"/>
    <col min="15899" max="15899" width="11.5" style="121" customWidth="1"/>
    <col min="15900" max="15900" width="12" style="121" customWidth="1"/>
    <col min="15901" max="15901" width="11.5" style="121" customWidth="1"/>
    <col min="15902" max="15902" width="12.83203125" style="121" customWidth="1"/>
    <col min="15903" max="15903" width="10.6640625" style="121" customWidth="1"/>
    <col min="15904" max="15904" width="19" style="121" customWidth="1"/>
    <col min="15905" max="15905" width="13.33203125" style="121" customWidth="1"/>
    <col min="15906" max="15906" width="18" style="121" customWidth="1"/>
    <col min="15907" max="15907" width="42.5" style="121" customWidth="1"/>
    <col min="15908" max="15908" width="31" style="121" customWidth="1"/>
    <col min="15909" max="15909" width="35" style="121" customWidth="1"/>
    <col min="15910" max="15910" width="31" style="121" customWidth="1"/>
    <col min="15911" max="15911" width="35" style="121" customWidth="1"/>
    <col min="15912" max="15912" width="31" style="121" customWidth="1"/>
    <col min="15913" max="15913" width="37.83203125" style="121" customWidth="1"/>
    <col min="15914" max="15914" width="11.5" style="121" customWidth="1"/>
    <col min="15915" max="15915" width="54" style="121" customWidth="1"/>
    <col min="15916" max="15916" width="43.5" style="121" customWidth="1"/>
    <col min="15917" max="15917" width="44.6640625" style="121" customWidth="1"/>
    <col min="15918" max="16127" width="6.33203125" style="121"/>
    <col min="16128" max="16129" width="2.1640625" style="121" customWidth="1"/>
    <col min="16130" max="16130" width="0" style="121" hidden="1" customWidth="1"/>
    <col min="16131" max="16133" width="12.83203125" style="121" customWidth="1"/>
    <col min="16134" max="16134" width="12" style="121" customWidth="1"/>
    <col min="16135" max="16135" width="12.33203125" style="121" customWidth="1"/>
    <col min="16136" max="16136" width="13.5" style="121" customWidth="1"/>
    <col min="16137" max="16137" width="0" style="121" hidden="1" customWidth="1"/>
    <col min="16138" max="16140" width="13" style="121" customWidth="1"/>
    <col min="16141" max="16141" width="14.83203125" style="121" customWidth="1"/>
    <col min="16142" max="16142" width="13.33203125" style="121" customWidth="1"/>
    <col min="16143" max="16143" width="13.5" style="121" customWidth="1"/>
    <col min="16144" max="16144" width="2.1640625" style="121" customWidth="1"/>
    <col min="16145" max="16145" width="13.83203125" style="121" customWidth="1"/>
    <col min="16146" max="16146" width="10.6640625" style="121" customWidth="1"/>
    <col min="16147" max="16147" width="12" style="121" customWidth="1"/>
    <col min="16148" max="16148" width="11.5" style="121" customWidth="1"/>
    <col min="16149" max="16149" width="16" style="121" customWidth="1"/>
    <col min="16150" max="16151" width="10.6640625" style="121" customWidth="1"/>
    <col min="16152" max="16152" width="15.5" style="121" customWidth="1"/>
    <col min="16153" max="16153" width="11.5" style="121" customWidth="1"/>
    <col min="16154" max="16154" width="12" style="121" customWidth="1"/>
    <col min="16155" max="16155" width="11.5" style="121" customWidth="1"/>
    <col min="16156" max="16156" width="12" style="121" customWidth="1"/>
    <col min="16157" max="16157" width="11.5" style="121" customWidth="1"/>
    <col min="16158" max="16158" width="12.83203125" style="121" customWidth="1"/>
    <col min="16159" max="16159" width="10.6640625" style="121" customWidth="1"/>
    <col min="16160" max="16160" width="19" style="121" customWidth="1"/>
    <col min="16161" max="16161" width="13.33203125" style="121" customWidth="1"/>
    <col min="16162" max="16162" width="18" style="121" customWidth="1"/>
    <col min="16163" max="16163" width="42.5" style="121" customWidth="1"/>
    <col min="16164" max="16164" width="31" style="121" customWidth="1"/>
    <col min="16165" max="16165" width="35" style="121" customWidth="1"/>
    <col min="16166" max="16166" width="31" style="121" customWidth="1"/>
    <col min="16167" max="16167" width="35" style="121" customWidth="1"/>
    <col min="16168" max="16168" width="31" style="121" customWidth="1"/>
    <col min="16169" max="16169" width="37.83203125" style="121" customWidth="1"/>
    <col min="16170" max="16170" width="11.5" style="121" customWidth="1"/>
    <col min="16171" max="16171" width="54" style="121" customWidth="1"/>
    <col min="16172" max="16172" width="43.5" style="121" customWidth="1"/>
    <col min="16173" max="16173" width="44.6640625" style="121" customWidth="1"/>
    <col min="16174" max="16384" width="6.33203125" style="121"/>
  </cols>
  <sheetData>
    <row r="1" spans="2:18" ht="15" customHeight="1" thickBot="1">
      <c r="B1" s="300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8"/>
      <c r="O1" s="298"/>
      <c r="P1" s="297"/>
    </row>
    <row r="2" spans="2:18" ht="15" customHeight="1">
      <c r="B2" s="296"/>
      <c r="C2" s="293"/>
      <c r="D2" s="324"/>
      <c r="E2" s="325"/>
      <c r="F2" s="330" t="s">
        <v>211</v>
      </c>
      <c r="G2" s="330"/>
      <c r="H2" s="330"/>
      <c r="I2" s="330"/>
      <c r="J2" s="330"/>
      <c r="K2" s="330"/>
      <c r="L2" s="330"/>
      <c r="M2" s="330"/>
      <c r="N2" s="330"/>
      <c r="O2" s="331"/>
      <c r="P2" s="211"/>
    </row>
    <row r="3" spans="2:18" ht="15" customHeight="1">
      <c r="B3" s="296"/>
      <c r="C3" s="293"/>
      <c r="D3" s="326"/>
      <c r="E3" s="327"/>
      <c r="F3" s="332"/>
      <c r="G3" s="332"/>
      <c r="H3" s="332"/>
      <c r="I3" s="332"/>
      <c r="J3" s="332"/>
      <c r="K3" s="332"/>
      <c r="L3" s="332"/>
      <c r="M3" s="332"/>
      <c r="N3" s="332"/>
      <c r="O3" s="333"/>
      <c r="P3" s="211"/>
    </row>
    <row r="4" spans="2:18" ht="15" customHeight="1">
      <c r="B4" s="296"/>
      <c r="C4" s="293"/>
      <c r="D4" s="326"/>
      <c r="E4" s="327"/>
      <c r="F4" s="332" t="s">
        <v>210</v>
      </c>
      <c r="G4" s="332"/>
      <c r="H4" s="332"/>
      <c r="I4" s="332"/>
      <c r="J4" s="332"/>
      <c r="K4" s="332"/>
      <c r="L4" s="332" t="s">
        <v>209</v>
      </c>
      <c r="M4" s="332"/>
      <c r="N4" s="335">
        <v>44865</v>
      </c>
      <c r="O4" s="336"/>
      <c r="P4" s="211"/>
    </row>
    <row r="5" spans="2:18" ht="15" customHeight="1" thickBot="1">
      <c r="B5" s="296"/>
      <c r="C5" s="293"/>
      <c r="D5" s="328"/>
      <c r="E5" s="329"/>
      <c r="F5" s="334"/>
      <c r="G5" s="334"/>
      <c r="H5" s="334"/>
      <c r="I5" s="334"/>
      <c r="J5" s="334"/>
      <c r="K5" s="334"/>
      <c r="L5" s="334"/>
      <c r="M5" s="334"/>
      <c r="N5" s="337"/>
      <c r="O5" s="338"/>
      <c r="P5" s="211"/>
    </row>
    <row r="6" spans="2:18" ht="14.25" customHeight="1" thickBot="1">
      <c r="B6" s="296"/>
      <c r="C6" s="293"/>
      <c r="D6" s="295"/>
      <c r="E6" s="295"/>
      <c r="F6" s="295"/>
      <c r="G6" s="295"/>
      <c r="H6" s="295"/>
      <c r="I6" s="295"/>
      <c r="J6" s="295"/>
      <c r="K6" s="295"/>
      <c r="L6" s="294"/>
      <c r="M6" s="293"/>
      <c r="P6" s="211"/>
    </row>
    <row r="7" spans="2:18" ht="15" customHeight="1">
      <c r="B7" s="217"/>
      <c r="C7" s="237"/>
      <c r="D7" s="348"/>
      <c r="E7" s="349"/>
      <c r="F7" s="349"/>
      <c r="G7" s="292" t="s">
        <v>208</v>
      </c>
      <c r="H7" s="292" t="s">
        <v>207</v>
      </c>
      <c r="I7" s="291" t="s">
        <v>206</v>
      </c>
      <c r="J7" s="352"/>
      <c r="K7" s="353"/>
      <c r="L7" s="353"/>
      <c r="M7" s="292" t="s">
        <v>208</v>
      </c>
      <c r="N7" s="292" t="s">
        <v>207</v>
      </c>
      <c r="O7" s="291" t="s">
        <v>206</v>
      </c>
      <c r="P7" s="211"/>
    </row>
    <row r="8" spans="2:18" ht="15" customHeight="1" thickBot="1">
      <c r="B8" s="217"/>
      <c r="C8" s="237"/>
      <c r="D8" s="350"/>
      <c r="E8" s="351"/>
      <c r="F8" s="351"/>
      <c r="G8" s="290" t="s">
        <v>34</v>
      </c>
      <c r="H8" s="290" t="s">
        <v>189</v>
      </c>
      <c r="I8" s="289" t="s">
        <v>10</v>
      </c>
      <c r="J8" s="354"/>
      <c r="K8" s="355"/>
      <c r="L8" s="355"/>
      <c r="M8" s="290" t="s">
        <v>34</v>
      </c>
      <c r="N8" s="290" t="s">
        <v>189</v>
      </c>
      <c r="O8" s="289" t="s">
        <v>10</v>
      </c>
      <c r="P8" s="211"/>
    </row>
    <row r="9" spans="2:18" ht="15" customHeight="1" thickBot="1">
      <c r="B9" s="217"/>
      <c r="C9" s="237"/>
      <c r="D9" s="356" t="s">
        <v>71</v>
      </c>
      <c r="E9" s="357"/>
      <c r="F9" s="357"/>
      <c r="G9" s="357"/>
      <c r="H9" s="357"/>
      <c r="I9" s="358"/>
      <c r="J9" s="359" t="s">
        <v>205</v>
      </c>
      <c r="K9" s="360"/>
      <c r="L9" s="360"/>
      <c r="M9" s="360"/>
      <c r="N9" s="360"/>
      <c r="O9" s="361"/>
      <c r="P9" s="211"/>
    </row>
    <row r="10" spans="2:18" ht="15" customHeight="1">
      <c r="B10" s="217"/>
      <c r="C10" s="237" t="s">
        <v>204</v>
      </c>
      <c r="D10" s="339" t="s">
        <v>203</v>
      </c>
      <c r="E10" s="340"/>
      <c r="F10" s="341"/>
      <c r="G10" s="278">
        <f>+Diagrama!K93*(1-'[2]Nuevo Ingreso Dat Plantas'!E50)</f>
        <v>251924.39968302281</v>
      </c>
      <c r="H10" s="277">
        <f>+Diagrama!I20</f>
        <v>0.6</v>
      </c>
      <c r="I10" s="271">
        <f>H10*G10</f>
        <v>151154.63980981367</v>
      </c>
      <c r="J10" s="362" t="s">
        <v>193</v>
      </c>
      <c r="K10" s="363"/>
      <c r="L10" s="364"/>
      <c r="M10" s="288">
        <f>+Diagrama!J88*(1-'[2]Nuevo Ingreso Dat Plantas'!E68)</f>
        <v>77258.404447124485</v>
      </c>
      <c r="N10" s="287">
        <f>+Diagrama!G54</f>
        <v>0.68479999999999996</v>
      </c>
      <c r="O10" s="271">
        <f>N10*M10</f>
        <v>52906.555365390843</v>
      </c>
      <c r="P10" s="211"/>
    </row>
    <row r="11" spans="2:18" ht="15" customHeight="1">
      <c r="B11" s="217"/>
      <c r="C11" s="237"/>
      <c r="D11" s="339" t="s">
        <v>202</v>
      </c>
      <c r="E11" s="340"/>
      <c r="F11" s="341"/>
      <c r="G11" s="250">
        <v>0</v>
      </c>
      <c r="H11" s="249">
        <v>0</v>
      </c>
      <c r="I11" s="271">
        <f>H11*G11</f>
        <v>0</v>
      </c>
      <c r="J11" s="339" t="s">
        <v>192</v>
      </c>
      <c r="K11" s="340"/>
      <c r="L11" s="341"/>
      <c r="M11" s="278">
        <f>+Diagrama!J86*(1-'[2]Nuevo Ingreso Dat Plantas'!E75)</f>
        <v>107666.20877499999</v>
      </c>
      <c r="N11" s="277">
        <f>++Diagrama!R63</f>
        <v>0.65410000000000001</v>
      </c>
      <c r="O11" s="271">
        <f>N11*M11</f>
        <v>70424.467159727501</v>
      </c>
      <c r="P11" s="211"/>
    </row>
    <row r="12" spans="2:18" ht="15" customHeight="1">
      <c r="B12" s="217"/>
      <c r="C12" s="237"/>
      <c r="D12" s="339" t="s">
        <v>201</v>
      </c>
      <c r="E12" s="340"/>
      <c r="F12" s="341"/>
      <c r="G12" s="250">
        <v>0</v>
      </c>
      <c r="H12" s="249">
        <v>0</v>
      </c>
      <c r="I12" s="271">
        <v>0</v>
      </c>
      <c r="J12" s="339" t="s">
        <v>191</v>
      </c>
      <c r="K12" s="340"/>
      <c r="L12" s="341"/>
      <c r="M12" s="278">
        <f>+Diagrama!J87*(1-'[2]Nuevo Ingreso Dat Plantas'!E73)</f>
        <v>4290.939593385574</v>
      </c>
      <c r="N12" s="277">
        <f>+Diagrama!N59</f>
        <v>0.65410000000000001</v>
      </c>
      <c r="O12" s="271">
        <f>N12*M12</f>
        <v>2806.7035880335038</v>
      </c>
      <c r="P12" s="211"/>
    </row>
    <row r="13" spans="2:18" ht="15" customHeight="1" thickBot="1">
      <c r="B13" s="217"/>
      <c r="C13" s="237"/>
      <c r="D13" s="342" t="s">
        <v>200</v>
      </c>
      <c r="E13" s="343"/>
      <c r="F13" s="344"/>
      <c r="G13" s="250">
        <v>0</v>
      </c>
      <c r="H13" s="249">
        <v>0</v>
      </c>
      <c r="I13" s="271">
        <v>0</v>
      </c>
      <c r="J13" s="286" t="s">
        <v>199</v>
      </c>
      <c r="K13" s="285"/>
      <c r="L13" s="284"/>
      <c r="M13" s="283">
        <f>+Diagrama!J94*(1-'[2]Nuevo Ingreso Dat Plantas'!E51)</f>
        <v>11385.993469763169</v>
      </c>
      <c r="N13" s="277">
        <f>+Diagrama!O10</f>
        <v>0.62939999999999996</v>
      </c>
      <c r="O13" s="271">
        <f>N13*M13</f>
        <v>7166.3442898689382</v>
      </c>
      <c r="P13" s="211"/>
      <c r="R13" s="281"/>
    </row>
    <row r="14" spans="2:18" ht="15" customHeight="1" thickBot="1">
      <c r="B14" s="217"/>
      <c r="C14" s="237" t="s">
        <v>198</v>
      </c>
      <c r="D14" s="345" t="s">
        <v>179</v>
      </c>
      <c r="E14" s="346"/>
      <c r="F14" s="346"/>
      <c r="G14" s="269">
        <f>SUM(G10:G13)</f>
        <v>251924.39968302281</v>
      </c>
      <c r="H14" s="270">
        <f>H10</f>
        <v>0.6</v>
      </c>
      <c r="I14" s="269">
        <f>I10</f>
        <v>151154.63980981367</v>
      </c>
      <c r="J14" s="347" t="s">
        <v>179</v>
      </c>
      <c r="K14" s="346"/>
      <c r="L14" s="346"/>
      <c r="M14" s="269">
        <f>SUM(M10:M13)</f>
        <v>200601.54628527322</v>
      </c>
      <c r="N14" s="270">
        <f>SUMPRODUCT(M10:M13,N10:N13)/M14</f>
        <v>0.66452164936680269</v>
      </c>
      <c r="O14" s="269">
        <f>N14*M14</f>
        <v>133304.07040302077</v>
      </c>
      <c r="P14" s="211"/>
      <c r="Q14" s="282"/>
      <c r="R14" s="281"/>
    </row>
    <row r="15" spans="2:18" ht="15" customHeight="1" thickBot="1">
      <c r="B15" s="217"/>
      <c r="C15" s="237"/>
      <c r="D15" s="356" t="s">
        <v>197</v>
      </c>
      <c r="E15" s="357"/>
      <c r="F15" s="357"/>
      <c r="G15" s="357"/>
      <c r="H15" s="357"/>
      <c r="I15" s="358"/>
      <c r="J15" s="367" t="s">
        <v>196</v>
      </c>
      <c r="K15" s="367"/>
      <c r="L15" s="367"/>
      <c r="M15" s="367"/>
      <c r="N15" s="367"/>
      <c r="O15" s="369"/>
      <c r="P15" s="211"/>
    </row>
    <row r="16" spans="2:18" ht="15" customHeight="1" thickBot="1">
      <c r="B16" s="217"/>
      <c r="C16" s="237"/>
      <c r="D16" s="339" t="s">
        <v>195</v>
      </c>
      <c r="E16" s="340"/>
      <c r="F16" s="341"/>
      <c r="G16" s="250"/>
      <c r="H16" s="249">
        <f>+Diagrama!U18</f>
        <v>0</v>
      </c>
      <c r="I16" s="271">
        <f>H16*G16</f>
        <v>0</v>
      </c>
      <c r="J16" s="280" t="s">
        <v>194</v>
      </c>
      <c r="K16" s="280"/>
      <c r="L16" s="279"/>
      <c r="M16" s="278">
        <f>+Diagrama!J92</f>
        <v>43011</v>
      </c>
      <c r="N16" s="277">
        <f>+Diagrama!F32</f>
        <v>9.9900000000000003E-2</v>
      </c>
      <c r="O16" s="271">
        <f>N16*M16</f>
        <v>4296.7988999999998</v>
      </c>
      <c r="P16" s="211"/>
      <c r="Q16" s="273"/>
    </row>
    <row r="17" spans="2:19" ht="15" customHeight="1" thickBot="1">
      <c r="B17" s="217"/>
      <c r="C17" s="237"/>
      <c r="D17" s="339" t="s">
        <v>193</v>
      </c>
      <c r="E17" s="340"/>
      <c r="F17" s="341"/>
      <c r="G17" s="250"/>
      <c r="H17" s="249">
        <f>+Diagrama!U69</f>
        <v>0</v>
      </c>
      <c r="I17" s="271">
        <f>H17*G17</f>
        <v>0</v>
      </c>
      <c r="J17" s="347" t="s">
        <v>179</v>
      </c>
      <c r="K17" s="346"/>
      <c r="L17" s="346"/>
      <c r="M17" s="236">
        <f>M16</f>
        <v>43011</v>
      </c>
      <c r="N17" s="276">
        <f>N16</f>
        <v>9.9900000000000003E-2</v>
      </c>
      <c r="O17" s="232">
        <f>N17*M17</f>
        <v>4296.7988999999998</v>
      </c>
      <c r="P17" s="211"/>
      <c r="Q17" s="273"/>
    </row>
    <row r="18" spans="2:19" ht="15" customHeight="1">
      <c r="B18" s="217"/>
      <c r="C18" s="237"/>
      <c r="D18" s="339" t="s">
        <v>192</v>
      </c>
      <c r="E18" s="340"/>
      <c r="F18" s="341"/>
      <c r="G18" s="250"/>
      <c r="H18" s="249">
        <f>+Diagrama!T63</f>
        <v>0</v>
      </c>
      <c r="I18" s="271">
        <f>H18*G18</f>
        <v>0</v>
      </c>
      <c r="M18" s="275"/>
      <c r="N18" s="274"/>
      <c r="O18" s="274"/>
      <c r="P18" s="211"/>
      <c r="Q18" s="273"/>
    </row>
    <row r="19" spans="2:19" ht="15" customHeight="1">
      <c r="B19" s="217"/>
      <c r="C19" s="237"/>
      <c r="D19" s="339" t="s">
        <v>98</v>
      </c>
      <c r="E19" s="340"/>
      <c r="F19" s="341"/>
      <c r="G19" s="250"/>
      <c r="H19" s="249">
        <f>+Diagrama!T40</f>
        <v>0</v>
      </c>
      <c r="I19" s="271">
        <f>H19*G19</f>
        <v>0</v>
      </c>
      <c r="J19" s="377"/>
      <c r="K19" s="377"/>
      <c r="L19" s="377"/>
      <c r="M19" s="272"/>
      <c r="N19" s="239"/>
      <c r="O19" s="238"/>
      <c r="P19" s="211"/>
    </row>
    <row r="20" spans="2:19" ht="15" customHeight="1" thickBot="1">
      <c r="B20" s="217"/>
      <c r="C20" s="237"/>
      <c r="D20" s="339" t="s">
        <v>191</v>
      </c>
      <c r="E20" s="340"/>
      <c r="F20" s="341"/>
      <c r="G20" s="250"/>
      <c r="H20" s="249">
        <f>+Diagrama!T49</f>
        <v>0</v>
      </c>
      <c r="I20" s="271">
        <f>H20*G20</f>
        <v>0</v>
      </c>
      <c r="J20" s="365"/>
      <c r="K20" s="365"/>
      <c r="L20" s="365"/>
      <c r="M20" s="267"/>
      <c r="N20" s="230"/>
      <c r="O20" s="229"/>
      <c r="P20" s="211"/>
    </row>
    <row r="21" spans="2:19" ht="15" customHeight="1" thickBot="1">
      <c r="B21" s="217"/>
      <c r="C21" s="237"/>
      <c r="D21" s="345" t="s">
        <v>179</v>
      </c>
      <c r="E21" s="346"/>
      <c r="F21" s="346"/>
      <c r="G21" s="269">
        <f>SUM(G16:G20)</f>
        <v>0</v>
      </c>
      <c r="H21" s="270" t="e">
        <f>SUMPRODUCT(G16:G20,H16:H20)/G21</f>
        <v>#DIV/0!</v>
      </c>
      <c r="I21" s="269">
        <f>SUM(I16:I20)</f>
        <v>0</v>
      </c>
      <c r="J21" s="365"/>
      <c r="K21" s="365"/>
      <c r="L21" s="365"/>
      <c r="M21" s="267"/>
      <c r="N21" s="230"/>
      <c r="O21" s="229"/>
      <c r="P21" s="211"/>
    </row>
    <row r="22" spans="2:19" ht="15" customHeight="1" thickBot="1">
      <c r="B22" s="217"/>
      <c r="C22" s="237"/>
      <c r="D22" s="268"/>
      <c r="E22" s="268"/>
      <c r="F22" s="268"/>
      <c r="G22" s="268"/>
      <c r="H22" s="268"/>
      <c r="I22" s="268"/>
      <c r="J22" s="268"/>
      <c r="K22" s="268"/>
      <c r="L22" s="268"/>
      <c r="M22" s="267"/>
      <c r="N22" s="230"/>
      <c r="O22" s="229"/>
      <c r="P22" s="211"/>
    </row>
    <row r="23" spans="2:19" ht="15" hidden="1" customHeight="1" thickBot="1">
      <c r="B23" s="217"/>
      <c r="C23" s="237"/>
      <c r="D23" s="366" t="s">
        <v>190</v>
      </c>
      <c r="E23" s="367"/>
      <c r="F23" s="368"/>
      <c r="G23" s="266" t="s">
        <v>34</v>
      </c>
      <c r="H23" s="266" t="s">
        <v>189</v>
      </c>
      <c r="I23" s="265" t="s">
        <v>10</v>
      </c>
      <c r="J23" s="264" t="s">
        <v>188</v>
      </c>
      <c r="K23" s="263" t="s">
        <v>187</v>
      </c>
      <c r="L23" s="231"/>
      <c r="M23" s="262"/>
      <c r="N23" s="231"/>
      <c r="O23" s="231"/>
      <c r="P23" s="261"/>
    </row>
    <row r="24" spans="2:19" ht="15" hidden="1" customHeight="1">
      <c r="B24" s="217"/>
      <c r="C24" s="237"/>
      <c r="D24" s="374" t="s">
        <v>186</v>
      </c>
      <c r="E24" s="375"/>
      <c r="F24" s="376"/>
      <c r="G24" s="260"/>
      <c r="H24" s="259"/>
      <c r="I24" s="258"/>
      <c r="J24" s="243"/>
      <c r="K24" s="257"/>
      <c r="L24" s="241"/>
      <c r="M24" s="240">
        <v>0.76</v>
      </c>
      <c r="N24" s="239"/>
      <c r="O24" s="238"/>
      <c r="P24" s="211"/>
      <c r="S24" s="228"/>
    </row>
    <row r="25" spans="2:19" ht="15" hidden="1" customHeight="1">
      <c r="B25" s="217"/>
      <c r="C25" s="237"/>
      <c r="D25" s="384" t="s">
        <v>185</v>
      </c>
      <c r="E25" s="385"/>
      <c r="F25" s="386"/>
      <c r="G25" s="250"/>
      <c r="H25" s="249"/>
      <c r="I25" s="248"/>
      <c r="J25" s="243"/>
      <c r="K25" s="247"/>
      <c r="L25" s="241"/>
      <c r="M25" s="240">
        <v>8.68</v>
      </c>
      <c r="N25" s="239"/>
      <c r="O25" s="238"/>
      <c r="P25" s="211"/>
      <c r="S25" s="228"/>
    </row>
    <row r="26" spans="2:19" ht="15" hidden="1" customHeight="1">
      <c r="B26" s="217"/>
      <c r="C26" s="237"/>
      <c r="D26" s="384" t="s">
        <v>184</v>
      </c>
      <c r="E26" s="385"/>
      <c r="F26" s="386"/>
      <c r="G26" s="250"/>
      <c r="H26" s="249"/>
      <c r="I26" s="248"/>
      <c r="J26" s="243"/>
      <c r="K26" s="247"/>
      <c r="L26" s="241"/>
      <c r="M26" s="240">
        <v>0.76</v>
      </c>
      <c r="N26" s="239"/>
      <c r="O26" s="238"/>
      <c r="P26" s="211"/>
      <c r="S26" s="228"/>
    </row>
    <row r="27" spans="2:19" ht="15" hidden="1" customHeight="1">
      <c r="B27" s="217"/>
      <c r="C27" s="237"/>
      <c r="D27" s="384" t="s">
        <v>183</v>
      </c>
      <c r="E27" s="385"/>
      <c r="F27" s="386"/>
      <c r="G27" s="250"/>
      <c r="H27" s="249"/>
      <c r="I27" s="248"/>
      <c r="J27" s="243"/>
      <c r="K27" s="247"/>
      <c r="L27" s="241"/>
      <c r="M27" s="240">
        <v>8.39</v>
      </c>
      <c r="N27" s="239"/>
      <c r="O27" s="238"/>
      <c r="P27" s="211"/>
      <c r="S27" s="228"/>
    </row>
    <row r="28" spans="2:19" ht="15" hidden="1" customHeight="1">
      <c r="B28" s="217"/>
      <c r="C28" s="237"/>
      <c r="D28" s="256" t="s">
        <v>182</v>
      </c>
      <c r="E28" s="255"/>
      <c r="F28" s="254"/>
      <c r="G28" s="250"/>
      <c r="H28" s="249"/>
      <c r="I28" s="253"/>
      <c r="J28" s="252"/>
      <c r="K28" s="251"/>
      <c r="L28" s="241"/>
      <c r="M28" s="240"/>
      <c r="N28" s="239"/>
      <c r="O28" s="238"/>
      <c r="P28" s="211"/>
      <c r="S28" s="228"/>
    </row>
    <row r="29" spans="2:19" ht="15" hidden="1" customHeight="1">
      <c r="B29" s="217"/>
      <c r="C29" s="237"/>
      <c r="D29" s="339" t="s">
        <v>181</v>
      </c>
      <c r="E29" s="340"/>
      <c r="F29" s="341"/>
      <c r="G29" s="250"/>
      <c r="H29" s="249"/>
      <c r="I29" s="248"/>
      <c r="J29" s="243"/>
      <c r="K29" s="247"/>
      <c r="L29" s="241"/>
      <c r="M29" s="240">
        <v>0.05</v>
      </c>
      <c r="N29" s="239"/>
      <c r="O29" s="238"/>
      <c r="P29" s="211"/>
      <c r="S29" s="228"/>
    </row>
    <row r="30" spans="2:19" ht="15" hidden="1" customHeight="1" thickBot="1">
      <c r="B30" s="217"/>
      <c r="C30" s="237"/>
      <c r="D30" s="387" t="s">
        <v>180</v>
      </c>
      <c r="E30" s="388"/>
      <c r="F30" s="389"/>
      <c r="G30" s="246"/>
      <c r="H30" s="245"/>
      <c r="I30" s="244"/>
      <c r="J30" s="243"/>
      <c r="K30" s="242"/>
      <c r="L30" s="241"/>
      <c r="M30" s="240">
        <v>0.05</v>
      </c>
      <c r="N30" s="239"/>
      <c r="O30" s="238"/>
      <c r="P30" s="211"/>
      <c r="S30" s="228"/>
    </row>
    <row r="31" spans="2:19" ht="15" hidden="1" customHeight="1" thickBot="1">
      <c r="B31" s="217"/>
      <c r="C31" s="237"/>
      <c r="D31" s="390" t="s">
        <v>179</v>
      </c>
      <c r="E31" s="391"/>
      <c r="F31" s="391"/>
      <c r="G31" s="236">
        <v>0</v>
      </c>
      <c r="H31" s="235" t="e">
        <v>#DIV/0!</v>
      </c>
      <c r="I31" s="234">
        <v>0</v>
      </c>
      <c r="J31" s="233">
        <v>0</v>
      </c>
      <c r="K31" s="232">
        <v>0</v>
      </c>
      <c r="L31" s="231"/>
      <c r="M31" s="229"/>
      <c r="N31" s="230"/>
      <c r="O31" s="229"/>
      <c r="P31" s="211"/>
      <c r="S31" s="228"/>
    </row>
    <row r="32" spans="2:19" ht="15" hidden="1" customHeight="1" thickBot="1">
      <c r="B32" s="217"/>
      <c r="D32" s="227"/>
      <c r="H32" s="224"/>
      <c r="I32" s="226"/>
      <c r="J32" s="224"/>
      <c r="K32" s="225"/>
      <c r="L32" s="224"/>
      <c r="N32" s="223"/>
      <c r="P32" s="211"/>
    </row>
    <row r="33" spans="2:16" ht="15" customHeight="1" thickBot="1">
      <c r="B33" s="217"/>
      <c r="D33" s="392" t="s">
        <v>178</v>
      </c>
      <c r="E33" s="393"/>
      <c r="F33" s="393"/>
      <c r="G33" s="393"/>
      <c r="H33" s="393"/>
      <c r="I33" s="393"/>
      <c r="J33" s="393"/>
      <c r="K33" s="393"/>
      <c r="L33" s="393"/>
      <c r="M33" s="393"/>
      <c r="N33" s="393"/>
      <c r="O33" s="394"/>
      <c r="P33" s="211"/>
    </row>
    <row r="34" spans="2:16" ht="15" customHeight="1" thickBot="1">
      <c r="B34" s="217"/>
      <c r="P34" s="211"/>
    </row>
    <row r="35" spans="2:16" ht="15" customHeight="1" thickBot="1">
      <c r="B35" s="217"/>
      <c r="D35" s="371" t="s">
        <v>177</v>
      </c>
      <c r="E35" s="372"/>
      <c r="F35" s="373"/>
      <c r="G35" s="370"/>
      <c r="H35" s="370"/>
      <c r="J35" s="371" t="s">
        <v>176</v>
      </c>
      <c r="K35" s="372"/>
      <c r="L35" s="373"/>
      <c r="M35" s="370"/>
      <c r="N35" s="370"/>
      <c r="P35" s="211"/>
    </row>
    <row r="36" spans="2:16" ht="15" customHeight="1">
      <c r="B36" s="217"/>
      <c r="D36" s="378">
        <f>+Diagrama!J91/100</f>
        <v>0.82434808049810337</v>
      </c>
      <c r="E36" s="379"/>
      <c r="F36" s="380"/>
      <c r="G36" s="222"/>
      <c r="H36" s="221"/>
      <c r="J36" s="378">
        <f>D36*N14/H14</f>
        <v>0.91299524350826244</v>
      </c>
      <c r="K36" s="379"/>
      <c r="L36" s="380"/>
      <c r="M36" s="221"/>
      <c r="N36" s="221"/>
      <c r="P36" s="211"/>
    </row>
    <row r="37" spans="2:16" ht="15" customHeight="1" thickBot="1">
      <c r="B37" s="217"/>
      <c r="D37" s="381"/>
      <c r="E37" s="382"/>
      <c r="F37" s="383"/>
      <c r="G37" s="220"/>
      <c r="H37" s="218"/>
      <c r="J37" s="381"/>
      <c r="K37" s="382"/>
      <c r="L37" s="383"/>
      <c r="M37" s="219"/>
      <c r="N37" s="218"/>
      <c r="P37" s="211"/>
    </row>
    <row r="38" spans="2:16" ht="15" customHeight="1">
      <c r="B38" s="217"/>
      <c r="D38" s="214"/>
      <c r="E38" s="214"/>
      <c r="F38" s="214"/>
      <c r="G38" s="216"/>
      <c r="H38" s="215"/>
      <c r="J38" s="214"/>
      <c r="K38" s="214"/>
      <c r="L38" s="214"/>
      <c r="M38" s="213"/>
      <c r="N38" s="212"/>
      <c r="P38" s="211"/>
    </row>
    <row r="39" spans="2:16" ht="14.25" customHeight="1" thickBot="1">
      <c r="B39" s="210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8"/>
    </row>
    <row r="41" spans="2:16" ht="15" customHeight="1">
      <c r="H41" s="207"/>
    </row>
  </sheetData>
  <mergeCells count="45">
    <mergeCell ref="D36:F37"/>
    <mergeCell ref="J36:L37"/>
    <mergeCell ref="D25:F25"/>
    <mergeCell ref="D26:F26"/>
    <mergeCell ref="D27:F27"/>
    <mergeCell ref="D29:F29"/>
    <mergeCell ref="D30:F30"/>
    <mergeCell ref="D31:F31"/>
    <mergeCell ref="D33:O33"/>
    <mergeCell ref="D35:F35"/>
    <mergeCell ref="D23:F23"/>
    <mergeCell ref="D15:I15"/>
    <mergeCell ref="J15:O15"/>
    <mergeCell ref="G35:H35"/>
    <mergeCell ref="J35:L35"/>
    <mergeCell ref="M35:N35"/>
    <mergeCell ref="D24:F24"/>
    <mergeCell ref="D16:F16"/>
    <mergeCell ref="D17:F17"/>
    <mergeCell ref="J17:L17"/>
    <mergeCell ref="D18:F18"/>
    <mergeCell ref="D19:F19"/>
    <mergeCell ref="J19:L19"/>
    <mergeCell ref="D11:F11"/>
    <mergeCell ref="J11:L11"/>
    <mergeCell ref="D20:F20"/>
    <mergeCell ref="J20:L20"/>
    <mergeCell ref="D21:F21"/>
    <mergeCell ref="J21:L21"/>
    <mergeCell ref="D7:F8"/>
    <mergeCell ref="J7:L8"/>
    <mergeCell ref="D9:I9"/>
    <mergeCell ref="J9:O9"/>
    <mergeCell ref="D10:F10"/>
    <mergeCell ref="J10:L10"/>
    <mergeCell ref="D12:F12"/>
    <mergeCell ref="J12:L12"/>
    <mergeCell ref="D13:F13"/>
    <mergeCell ref="D14:F14"/>
    <mergeCell ref="J14:L14"/>
    <mergeCell ref="D2:E5"/>
    <mergeCell ref="F2:O3"/>
    <mergeCell ref="F4:K5"/>
    <mergeCell ref="L4:M5"/>
    <mergeCell ref="N4:O5"/>
  </mergeCells>
  <printOptions horizontalCentered="1"/>
  <pageMargins left="0.25" right="0.25" top="0.75" bottom="0.75" header="0.3" footer="0.3"/>
  <pageSetup scale="83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J100" zoomScale="90" zoomScaleNormal="90" workbookViewId="0">
      <selection activeCell="P109" sqref="P109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94">
        <v>261455.17020557521</v>
      </c>
      <c r="B1" s="195">
        <v>0.58909999999999996</v>
      </c>
      <c r="C1" s="196">
        <v>0</v>
      </c>
      <c r="D1" s="194">
        <f t="shared" ref="D1:D32" si="0">A1*B1</f>
        <v>154023.24076810436</v>
      </c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7"/>
      <c r="S1" s="197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94">
        <v>11473.344999999999</v>
      </c>
      <c r="B2" s="195">
        <v>0.62939999999999996</v>
      </c>
      <c r="C2" s="196">
        <v>0</v>
      </c>
      <c r="D2" s="194">
        <f t="shared" si="0"/>
        <v>7221.3233429999991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7"/>
      <c r="S2" s="197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94">
        <v>249981.82520557521</v>
      </c>
      <c r="B3" s="195">
        <v>0.58720000000000006</v>
      </c>
      <c r="C3" s="196">
        <v>0</v>
      </c>
      <c r="D3" s="194">
        <f t="shared" si="0"/>
        <v>146789.32776071379</v>
      </c>
      <c r="E3" s="198"/>
      <c r="F3" s="198"/>
      <c r="G3" s="198"/>
      <c r="H3" s="198"/>
      <c r="I3" s="198"/>
      <c r="J3" s="198"/>
      <c r="K3" s="199"/>
      <c r="L3" s="199"/>
      <c r="M3" s="199"/>
      <c r="N3" s="199"/>
      <c r="O3" s="199"/>
      <c r="P3" s="199"/>
      <c r="Q3" s="199"/>
      <c r="R3" s="200"/>
      <c r="S3" s="200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</row>
    <row r="4" spans="1:99" s="2" customFormat="1" ht="83" customHeight="1">
      <c r="A4" s="194">
        <v>-4116.7369201152997</v>
      </c>
      <c r="B4" s="195">
        <v>0.6</v>
      </c>
      <c r="C4" s="196">
        <v>6.2619431891058099E-3</v>
      </c>
      <c r="D4" s="194">
        <f t="shared" si="0"/>
        <v>-2470.0421520691798</v>
      </c>
      <c r="E4" s="198"/>
      <c r="F4" s="198"/>
      <c r="G4" s="198"/>
      <c r="H4" s="198"/>
      <c r="I4" s="194"/>
      <c r="J4" s="194"/>
      <c r="K4" s="194"/>
      <c r="L4" s="194"/>
      <c r="M4" s="194"/>
      <c r="N4" s="194"/>
      <c r="O4" s="194"/>
      <c r="P4" s="194"/>
      <c r="Q4" s="194"/>
      <c r="R4" s="201"/>
      <c r="S4" s="20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53"/>
      <c r="AK4" s="154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3"/>
      <c r="CU4" s="153"/>
    </row>
    <row r="5" spans="1:99">
      <c r="A5" s="194">
        <v>254098.5621256904</v>
      </c>
      <c r="B5" s="195">
        <v>0.6</v>
      </c>
      <c r="C5" s="196">
        <v>1</v>
      </c>
      <c r="D5" s="194">
        <f t="shared" si="0"/>
        <v>152459.13727541422</v>
      </c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201"/>
      <c r="S5" s="20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94">
        <v>693.98717870610005</v>
      </c>
      <c r="B6" s="195">
        <v>0.6</v>
      </c>
      <c r="C6" s="196">
        <v>0</v>
      </c>
      <c r="D6" s="194">
        <f t="shared" si="0"/>
        <v>416.39230722366</v>
      </c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201"/>
      <c r="S6" s="20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94">
        <v>253404.5749469843</v>
      </c>
      <c r="B7" s="195">
        <v>0.6</v>
      </c>
      <c r="C7" s="196">
        <v>1</v>
      </c>
      <c r="D7" s="194">
        <f t="shared" si="0"/>
        <v>152042.74496819059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201"/>
      <c r="S7" s="20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94">
        <v>1500</v>
      </c>
      <c r="B8" s="195">
        <v>0.6</v>
      </c>
      <c r="C8" s="196">
        <v>0</v>
      </c>
      <c r="D8" s="194">
        <f t="shared" si="0"/>
        <v>900</v>
      </c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201"/>
      <c r="S8" s="20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94">
        <v>43011</v>
      </c>
      <c r="B9" s="195">
        <v>9.9900000000000003E-2</v>
      </c>
      <c r="C9" s="196">
        <v>0</v>
      </c>
      <c r="D9" s="194">
        <f t="shared" si="0"/>
        <v>4296.7988999999998</v>
      </c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201"/>
      <c r="S9" s="20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94">
        <v>208893.5749469843</v>
      </c>
      <c r="B10" s="195">
        <v>0.68630000000000002</v>
      </c>
      <c r="C10" s="196">
        <v>1</v>
      </c>
      <c r="D10" s="194">
        <f t="shared" si="0"/>
        <v>143363.66048611532</v>
      </c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201"/>
      <c r="S10" s="20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94">
        <v>-870</v>
      </c>
      <c r="B11" s="195">
        <v>0.68469999999999998</v>
      </c>
      <c r="C11" s="196">
        <v>9.8899999999999995E-3</v>
      </c>
      <c r="D11" s="194">
        <f t="shared" si="0"/>
        <v>-595.68899999999996</v>
      </c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201"/>
      <c r="S11" s="20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94">
        <v>0</v>
      </c>
      <c r="B12" s="195">
        <v>0</v>
      </c>
      <c r="C12" s="196">
        <v>0</v>
      </c>
      <c r="D12" s="194">
        <f t="shared" si="0"/>
        <v>0</v>
      </c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201"/>
      <c r="S12" s="20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94">
        <v>209763.5749469843</v>
      </c>
      <c r="B13" s="195">
        <v>0.68479999999999996</v>
      </c>
      <c r="C13" s="196">
        <v>1</v>
      </c>
      <c r="D13" s="194">
        <f t="shared" si="0"/>
        <v>143646.09612369485</v>
      </c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201"/>
      <c r="S13" s="20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94">
        <v>84629.508799999996</v>
      </c>
      <c r="B14" s="195">
        <v>0.68479999999999996</v>
      </c>
      <c r="C14" s="196">
        <v>1</v>
      </c>
      <c r="D14" s="194">
        <f t="shared" si="0"/>
        <v>57954.287626239995</v>
      </c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201"/>
      <c r="S14" s="20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94">
        <v>125134.0661469843</v>
      </c>
      <c r="B15" s="195">
        <v>0.68479999999999996</v>
      </c>
      <c r="C15" s="196">
        <v>1</v>
      </c>
      <c r="D15" s="194">
        <f t="shared" si="0"/>
        <v>85691.80849745484</v>
      </c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201"/>
      <c r="S15" s="20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94">
        <v>0</v>
      </c>
      <c r="B16" s="195">
        <v>0</v>
      </c>
      <c r="C16" s="196">
        <v>0</v>
      </c>
      <c r="D16" s="194">
        <f t="shared" si="0"/>
        <v>0</v>
      </c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201"/>
      <c r="S16" s="20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94">
        <v>1151.136</v>
      </c>
      <c r="B17" s="195">
        <v>0.68479999999999996</v>
      </c>
      <c r="C17" s="196">
        <v>1</v>
      </c>
      <c r="D17" s="194">
        <f t="shared" si="0"/>
        <v>788.2979327999999</v>
      </c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201"/>
      <c r="S17" s="20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94">
        <v>0</v>
      </c>
      <c r="B18" s="195">
        <v>0</v>
      </c>
      <c r="C18" s="196">
        <v>0</v>
      </c>
      <c r="D18" s="194">
        <f t="shared" si="0"/>
        <v>0</v>
      </c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201"/>
      <c r="S18" s="20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94">
        <v>0</v>
      </c>
      <c r="B19" s="195">
        <v>0</v>
      </c>
      <c r="C19" s="196">
        <v>0</v>
      </c>
      <c r="D19" s="194">
        <f t="shared" si="0"/>
        <v>0</v>
      </c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201"/>
      <c r="S19" s="20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94">
        <v>1151.136</v>
      </c>
      <c r="B20" s="195">
        <v>0.68469999999999998</v>
      </c>
      <c r="C20" s="196">
        <v>0</v>
      </c>
      <c r="D20" s="194">
        <f t="shared" si="0"/>
        <v>788.18281919999993</v>
      </c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201"/>
      <c r="S20" s="20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94">
        <v>83478.372799999997</v>
      </c>
      <c r="B21" s="195">
        <v>0.68469999999999998</v>
      </c>
      <c r="C21" s="196">
        <v>0</v>
      </c>
      <c r="D21" s="194">
        <f t="shared" si="0"/>
        <v>57157.641856159993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201"/>
      <c r="S21" s="20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94">
        <v>87216.858032629694</v>
      </c>
      <c r="B22" s="195">
        <v>0.68469999999999998</v>
      </c>
      <c r="C22" s="196">
        <v>0</v>
      </c>
      <c r="D22" s="194">
        <f t="shared" si="0"/>
        <v>59717.382694941552</v>
      </c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201"/>
      <c r="S22" s="20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94">
        <v>0</v>
      </c>
      <c r="B23" s="195">
        <v>0</v>
      </c>
      <c r="C23" s="196">
        <v>0</v>
      </c>
      <c r="D23" s="194">
        <f t="shared" si="0"/>
        <v>0</v>
      </c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201"/>
      <c r="S23" s="20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94">
        <v>7011</v>
      </c>
      <c r="B24" s="195">
        <v>0</v>
      </c>
      <c r="C24" s="196">
        <v>0</v>
      </c>
      <c r="D24" s="194">
        <f t="shared" si="0"/>
        <v>0</v>
      </c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201"/>
      <c r="S24" s="20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94">
        <v>132145.06614698429</v>
      </c>
      <c r="B25" s="195">
        <v>0.64849999999999997</v>
      </c>
      <c r="C25" s="196">
        <v>1</v>
      </c>
      <c r="D25" s="194">
        <f t="shared" si="0"/>
        <v>85696.075396319313</v>
      </c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201"/>
      <c r="S25" s="20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94">
        <v>11983.055953228601</v>
      </c>
      <c r="B26" s="195">
        <v>0.64359999999999995</v>
      </c>
      <c r="C26" s="196">
        <v>1</v>
      </c>
      <c r="D26" s="194">
        <f t="shared" si="0"/>
        <v>7712.2948114979272</v>
      </c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201"/>
      <c r="S26" s="20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94">
        <v>13097.735953228599</v>
      </c>
      <c r="B27" s="195">
        <v>0</v>
      </c>
      <c r="C27" s="196">
        <v>1</v>
      </c>
      <c r="D27" s="194">
        <f t="shared" si="0"/>
        <v>0</v>
      </c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201"/>
      <c r="S27" s="20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94">
        <v>1189.3055953229</v>
      </c>
      <c r="B28" s="195">
        <v>0.64359999999999995</v>
      </c>
      <c r="C28" s="196">
        <v>1</v>
      </c>
      <c r="D28" s="194">
        <f t="shared" si="0"/>
        <v>765.43708114981837</v>
      </c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201"/>
      <c r="S28" s="20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94">
        <v>1189.3055953229</v>
      </c>
      <c r="B29" s="195">
        <v>0.65410000000000001</v>
      </c>
      <c r="C29" s="196">
        <v>0</v>
      </c>
      <c r="D29" s="194">
        <f t="shared" si="0"/>
        <v>777.9247899007089</v>
      </c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201"/>
      <c r="S29" s="20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94">
        <v>1000</v>
      </c>
      <c r="B30" s="195">
        <v>0</v>
      </c>
      <c r="C30" s="196">
        <v>0</v>
      </c>
      <c r="D30" s="194">
        <f t="shared" si="0"/>
        <v>0</v>
      </c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202"/>
      <c r="S30" s="202"/>
      <c r="T30" s="162"/>
      <c r="U30" s="162"/>
      <c r="V30" s="162"/>
      <c r="W30" s="162"/>
      <c r="X30" s="162"/>
      <c r="Y30" s="162"/>
      <c r="Z30" s="162"/>
      <c r="AA30" s="161"/>
      <c r="AB30" s="162"/>
      <c r="AC30" s="161"/>
      <c r="AD30" s="161"/>
      <c r="AE30" s="162"/>
      <c r="AF30" s="162"/>
      <c r="AG30" s="162"/>
      <c r="AH30" s="162"/>
      <c r="AI30" s="162"/>
      <c r="AJ30" s="162"/>
      <c r="AK30" s="163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94">
        <v>3287.8954015671002</v>
      </c>
      <c r="B31" s="195">
        <v>0.64359999999999995</v>
      </c>
      <c r="C31" s="196">
        <v>0</v>
      </c>
      <c r="D31" s="194">
        <f t="shared" si="0"/>
        <v>2116.0894804485856</v>
      </c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201"/>
      <c r="S31" s="201"/>
      <c r="T31" s="161"/>
      <c r="U31" s="162"/>
      <c r="V31" s="162"/>
      <c r="W31" s="162"/>
      <c r="X31" s="162"/>
      <c r="Y31" s="162"/>
      <c r="Z31" s="162"/>
      <c r="AA31" s="161"/>
      <c r="AB31" s="162"/>
      <c r="AC31" s="161"/>
      <c r="AD31" s="161"/>
      <c r="AE31" s="162"/>
      <c r="AF31" s="162"/>
      <c r="AG31" s="162"/>
      <c r="AH31" s="162"/>
      <c r="AI31" s="162"/>
      <c r="AJ31" s="162"/>
      <c r="AK31" s="163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94">
        <v>123260.6</v>
      </c>
      <c r="B32" s="195">
        <v>0.65410000000000001</v>
      </c>
      <c r="C32" s="196">
        <v>0</v>
      </c>
      <c r="D32" s="194">
        <f t="shared" si="0"/>
        <v>80624.758460000012</v>
      </c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201"/>
      <c r="S32" s="201"/>
      <c r="T32" s="161"/>
      <c r="U32" s="161"/>
      <c r="V32" s="161"/>
      <c r="W32" s="161"/>
      <c r="X32" s="161"/>
      <c r="Y32" s="162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2"/>
      <c r="AK32" s="163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94">
        <v>0</v>
      </c>
      <c r="B33" s="195">
        <v>0</v>
      </c>
      <c r="C33" s="196">
        <v>0</v>
      </c>
      <c r="D33" s="194">
        <f t="shared" ref="D33:D60" si="1">A33*B33</f>
        <v>0</v>
      </c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202"/>
      <c r="S33" s="202"/>
      <c r="T33" s="162"/>
      <c r="U33" s="162"/>
      <c r="V33" s="162"/>
      <c r="W33" s="162"/>
      <c r="X33" s="162"/>
      <c r="Y33" s="162"/>
      <c r="Z33" s="161"/>
      <c r="AA33" s="161"/>
      <c r="AB33" s="162"/>
      <c r="AC33" s="161"/>
      <c r="AD33" s="161"/>
      <c r="AE33" s="162"/>
      <c r="AF33" s="162"/>
      <c r="AG33" s="162"/>
      <c r="AH33" s="162"/>
      <c r="AI33" s="162"/>
      <c r="AJ33" s="162"/>
      <c r="AK33" s="163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94">
        <v>-3287.8954015671002</v>
      </c>
      <c r="B34" s="195">
        <v>0</v>
      </c>
      <c r="C34" s="196">
        <v>0</v>
      </c>
      <c r="D34" s="194">
        <f t="shared" si="1"/>
        <v>0</v>
      </c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202"/>
      <c r="S34" s="202"/>
      <c r="T34" s="162"/>
      <c r="U34" s="162"/>
      <c r="V34" s="162"/>
      <c r="W34" s="162"/>
      <c r="X34" s="162"/>
      <c r="Y34" s="162"/>
      <c r="Z34" s="161"/>
      <c r="AA34" s="161"/>
      <c r="AB34" s="162"/>
      <c r="AC34" s="161"/>
      <c r="AD34" s="161"/>
      <c r="AE34" s="162"/>
      <c r="AF34" s="162"/>
      <c r="AG34" s="162"/>
      <c r="AH34" s="162"/>
      <c r="AI34" s="162"/>
      <c r="AJ34" s="162"/>
      <c r="AK34" s="163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94">
        <v>4312.5021039050998</v>
      </c>
      <c r="B35" s="195">
        <v>0.65410000000000001</v>
      </c>
      <c r="C35" s="196">
        <v>0</v>
      </c>
      <c r="D35" s="194">
        <f t="shared" si="1"/>
        <v>2820.8076261643259</v>
      </c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202"/>
      <c r="S35" s="202"/>
      <c r="T35" s="162"/>
      <c r="U35" s="162"/>
      <c r="V35" s="162"/>
      <c r="W35" s="162"/>
      <c r="X35" s="162"/>
      <c r="Y35" s="162"/>
      <c r="Z35" s="161"/>
      <c r="AA35" s="161"/>
      <c r="AB35" s="162"/>
      <c r="AC35" s="161"/>
      <c r="AD35" s="161"/>
      <c r="AE35" s="162"/>
      <c r="AF35" s="162"/>
      <c r="AG35" s="162"/>
      <c r="AH35" s="162"/>
      <c r="AI35" s="162"/>
      <c r="AJ35" s="162"/>
      <c r="AK35" s="163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94">
        <v>-6548.9178960949002</v>
      </c>
      <c r="B36" s="195">
        <v>0</v>
      </c>
      <c r="C36" s="196">
        <v>0</v>
      </c>
      <c r="D36" s="194">
        <f t="shared" si="1"/>
        <v>0</v>
      </c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202"/>
      <c r="S36" s="202"/>
      <c r="T36" s="162"/>
      <c r="U36" s="162"/>
      <c r="V36" s="162"/>
      <c r="W36" s="162"/>
      <c r="X36" s="162"/>
      <c r="Y36" s="162"/>
      <c r="Z36" s="162"/>
      <c r="AA36" s="162"/>
      <c r="AB36" s="162"/>
      <c r="AC36" s="161"/>
      <c r="AD36" s="161"/>
      <c r="AE36" s="162"/>
      <c r="AF36" s="162"/>
      <c r="AG36" s="162"/>
      <c r="AH36" s="162"/>
      <c r="AI36" s="162"/>
      <c r="AJ36" s="162"/>
      <c r="AK36" s="163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94">
        <v>108207.245</v>
      </c>
      <c r="B37" s="195">
        <v>0.65410000000000001</v>
      </c>
      <c r="C37" s="196">
        <v>0</v>
      </c>
      <c r="D37" s="194">
        <f t="shared" si="1"/>
        <v>70778.3589545</v>
      </c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202"/>
      <c r="S37" s="202"/>
      <c r="T37" s="162"/>
      <c r="U37" s="162"/>
      <c r="V37" s="162"/>
      <c r="W37" s="162"/>
      <c r="X37" s="162"/>
      <c r="Y37" s="162"/>
      <c r="Z37" s="162"/>
      <c r="AA37" s="162"/>
      <c r="AB37" s="162"/>
      <c r="AC37" s="161"/>
      <c r="AD37" s="161"/>
      <c r="AE37" s="162"/>
      <c r="AF37" s="162"/>
      <c r="AG37" s="162"/>
      <c r="AH37" s="162"/>
      <c r="AI37" s="162"/>
      <c r="AJ37" s="162"/>
      <c r="AK37" s="163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94">
        <v>117765.29459999999</v>
      </c>
      <c r="B38" s="195">
        <v>0.65539999999999998</v>
      </c>
      <c r="C38" s="196">
        <v>0</v>
      </c>
      <c r="D38" s="194">
        <f t="shared" si="1"/>
        <v>77183.374080839989</v>
      </c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201"/>
      <c r="S38" s="20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2"/>
      <c r="AK38" s="163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94">
        <v>0</v>
      </c>
      <c r="B39" s="195">
        <v>0</v>
      </c>
      <c r="C39" s="196">
        <v>0</v>
      </c>
      <c r="D39" s="194">
        <f t="shared" si="1"/>
        <v>0</v>
      </c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201"/>
      <c r="S39" s="201"/>
      <c r="T39" s="161"/>
      <c r="U39" s="161"/>
      <c r="V39" s="161"/>
      <c r="W39" s="161"/>
      <c r="X39" s="161"/>
      <c r="Y39" s="161"/>
      <c r="Z39" s="162"/>
      <c r="AA39" s="161"/>
      <c r="AB39" s="161"/>
      <c r="AC39" s="161"/>
      <c r="AD39" s="161"/>
      <c r="AE39" s="161"/>
      <c r="AF39" s="161"/>
      <c r="AG39" s="161"/>
      <c r="AH39" s="161"/>
      <c r="AI39" s="161"/>
      <c r="AJ39" s="162"/>
      <c r="AK39" s="163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94">
        <v>1926.6</v>
      </c>
      <c r="B40" s="195">
        <v>0.57999999999999996</v>
      </c>
      <c r="C40" s="196">
        <v>0</v>
      </c>
      <c r="D40" s="194">
        <f t="shared" si="1"/>
        <v>1117.4279999999999</v>
      </c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202"/>
      <c r="S40" s="202"/>
      <c r="T40" s="162"/>
      <c r="U40" s="162"/>
      <c r="V40" s="162"/>
      <c r="W40" s="162"/>
      <c r="X40" s="162"/>
      <c r="Y40" s="162"/>
      <c r="Z40" s="162"/>
      <c r="AA40" s="161"/>
      <c r="AB40" s="162"/>
      <c r="AC40" s="161"/>
      <c r="AD40" s="161"/>
      <c r="AE40" s="162"/>
      <c r="AF40" s="162"/>
      <c r="AG40" s="162"/>
      <c r="AH40" s="162"/>
      <c r="AI40" s="162"/>
      <c r="AJ40" s="162"/>
      <c r="AK40" s="163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94">
        <v>1541.28</v>
      </c>
      <c r="B41" s="195">
        <v>0.57999999999999996</v>
      </c>
      <c r="C41" s="196">
        <v>1</v>
      </c>
      <c r="D41" s="194">
        <f t="shared" si="1"/>
        <v>893.94239999999991</v>
      </c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202"/>
      <c r="S41" s="202"/>
      <c r="T41" s="162"/>
      <c r="U41" s="162"/>
      <c r="V41" s="162"/>
      <c r="W41" s="162"/>
      <c r="X41" s="162"/>
      <c r="Y41" s="162"/>
      <c r="Z41" s="162"/>
      <c r="AA41" s="161"/>
      <c r="AB41" s="162"/>
      <c r="AC41" s="161"/>
      <c r="AD41" s="161"/>
      <c r="AE41" s="162"/>
      <c r="AF41" s="162"/>
      <c r="AG41" s="162"/>
      <c r="AH41" s="162"/>
      <c r="AI41" s="162"/>
      <c r="AJ41" s="162"/>
      <c r="AK41" s="163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94">
        <v>385.32</v>
      </c>
      <c r="B42" s="195">
        <v>0.60029999999999994</v>
      </c>
      <c r="C42" s="196">
        <v>1</v>
      </c>
      <c r="D42" s="194">
        <f t="shared" si="1"/>
        <v>231.30759599999996</v>
      </c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202"/>
      <c r="S42" s="202"/>
      <c r="T42" s="162"/>
      <c r="U42" s="162"/>
      <c r="V42" s="162"/>
      <c r="W42" s="162"/>
      <c r="X42" s="162"/>
      <c r="Y42" s="162"/>
      <c r="Z42" s="162"/>
      <c r="AA42" s="161"/>
      <c r="AB42" s="162"/>
      <c r="AC42" s="161"/>
      <c r="AD42" s="161"/>
      <c r="AE42" s="162"/>
      <c r="AF42" s="162"/>
      <c r="AG42" s="162"/>
      <c r="AH42" s="162"/>
      <c r="AI42" s="162"/>
      <c r="AJ42" s="162"/>
      <c r="AK42" s="163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94">
        <v>385.32</v>
      </c>
      <c r="B43" s="195">
        <v>0.60029999999999994</v>
      </c>
      <c r="C43" s="196">
        <v>0</v>
      </c>
      <c r="D43" s="194">
        <f t="shared" si="1"/>
        <v>231.30759599999996</v>
      </c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202"/>
      <c r="S43" s="202"/>
      <c r="T43" s="162"/>
      <c r="U43" s="162"/>
      <c r="V43" s="162"/>
      <c r="W43" s="162"/>
      <c r="X43" s="162"/>
      <c r="Y43" s="162"/>
      <c r="Z43" s="162"/>
      <c r="AA43" s="161"/>
      <c r="AB43" s="162"/>
      <c r="AC43" s="161"/>
      <c r="AD43" s="161"/>
      <c r="AE43" s="162"/>
      <c r="AF43" s="162"/>
      <c r="AG43" s="162"/>
      <c r="AH43" s="162"/>
      <c r="AI43" s="162"/>
      <c r="AJ43" s="162"/>
      <c r="AK43" s="163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94">
        <v>0</v>
      </c>
      <c r="B44" s="195">
        <v>0</v>
      </c>
      <c r="C44" s="196">
        <v>1</v>
      </c>
      <c r="D44" s="194">
        <f t="shared" si="1"/>
        <v>0</v>
      </c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201"/>
      <c r="S44" s="201"/>
      <c r="T44" s="161"/>
      <c r="U44" s="161"/>
      <c r="V44" s="162"/>
      <c r="W44" s="162"/>
      <c r="X44" s="162"/>
      <c r="Y44" s="162"/>
      <c r="Z44" s="162"/>
      <c r="AA44" s="161"/>
      <c r="AB44" s="162"/>
      <c r="AC44" s="162"/>
      <c r="AD44" s="162"/>
      <c r="AE44" s="162"/>
      <c r="AF44" s="162"/>
      <c r="AG44" s="162"/>
      <c r="AH44" s="162"/>
      <c r="AI44" s="162"/>
      <c r="AJ44" s="162"/>
      <c r="AK44" s="163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194">
        <v>0</v>
      </c>
      <c r="B45" s="195">
        <v>0</v>
      </c>
      <c r="C45" s="196">
        <v>1</v>
      </c>
      <c r="D45" s="194">
        <f t="shared" si="1"/>
        <v>0</v>
      </c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201"/>
      <c r="S45" s="201"/>
      <c r="T45" s="161"/>
      <c r="U45" s="161"/>
      <c r="V45" s="161"/>
      <c r="W45" s="161"/>
      <c r="X45" s="161"/>
      <c r="Y45" s="161"/>
      <c r="Z45" s="161"/>
      <c r="AA45" s="161"/>
      <c r="AB45" s="162"/>
      <c r="AC45" s="162"/>
      <c r="AD45" s="162"/>
      <c r="AE45" s="162"/>
      <c r="AF45" s="162"/>
      <c r="AG45" s="162"/>
      <c r="AH45" s="162"/>
      <c r="AI45" s="162"/>
      <c r="AJ45" s="162"/>
      <c r="AK45" s="163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94">
        <v>0</v>
      </c>
      <c r="B46" s="195">
        <v>0</v>
      </c>
      <c r="C46" s="196">
        <v>1</v>
      </c>
      <c r="D46" s="194">
        <f t="shared" si="1"/>
        <v>0</v>
      </c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201"/>
      <c r="S46" s="20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2"/>
      <c r="AG46" s="162"/>
      <c r="AH46" s="162"/>
      <c r="AI46" s="162"/>
      <c r="AJ46" s="162"/>
      <c r="AK46" s="163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194">
        <v>0</v>
      </c>
      <c r="B47" s="195">
        <v>0.60029999999999994</v>
      </c>
      <c r="C47" s="196">
        <v>0</v>
      </c>
      <c r="D47" s="194">
        <f t="shared" si="1"/>
        <v>0</v>
      </c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201"/>
      <c r="S47" s="20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2"/>
      <c r="AK47" s="163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194">
        <v>0</v>
      </c>
      <c r="B48" s="195">
        <v>0</v>
      </c>
      <c r="C48" s="196">
        <v>1</v>
      </c>
      <c r="D48" s="194">
        <f t="shared" si="1"/>
        <v>0</v>
      </c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202"/>
      <c r="S48" s="202"/>
      <c r="T48" s="162"/>
      <c r="U48" s="162"/>
      <c r="V48" s="162"/>
      <c r="W48" s="162"/>
      <c r="X48" s="162"/>
      <c r="Y48" s="162"/>
      <c r="Z48" s="162"/>
      <c r="AA48" s="161"/>
      <c r="AB48" s="162"/>
      <c r="AC48" s="162"/>
      <c r="AD48" s="162"/>
      <c r="AE48" s="162"/>
      <c r="AF48" s="162"/>
      <c r="AG48" s="162"/>
      <c r="AH48" s="162"/>
      <c r="AI48" s="162"/>
      <c r="AJ48" s="162"/>
      <c r="AK48" s="163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194">
        <v>10861.42</v>
      </c>
      <c r="B49" s="195">
        <v>0.65410000000000001</v>
      </c>
      <c r="C49" s="196">
        <v>0</v>
      </c>
      <c r="D49" s="194">
        <f t="shared" si="1"/>
        <v>7104.4548220000006</v>
      </c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201"/>
      <c r="S49" s="201"/>
      <c r="T49" s="161"/>
      <c r="U49" s="161"/>
      <c r="V49" s="161"/>
      <c r="W49" s="161"/>
      <c r="X49" s="161"/>
      <c r="Y49" s="162"/>
      <c r="Z49" s="162"/>
      <c r="AA49" s="161"/>
      <c r="AB49" s="162"/>
      <c r="AC49" s="162"/>
      <c r="AD49" s="162"/>
      <c r="AE49" s="162"/>
      <c r="AF49" s="162"/>
      <c r="AG49" s="162"/>
      <c r="AH49" s="162"/>
      <c r="AI49" s="162"/>
      <c r="AJ49" s="162"/>
      <c r="AK49" s="163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94">
        <v>1303.3704</v>
      </c>
      <c r="B50" s="195">
        <v>0.65410000000000001</v>
      </c>
      <c r="C50" s="196">
        <v>1</v>
      </c>
      <c r="D50" s="194">
        <f t="shared" si="1"/>
        <v>852.53457864000006</v>
      </c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201"/>
      <c r="S50" s="20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2"/>
      <c r="AK50" s="163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94">
        <v>0</v>
      </c>
      <c r="B51" s="195">
        <v>0</v>
      </c>
      <c r="C51" s="196">
        <v>0</v>
      </c>
      <c r="D51" s="194">
        <f t="shared" si="1"/>
        <v>0</v>
      </c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201"/>
      <c r="S51" s="201"/>
      <c r="T51" s="161"/>
      <c r="U51" s="161"/>
      <c r="V51" s="161"/>
      <c r="W51" s="162"/>
      <c r="X51" s="161"/>
      <c r="Y51" s="161"/>
      <c r="Z51" s="161"/>
      <c r="AA51" s="161"/>
      <c r="AB51" s="161"/>
      <c r="AC51" s="162"/>
      <c r="AD51" s="161"/>
      <c r="AE51" s="161"/>
      <c r="AF51" s="161"/>
      <c r="AG51" s="161"/>
      <c r="AH51" s="161"/>
      <c r="AI51" s="161"/>
      <c r="AJ51" s="162"/>
      <c r="AK51" s="163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94">
        <v>9558.0496000000003</v>
      </c>
      <c r="B52" s="195">
        <v>0.65410000000000001</v>
      </c>
      <c r="C52" s="196">
        <v>0</v>
      </c>
      <c r="D52" s="194">
        <f t="shared" si="1"/>
        <v>6251.9202433600003</v>
      </c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202"/>
      <c r="S52" s="202"/>
      <c r="T52" s="162"/>
      <c r="U52" s="162"/>
      <c r="V52" s="162"/>
      <c r="W52" s="162"/>
      <c r="X52" s="162"/>
      <c r="Y52" s="162"/>
      <c r="Z52" s="162"/>
      <c r="AA52" s="161"/>
      <c r="AB52" s="162"/>
      <c r="AC52" s="162"/>
      <c r="AD52" s="162"/>
      <c r="AE52" s="162"/>
      <c r="AF52" s="162"/>
      <c r="AG52" s="162"/>
      <c r="AH52" s="162"/>
      <c r="AI52" s="162"/>
      <c r="AJ52" s="162"/>
      <c r="AK52" s="163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94">
        <v>0</v>
      </c>
      <c r="B53" s="195">
        <v>0</v>
      </c>
      <c r="C53" s="196">
        <v>0</v>
      </c>
      <c r="D53" s="194">
        <f t="shared" si="1"/>
        <v>0</v>
      </c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202"/>
      <c r="S53" s="202"/>
      <c r="T53" s="162"/>
      <c r="U53" s="162"/>
      <c r="V53" s="162"/>
      <c r="W53" s="162"/>
      <c r="X53" s="162"/>
      <c r="Y53" s="162"/>
      <c r="Z53" s="162"/>
      <c r="AA53" s="161"/>
      <c r="AB53" s="162"/>
      <c r="AC53" s="162"/>
      <c r="AD53" s="162"/>
      <c r="AE53" s="162"/>
      <c r="AF53" s="162"/>
      <c r="AG53" s="162"/>
      <c r="AH53" s="162"/>
      <c r="AI53" s="162"/>
      <c r="AJ53" s="162"/>
      <c r="AK53" s="163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94">
        <v>0</v>
      </c>
      <c r="B54" s="195">
        <v>0</v>
      </c>
      <c r="C54" s="196">
        <v>0</v>
      </c>
      <c r="D54" s="194">
        <f t="shared" si="1"/>
        <v>0</v>
      </c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202"/>
      <c r="S54" s="202"/>
      <c r="T54" s="162"/>
      <c r="U54" s="162"/>
      <c r="V54" s="162"/>
      <c r="W54" s="162"/>
      <c r="X54" s="162"/>
      <c r="Y54" s="162"/>
      <c r="Z54" s="162"/>
      <c r="AA54" s="161"/>
      <c r="AB54" s="162"/>
      <c r="AC54" s="162"/>
      <c r="AD54" s="162"/>
      <c r="AE54" s="162"/>
      <c r="AF54" s="162"/>
      <c r="AG54" s="162"/>
      <c r="AH54" s="162"/>
      <c r="AI54" s="162"/>
      <c r="AJ54" s="162"/>
      <c r="AK54" s="163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94">
        <v>1688.6904</v>
      </c>
      <c r="B55" s="195">
        <v>0.64180000000000004</v>
      </c>
      <c r="C55" s="196">
        <v>0</v>
      </c>
      <c r="D55" s="194">
        <f t="shared" si="1"/>
        <v>1083.8014987199999</v>
      </c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201"/>
      <c r="S55" s="201"/>
      <c r="T55" s="161"/>
      <c r="U55" s="161"/>
      <c r="V55" s="161"/>
      <c r="W55" s="161"/>
      <c r="X55" s="161"/>
      <c r="Y55" s="161"/>
      <c r="Z55" s="161"/>
      <c r="AA55" s="161"/>
      <c r="AB55" s="161"/>
      <c r="AC55" s="162"/>
      <c r="AD55" s="162"/>
      <c r="AE55" s="162"/>
      <c r="AF55" s="162"/>
      <c r="AG55" s="162"/>
      <c r="AH55" s="162"/>
      <c r="AI55" s="162"/>
      <c r="AJ55" s="162"/>
      <c r="AK55" s="163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94">
        <v>0</v>
      </c>
      <c r="B56" s="195">
        <v>0</v>
      </c>
      <c r="C56" s="196">
        <v>0</v>
      </c>
      <c r="D56" s="194">
        <f t="shared" si="1"/>
        <v>0</v>
      </c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202"/>
      <c r="S56" s="202"/>
      <c r="T56" s="162"/>
      <c r="U56" s="162"/>
      <c r="V56" s="162"/>
      <c r="W56" s="162"/>
      <c r="X56" s="162"/>
      <c r="Y56" s="162"/>
      <c r="Z56" s="162"/>
      <c r="AA56" s="161"/>
      <c r="AB56" s="162"/>
      <c r="AC56" s="162"/>
      <c r="AD56" s="162"/>
      <c r="AE56" s="162"/>
      <c r="AF56" s="162"/>
      <c r="AG56" s="162"/>
      <c r="AH56" s="162"/>
      <c r="AI56" s="162"/>
      <c r="AJ56" s="162"/>
      <c r="AK56" s="163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94">
        <v>11473.344999999999</v>
      </c>
      <c r="B57" s="195">
        <v>0</v>
      </c>
      <c r="C57" s="196">
        <v>0</v>
      </c>
      <c r="D57" s="194">
        <f t="shared" si="1"/>
        <v>0</v>
      </c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202"/>
      <c r="S57" s="202"/>
      <c r="T57" s="162"/>
      <c r="U57" s="162"/>
      <c r="V57" s="162"/>
      <c r="W57" s="162"/>
      <c r="X57" s="162"/>
      <c r="Y57" s="162"/>
      <c r="Z57" s="162"/>
      <c r="AA57" s="161"/>
      <c r="AB57" s="162"/>
      <c r="AC57" s="162"/>
      <c r="AD57" s="162"/>
      <c r="AE57" s="162"/>
      <c r="AF57" s="162"/>
      <c r="AG57" s="162"/>
      <c r="AH57" s="162"/>
      <c r="AI57" s="162"/>
      <c r="AJ57" s="162"/>
      <c r="AK57" s="163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94">
        <v>0</v>
      </c>
      <c r="B58" s="195">
        <v>0</v>
      </c>
      <c r="C58" s="196">
        <v>1</v>
      </c>
      <c r="D58" s="194">
        <f t="shared" si="1"/>
        <v>0</v>
      </c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202"/>
      <c r="S58" s="202"/>
      <c r="T58" s="162"/>
      <c r="U58" s="162"/>
      <c r="V58" s="162"/>
      <c r="W58" s="162"/>
      <c r="X58" s="162"/>
      <c r="Y58" s="162"/>
      <c r="Z58" s="162"/>
      <c r="AA58" s="161"/>
      <c r="AB58" s="162"/>
      <c r="AC58" s="162"/>
      <c r="AD58" s="162"/>
      <c r="AE58" s="162"/>
      <c r="AF58" s="162"/>
      <c r="AG58" s="162"/>
      <c r="AH58" s="162"/>
      <c r="AI58" s="162"/>
      <c r="AJ58" s="162"/>
      <c r="AK58" s="163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94">
        <v>0</v>
      </c>
      <c r="B59" s="195">
        <v>0</v>
      </c>
      <c r="C59" s="196">
        <v>0</v>
      </c>
      <c r="D59" s="194">
        <f t="shared" si="1"/>
        <v>0</v>
      </c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202"/>
      <c r="S59" s="202"/>
      <c r="T59" s="162"/>
      <c r="U59" s="162"/>
      <c r="V59" s="162"/>
      <c r="W59" s="162"/>
      <c r="X59" s="162"/>
      <c r="Y59" s="162"/>
      <c r="Z59" s="162"/>
      <c r="AA59" s="161"/>
      <c r="AB59" s="162"/>
      <c r="AC59" s="162"/>
      <c r="AD59" s="162"/>
      <c r="AE59" s="162"/>
      <c r="AF59" s="162"/>
      <c r="AG59" s="162"/>
      <c r="AH59" s="162"/>
      <c r="AI59" s="162"/>
      <c r="AJ59" s="162"/>
      <c r="AK59" s="163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94">
        <v>0</v>
      </c>
      <c r="B60" s="195">
        <v>0</v>
      </c>
      <c r="C60" s="196">
        <v>0</v>
      </c>
      <c r="D60" s="194">
        <f t="shared" si="1"/>
        <v>0</v>
      </c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202"/>
      <c r="S60" s="202"/>
      <c r="T60" s="162"/>
      <c r="U60" s="162"/>
      <c r="V60" s="162"/>
      <c r="W60" s="162"/>
      <c r="X60" s="162"/>
      <c r="Y60" s="162"/>
      <c r="Z60" s="162"/>
      <c r="AA60" s="161"/>
      <c r="AB60" s="162"/>
      <c r="AC60" s="162"/>
      <c r="AD60" s="162"/>
      <c r="AE60" s="162"/>
      <c r="AF60" s="162"/>
      <c r="AG60" s="162"/>
      <c r="AH60" s="162"/>
      <c r="AI60" s="162"/>
      <c r="AJ60" s="162"/>
      <c r="AK60" s="163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194"/>
      <c r="B61" s="195"/>
      <c r="C61" s="195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202"/>
      <c r="S61" s="202"/>
      <c r="T61" s="162"/>
      <c r="U61" s="162"/>
      <c r="V61" s="162"/>
      <c r="W61" s="162"/>
      <c r="X61" s="162"/>
      <c r="Y61" s="162"/>
      <c r="Z61" s="162"/>
      <c r="AA61" s="161"/>
      <c r="AB61" s="162"/>
      <c r="AC61" s="162"/>
      <c r="AD61" s="162"/>
      <c r="AE61" s="162"/>
      <c r="AF61" s="162"/>
      <c r="AG61" s="162"/>
      <c r="AH61" s="162"/>
      <c r="AI61" s="162"/>
      <c r="AJ61" s="163"/>
      <c r="AK61" s="163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94"/>
      <c r="B62" s="195"/>
      <c r="C62" s="195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60"/>
      <c r="O62" s="160"/>
      <c r="P62" s="160"/>
      <c r="Q62" s="160"/>
      <c r="R62" s="162"/>
      <c r="S62" s="162"/>
      <c r="T62" s="162"/>
      <c r="U62" s="162"/>
      <c r="V62" s="162"/>
      <c r="W62" s="162"/>
      <c r="X62" s="162"/>
      <c r="Y62" s="162"/>
      <c r="Z62" s="162"/>
      <c r="AA62" s="161"/>
      <c r="AB62" s="162"/>
      <c r="AC62" s="162"/>
      <c r="AD62" s="162"/>
      <c r="AE62" s="162"/>
      <c r="AF62" s="162"/>
      <c r="AG62" s="162"/>
      <c r="AH62" s="162"/>
      <c r="AI62" s="162"/>
      <c r="AJ62" s="163"/>
      <c r="AK62" s="163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94"/>
      <c r="B63" s="195"/>
      <c r="C63" s="195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60"/>
      <c r="O63" s="160"/>
      <c r="P63" s="160"/>
      <c r="Q63" s="160"/>
      <c r="R63" s="44"/>
      <c r="S63" s="44"/>
      <c r="T63" s="44"/>
      <c r="U63" s="44"/>
      <c r="V63" s="44"/>
      <c r="W63" s="44"/>
      <c r="X63" s="44"/>
      <c r="Y63" s="44"/>
      <c r="Z63" s="44"/>
      <c r="AA63" s="161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94"/>
      <c r="B64" s="194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60"/>
      <c r="O64" s="160"/>
      <c r="P64" s="160"/>
      <c r="Q64" s="160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94"/>
      <c r="B65" s="194"/>
      <c r="C65" s="194"/>
      <c r="D65" s="194"/>
      <c r="E65" s="194"/>
      <c r="F65" s="194"/>
      <c r="G65" s="194"/>
      <c r="H65" s="194"/>
      <c r="I65" s="194"/>
      <c r="J65" s="194"/>
      <c r="K65" s="402"/>
      <c r="L65" s="402"/>
      <c r="M65" s="194"/>
      <c r="N65" s="403" t="s">
        <v>40</v>
      </c>
      <c r="O65" s="403"/>
      <c r="P65" s="403"/>
      <c r="Q65" s="160"/>
      <c r="R65" s="404"/>
      <c r="S65" s="404"/>
      <c r="T65" s="161"/>
      <c r="U65" s="161"/>
      <c r="V65" s="161"/>
      <c r="W65" s="164"/>
      <c r="X65" s="161"/>
      <c r="Y65" s="161"/>
      <c r="Z65" s="161"/>
      <c r="AA65" s="161"/>
      <c r="AB65" s="161"/>
      <c r="AC65" s="165"/>
      <c r="AD65" s="165"/>
      <c r="AE65" s="165"/>
      <c r="AF65" s="163"/>
      <c r="AG65" s="162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94"/>
      <c r="B66" s="194"/>
      <c r="C66" s="194"/>
      <c r="D66" s="194"/>
      <c r="E66" s="194"/>
      <c r="F66" s="194"/>
      <c r="G66" s="194"/>
      <c r="H66" s="194"/>
      <c r="I66" s="194"/>
      <c r="J66" s="194"/>
      <c r="K66" s="405"/>
      <c r="L66" s="405"/>
      <c r="M66" s="194"/>
      <c r="N66" s="405" t="s">
        <v>34</v>
      </c>
      <c r="O66" s="405" t="s">
        <v>9</v>
      </c>
      <c r="P66" s="413" t="s">
        <v>41</v>
      </c>
      <c r="Q66" s="160" t="s">
        <v>171</v>
      </c>
      <c r="R66" s="406"/>
      <c r="S66" s="406"/>
      <c r="T66" s="161"/>
      <c r="U66" s="166"/>
      <c r="V66" s="161"/>
      <c r="W66" s="166"/>
      <c r="X66" s="161"/>
      <c r="Y66" s="161"/>
      <c r="Z66" s="161"/>
      <c r="AA66" s="161"/>
      <c r="AB66" s="167"/>
      <c r="AC66" s="168"/>
      <c r="AD66" s="165"/>
      <c r="AE66" s="165"/>
      <c r="AF66" s="163"/>
      <c r="AG66" s="162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94"/>
      <c r="B67" s="194"/>
      <c r="C67" s="194"/>
      <c r="D67" s="194"/>
      <c r="E67" s="194"/>
      <c r="F67" s="194"/>
      <c r="G67" s="194"/>
      <c r="H67" s="194"/>
      <c r="I67" s="194"/>
      <c r="J67" s="194"/>
      <c r="K67" s="407"/>
      <c r="L67" s="408"/>
      <c r="M67" s="194"/>
      <c r="N67" s="160">
        <f>A1</f>
        <v>261455.17020557521</v>
      </c>
      <c r="O67" s="173">
        <f>IF(B1&gt;1,B1/100,B1)</f>
        <v>0.58909999999999996</v>
      </c>
      <c r="P67" s="414">
        <f t="shared" ref="P67:P98" si="2">D1</f>
        <v>154023.24076810436</v>
      </c>
      <c r="Q67" s="409">
        <f>C1</f>
        <v>0</v>
      </c>
      <c r="R67" s="410"/>
      <c r="S67" s="410"/>
      <c r="T67" s="161"/>
      <c r="U67" s="169"/>
      <c r="V67" s="170"/>
      <c r="W67" s="169"/>
      <c r="X67" s="170"/>
      <c r="Y67" s="161"/>
      <c r="Z67" s="161"/>
      <c r="AA67" s="171"/>
      <c r="AB67" s="165"/>
      <c r="AC67" s="165"/>
      <c r="AD67" s="161"/>
      <c r="AE67" s="161"/>
      <c r="AF67" s="163"/>
      <c r="AG67" s="162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94"/>
      <c r="B68" s="194"/>
      <c r="C68" s="194"/>
      <c r="D68" s="194"/>
      <c r="E68" s="194"/>
      <c r="F68" s="194"/>
      <c r="G68" s="194"/>
      <c r="H68" s="194"/>
      <c r="I68" s="194"/>
      <c r="J68" s="194"/>
      <c r="K68" s="172"/>
      <c r="L68" s="173"/>
      <c r="M68" s="203"/>
      <c r="N68" s="160">
        <f t="shared" ref="N68:N126" si="3">A2</f>
        <v>11473.344999999999</v>
      </c>
      <c r="O68" s="173">
        <f t="shared" ref="O68:O126" si="4">IF(B2&gt;1,B2/100,B2)</f>
        <v>0.62939999999999996</v>
      </c>
      <c r="P68" s="414">
        <f t="shared" si="2"/>
        <v>7221.3233429999991</v>
      </c>
      <c r="Q68" s="409">
        <f t="shared" ref="Q68:Q126" si="5">C2</f>
        <v>0</v>
      </c>
      <c r="R68" s="410"/>
      <c r="S68" s="410"/>
      <c r="T68" s="161"/>
      <c r="U68" s="169"/>
      <c r="V68" s="170"/>
      <c r="W68" s="169"/>
      <c r="X68" s="170"/>
      <c r="Y68" s="161"/>
      <c r="Z68" s="161"/>
      <c r="AA68" s="171"/>
      <c r="AB68" s="165"/>
      <c r="AC68" s="165"/>
      <c r="AD68" s="161"/>
      <c r="AE68" s="161"/>
      <c r="AF68" s="163"/>
      <c r="AG68" s="162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94"/>
      <c r="B69" s="194"/>
      <c r="C69" s="194"/>
      <c r="D69" s="194"/>
      <c r="E69" s="194"/>
      <c r="F69" s="194"/>
      <c r="G69" s="194"/>
      <c r="H69" s="194"/>
      <c r="I69" s="194"/>
      <c r="J69" s="194"/>
      <c r="K69" s="172"/>
      <c r="L69" s="173"/>
      <c r="M69" s="194"/>
      <c r="N69" s="160">
        <f t="shared" si="3"/>
        <v>249981.82520557521</v>
      </c>
      <c r="O69" s="173">
        <f t="shared" si="4"/>
        <v>0.58720000000000006</v>
      </c>
      <c r="P69" s="414">
        <f t="shared" si="2"/>
        <v>146789.32776071379</v>
      </c>
      <c r="Q69" s="409">
        <f t="shared" si="5"/>
        <v>0</v>
      </c>
      <c r="R69" s="410"/>
      <c r="S69" s="410"/>
      <c r="T69" s="161"/>
      <c r="U69" s="169"/>
      <c r="V69" s="170"/>
      <c r="W69" s="169"/>
      <c r="X69" s="170"/>
      <c r="Y69" s="161"/>
      <c r="Z69" s="161"/>
      <c r="AA69" s="171"/>
      <c r="AB69" s="165"/>
      <c r="AC69" s="165"/>
      <c r="AD69" s="161"/>
      <c r="AE69" s="161"/>
      <c r="AF69" s="163"/>
      <c r="AG69" s="162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94"/>
      <c r="B70" s="194"/>
      <c r="C70" s="194"/>
      <c r="D70" s="203"/>
      <c r="E70" s="203"/>
      <c r="F70" s="204"/>
      <c r="G70" s="194"/>
      <c r="H70" s="194"/>
      <c r="I70" s="194"/>
      <c r="J70" s="194"/>
      <c r="K70" s="172"/>
      <c r="L70" s="173"/>
      <c r="M70" s="194"/>
      <c r="N70" s="160">
        <f t="shared" si="3"/>
        <v>-4116.7369201152997</v>
      </c>
      <c r="O70" s="173">
        <f t="shared" si="4"/>
        <v>0.6</v>
      </c>
      <c r="P70" s="414">
        <f t="shared" si="2"/>
        <v>-2470.0421520691798</v>
      </c>
      <c r="Q70" s="409">
        <f t="shared" si="5"/>
        <v>6.2619431891058099E-3</v>
      </c>
      <c r="R70" s="410"/>
      <c r="S70" s="410"/>
      <c r="T70" s="161"/>
      <c r="U70" s="169"/>
      <c r="V70" s="170"/>
      <c r="W70" s="169"/>
      <c r="X70" s="170"/>
      <c r="Y70" s="161"/>
      <c r="Z70" s="161"/>
      <c r="AA70" s="171"/>
      <c r="AB70" s="165"/>
      <c r="AC70" s="165"/>
      <c r="AD70" s="161"/>
      <c r="AE70" s="161"/>
      <c r="AF70" s="163"/>
      <c r="AG70" s="162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94"/>
      <c r="B71" s="194"/>
      <c r="C71" s="194"/>
      <c r="D71" s="194"/>
      <c r="E71" s="194"/>
      <c r="F71" s="194"/>
      <c r="G71" s="194"/>
      <c r="H71" s="194"/>
      <c r="I71" s="194"/>
      <c r="J71" s="194"/>
      <c r="K71" s="172"/>
      <c r="L71" s="173"/>
      <c r="M71" s="194"/>
      <c r="N71" s="160">
        <f t="shared" si="3"/>
        <v>254098.5621256904</v>
      </c>
      <c r="O71" s="173">
        <f t="shared" si="4"/>
        <v>0.6</v>
      </c>
      <c r="P71" s="414">
        <f t="shared" si="2"/>
        <v>152459.13727541422</v>
      </c>
      <c r="Q71" s="409">
        <f t="shared" si="5"/>
        <v>1</v>
      </c>
      <c r="R71" s="410"/>
      <c r="S71" s="410"/>
      <c r="T71" s="161"/>
      <c r="U71" s="169"/>
      <c r="V71" s="170"/>
      <c r="W71" s="169"/>
      <c r="X71" s="170"/>
      <c r="Y71" s="161"/>
      <c r="Z71" s="161"/>
      <c r="AA71" s="171"/>
      <c r="AB71" s="165"/>
      <c r="AC71" s="165"/>
      <c r="AD71" s="161"/>
      <c r="AE71" s="161"/>
      <c r="AF71" s="163"/>
      <c r="AG71" s="162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94"/>
      <c r="B72" s="194"/>
      <c r="C72" s="194"/>
      <c r="D72" s="203"/>
      <c r="E72" s="203"/>
      <c r="F72" s="204"/>
      <c r="G72" s="194"/>
      <c r="H72" s="194"/>
      <c r="I72" s="194"/>
      <c r="J72" s="194"/>
      <c r="K72" s="172"/>
      <c r="L72" s="173"/>
      <c r="M72" s="194"/>
      <c r="N72" s="160">
        <f t="shared" si="3"/>
        <v>693.98717870610005</v>
      </c>
      <c r="O72" s="173">
        <f t="shared" si="4"/>
        <v>0.6</v>
      </c>
      <c r="P72" s="414">
        <f t="shared" si="2"/>
        <v>416.39230722366</v>
      </c>
      <c r="Q72" s="409">
        <f t="shared" si="5"/>
        <v>0</v>
      </c>
      <c r="R72" s="410"/>
      <c r="S72" s="410"/>
      <c r="T72" s="161"/>
      <c r="U72" s="169"/>
      <c r="V72" s="170"/>
      <c r="W72" s="169"/>
      <c r="X72" s="170"/>
      <c r="Y72" s="161"/>
      <c r="Z72" s="161"/>
      <c r="AA72" s="171"/>
      <c r="AB72" s="165"/>
      <c r="AC72" s="165"/>
      <c r="AD72" s="161"/>
      <c r="AE72" s="161"/>
      <c r="AF72" s="163"/>
      <c r="AG72" s="162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94"/>
      <c r="B73" s="194"/>
      <c r="C73" s="203"/>
      <c r="D73" s="194"/>
      <c r="E73" s="194"/>
      <c r="F73" s="194"/>
      <c r="G73" s="194"/>
      <c r="H73" s="194"/>
      <c r="I73" s="194"/>
      <c r="J73" s="194"/>
      <c r="K73" s="172"/>
      <c r="L73" s="173"/>
      <c r="M73" s="194"/>
      <c r="N73" s="160">
        <f t="shared" si="3"/>
        <v>253404.5749469843</v>
      </c>
      <c r="O73" s="173">
        <f t="shared" si="4"/>
        <v>0.6</v>
      </c>
      <c r="P73" s="414">
        <f t="shared" si="2"/>
        <v>152042.74496819059</v>
      </c>
      <c r="Q73" s="409">
        <f t="shared" si="5"/>
        <v>1</v>
      </c>
      <c r="R73" s="410"/>
      <c r="S73" s="410"/>
      <c r="T73" s="161"/>
      <c r="U73" s="169"/>
      <c r="V73" s="170"/>
      <c r="W73" s="169"/>
      <c r="X73" s="170"/>
      <c r="Y73" s="161"/>
      <c r="Z73" s="161"/>
      <c r="AA73" s="171"/>
      <c r="AB73" s="165"/>
      <c r="AC73" s="165"/>
      <c r="AD73" s="161"/>
      <c r="AE73" s="161"/>
      <c r="AF73" s="163"/>
      <c r="AG73" s="162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94"/>
      <c r="B74" s="194"/>
      <c r="C74" s="194"/>
      <c r="D74" s="203"/>
      <c r="E74" s="203"/>
      <c r="F74" s="205"/>
      <c r="G74" s="205"/>
      <c r="H74" s="195"/>
      <c r="I74" s="194"/>
      <c r="J74" s="194"/>
      <c r="K74" s="172"/>
      <c r="L74" s="173"/>
      <c r="M74" s="194"/>
      <c r="N74" s="160">
        <f t="shared" si="3"/>
        <v>1500</v>
      </c>
      <c r="O74" s="173">
        <f t="shared" si="4"/>
        <v>0.6</v>
      </c>
      <c r="P74" s="414">
        <f t="shared" si="2"/>
        <v>900</v>
      </c>
      <c r="Q74" s="409">
        <f t="shared" si="5"/>
        <v>0</v>
      </c>
      <c r="R74" s="410"/>
      <c r="S74" s="410"/>
      <c r="T74" s="161"/>
      <c r="U74" s="169"/>
      <c r="V74" s="170"/>
      <c r="W74" s="169"/>
      <c r="X74" s="170"/>
      <c r="Y74" s="161"/>
      <c r="Z74" s="161"/>
      <c r="AA74" s="171"/>
      <c r="AB74" s="165"/>
      <c r="AC74" s="165"/>
      <c r="AD74" s="161"/>
      <c r="AE74" s="161"/>
      <c r="AF74" s="163"/>
      <c r="AG74" s="162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94"/>
      <c r="B75" s="194"/>
      <c r="C75" s="194"/>
      <c r="D75" s="194"/>
      <c r="E75" s="194"/>
      <c r="F75" s="194"/>
      <c r="G75" s="194"/>
      <c r="H75" s="194"/>
      <c r="I75" s="194"/>
      <c r="J75" s="194"/>
      <c r="K75" s="172"/>
      <c r="L75" s="173"/>
      <c r="M75" s="194"/>
      <c r="N75" s="160">
        <f t="shared" si="3"/>
        <v>43011</v>
      </c>
      <c r="O75" s="173">
        <f t="shared" si="4"/>
        <v>9.9900000000000003E-2</v>
      </c>
      <c r="P75" s="414">
        <f t="shared" si="2"/>
        <v>4296.7988999999998</v>
      </c>
      <c r="Q75" s="409">
        <f t="shared" si="5"/>
        <v>0</v>
      </c>
      <c r="R75" s="410"/>
      <c r="S75" s="410"/>
      <c r="T75" s="161"/>
      <c r="U75" s="169"/>
      <c r="V75" s="170"/>
      <c r="W75" s="169"/>
      <c r="X75" s="170"/>
      <c r="Y75" s="161"/>
      <c r="Z75" s="161"/>
      <c r="AA75" s="171"/>
      <c r="AB75" s="165"/>
      <c r="AC75" s="165"/>
      <c r="AD75" s="161"/>
      <c r="AE75" s="161"/>
      <c r="AF75" s="163"/>
      <c r="AG75" s="162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94"/>
      <c r="B76" s="194"/>
      <c r="C76" s="194"/>
      <c r="D76" s="194"/>
      <c r="E76" s="194"/>
      <c r="F76" s="194"/>
      <c r="G76" s="194"/>
      <c r="H76" s="194"/>
      <c r="I76" s="194"/>
      <c r="J76" s="194"/>
      <c r="K76" s="172"/>
      <c r="L76" s="173"/>
      <c r="M76" s="194"/>
      <c r="N76" s="160">
        <f t="shared" si="3"/>
        <v>208893.5749469843</v>
      </c>
      <c r="O76" s="173">
        <f t="shared" si="4"/>
        <v>0.68630000000000002</v>
      </c>
      <c r="P76" s="414">
        <f t="shared" si="2"/>
        <v>143363.66048611532</v>
      </c>
      <c r="Q76" s="409">
        <f t="shared" si="5"/>
        <v>1</v>
      </c>
      <c r="R76" s="410"/>
      <c r="S76" s="410"/>
      <c r="T76" s="161"/>
      <c r="U76" s="169"/>
      <c r="V76" s="170"/>
      <c r="W76" s="169"/>
      <c r="X76" s="170"/>
      <c r="Y76" s="161"/>
      <c r="Z76" s="161"/>
      <c r="AA76" s="171"/>
      <c r="AB76" s="165"/>
      <c r="AC76" s="165"/>
      <c r="AD76" s="161"/>
      <c r="AE76" s="161"/>
      <c r="AF76" s="163"/>
      <c r="AG76" s="162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94"/>
      <c r="B77" s="194"/>
      <c r="C77" s="194"/>
      <c r="D77" s="203"/>
      <c r="E77" s="203"/>
      <c r="F77" s="204"/>
      <c r="G77" s="194"/>
      <c r="H77" s="194"/>
      <c r="I77" s="194"/>
      <c r="J77" s="194"/>
      <c r="K77" s="172"/>
      <c r="L77" s="173"/>
      <c r="M77" s="194"/>
      <c r="N77" s="160">
        <f t="shared" si="3"/>
        <v>-870</v>
      </c>
      <c r="O77" s="173">
        <f t="shared" si="4"/>
        <v>0.68469999999999998</v>
      </c>
      <c r="P77" s="414">
        <f t="shared" si="2"/>
        <v>-595.68899999999996</v>
      </c>
      <c r="Q77" s="409">
        <f t="shared" si="5"/>
        <v>9.8899999999999995E-3</v>
      </c>
      <c r="R77" s="410"/>
      <c r="S77" s="410"/>
      <c r="T77" s="161"/>
      <c r="U77" s="169"/>
      <c r="V77" s="170"/>
      <c r="W77" s="169"/>
      <c r="X77" s="170"/>
      <c r="Y77" s="161"/>
      <c r="Z77" s="161"/>
      <c r="AA77" s="171"/>
      <c r="AB77" s="165"/>
      <c r="AC77" s="165"/>
      <c r="AD77" s="161"/>
      <c r="AE77" s="161"/>
      <c r="AF77" s="163"/>
      <c r="AG77" s="162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94"/>
      <c r="B78" s="194"/>
      <c r="C78" s="194"/>
      <c r="D78" s="194"/>
      <c r="E78" s="194"/>
      <c r="F78" s="194"/>
      <c r="G78" s="194"/>
      <c r="H78" s="194"/>
      <c r="I78" s="194"/>
      <c r="J78" s="194"/>
      <c r="K78" s="172"/>
      <c r="L78" s="173"/>
      <c r="M78" s="194"/>
      <c r="N78" s="160">
        <f t="shared" si="3"/>
        <v>0</v>
      </c>
      <c r="O78" s="173">
        <f t="shared" si="4"/>
        <v>0</v>
      </c>
      <c r="P78" s="414">
        <f t="shared" si="2"/>
        <v>0</v>
      </c>
      <c r="Q78" s="409">
        <f t="shared" si="5"/>
        <v>0</v>
      </c>
      <c r="R78" s="410"/>
      <c r="S78" s="410"/>
      <c r="T78" s="161"/>
      <c r="U78" s="169"/>
      <c r="V78" s="170"/>
      <c r="W78" s="169"/>
      <c r="X78" s="170"/>
      <c r="Y78" s="161"/>
      <c r="Z78" s="161"/>
      <c r="AA78" s="171"/>
      <c r="AB78" s="165"/>
      <c r="AC78" s="165"/>
      <c r="AD78" s="161"/>
      <c r="AE78" s="161"/>
      <c r="AF78" s="163"/>
      <c r="AG78" s="162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94"/>
      <c r="B79" s="194"/>
      <c r="C79" s="194"/>
      <c r="D79" s="194"/>
      <c r="E79" s="194"/>
      <c r="F79" s="194"/>
      <c r="G79" s="194"/>
      <c r="H79" s="194"/>
      <c r="I79" s="194"/>
      <c r="J79" s="194"/>
      <c r="K79" s="172"/>
      <c r="L79" s="173"/>
      <c r="M79" s="194"/>
      <c r="N79" s="160">
        <f t="shared" si="3"/>
        <v>209763.5749469843</v>
      </c>
      <c r="O79" s="173">
        <f t="shared" si="4"/>
        <v>0.68479999999999996</v>
      </c>
      <c r="P79" s="414">
        <f t="shared" si="2"/>
        <v>143646.09612369485</v>
      </c>
      <c r="Q79" s="409">
        <f t="shared" si="5"/>
        <v>1</v>
      </c>
      <c r="R79" s="410"/>
      <c r="S79" s="410"/>
      <c r="T79" s="161"/>
      <c r="U79" s="169"/>
      <c r="V79" s="170"/>
      <c r="W79" s="169"/>
      <c r="X79" s="170"/>
      <c r="Y79" s="161"/>
      <c r="Z79" s="161"/>
      <c r="AA79" s="171"/>
      <c r="AB79" s="165"/>
      <c r="AC79" s="165"/>
      <c r="AD79" s="161"/>
      <c r="AE79" s="161"/>
      <c r="AF79" s="163"/>
      <c r="AG79" s="162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94"/>
      <c r="B80" s="194"/>
      <c r="C80" s="194"/>
      <c r="D80" s="194"/>
      <c r="E80" s="203"/>
      <c r="F80" s="203"/>
      <c r="G80" s="203"/>
      <c r="H80" s="194"/>
      <c r="I80" s="194"/>
      <c r="J80" s="194"/>
      <c r="K80" s="172"/>
      <c r="L80" s="173"/>
      <c r="M80" s="194"/>
      <c r="N80" s="160">
        <f t="shared" si="3"/>
        <v>84629.508799999996</v>
      </c>
      <c r="O80" s="173">
        <f t="shared" si="4"/>
        <v>0.68479999999999996</v>
      </c>
      <c r="P80" s="414">
        <f t="shared" si="2"/>
        <v>57954.287626239995</v>
      </c>
      <c r="Q80" s="409">
        <f t="shared" si="5"/>
        <v>1</v>
      </c>
      <c r="R80" s="410"/>
      <c r="S80" s="410"/>
      <c r="T80" s="161"/>
      <c r="U80" s="169"/>
      <c r="V80" s="170"/>
      <c r="W80" s="169"/>
      <c r="X80" s="170"/>
      <c r="Y80" s="161"/>
      <c r="Z80" s="161"/>
      <c r="AA80" s="171"/>
      <c r="AB80" s="165"/>
      <c r="AC80" s="165"/>
      <c r="AD80" s="161"/>
      <c r="AE80" s="161"/>
      <c r="AF80" s="163"/>
      <c r="AG80" s="162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94"/>
      <c r="B81" s="194"/>
      <c r="C81" s="194"/>
      <c r="D81" s="194"/>
      <c r="E81" s="194"/>
      <c r="F81" s="194"/>
      <c r="G81" s="194"/>
      <c r="H81" s="194"/>
      <c r="I81" s="194"/>
      <c r="J81" s="194"/>
      <c r="K81" s="172"/>
      <c r="L81" s="173"/>
      <c r="M81" s="194"/>
      <c r="N81" s="160">
        <f t="shared" si="3"/>
        <v>125134.0661469843</v>
      </c>
      <c r="O81" s="173">
        <f t="shared" si="4"/>
        <v>0.68479999999999996</v>
      </c>
      <c r="P81" s="414">
        <f t="shared" si="2"/>
        <v>85691.80849745484</v>
      </c>
      <c r="Q81" s="409">
        <f t="shared" si="5"/>
        <v>1</v>
      </c>
      <c r="R81" s="410"/>
      <c r="S81" s="410"/>
      <c r="T81" s="161"/>
      <c r="U81" s="169"/>
      <c r="V81" s="170"/>
      <c r="W81" s="169"/>
      <c r="X81" s="170"/>
      <c r="Y81" s="161"/>
      <c r="Z81" s="161"/>
      <c r="AA81" s="171"/>
      <c r="AB81" s="165"/>
      <c r="AC81" s="165"/>
      <c r="AD81" s="161"/>
      <c r="AE81" s="161"/>
      <c r="AF81" s="163"/>
      <c r="AG81" s="162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94"/>
      <c r="B82" s="194"/>
      <c r="C82" s="194"/>
      <c r="D82" s="203"/>
      <c r="E82" s="194"/>
      <c r="F82" s="194"/>
      <c r="G82" s="194"/>
      <c r="H82" s="194"/>
      <c r="I82" s="194"/>
      <c r="J82" s="194"/>
      <c r="K82" s="172"/>
      <c r="L82" s="173"/>
      <c r="M82" s="194"/>
      <c r="N82" s="160">
        <f t="shared" si="3"/>
        <v>0</v>
      </c>
      <c r="O82" s="173">
        <f t="shared" si="4"/>
        <v>0</v>
      </c>
      <c r="P82" s="414">
        <f t="shared" si="2"/>
        <v>0</v>
      </c>
      <c r="Q82" s="409">
        <f t="shared" si="5"/>
        <v>0</v>
      </c>
      <c r="R82" s="410"/>
      <c r="S82" s="410"/>
      <c r="T82" s="161"/>
      <c r="U82" s="169"/>
      <c r="V82" s="170"/>
      <c r="W82" s="169"/>
      <c r="X82" s="170"/>
      <c r="Y82" s="161"/>
      <c r="Z82" s="161"/>
      <c r="AA82" s="171"/>
      <c r="AB82" s="165"/>
      <c r="AC82" s="165"/>
      <c r="AD82" s="161"/>
      <c r="AE82" s="161"/>
      <c r="AF82" s="163"/>
      <c r="AG82" s="162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94"/>
      <c r="B83" s="194"/>
      <c r="C83" s="194"/>
      <c r="D83" s="194"/>
      <c r="E83" s="194"/>
      <c r="F83" s="194"/>
      <c r="G83" s="194"/>
      <c r="H83" s="194"/>
      <c r="I83" s="194"/>
      <c r="J83" s="194"/>
      <c r="K83" s="172"/>
      <c r="L83" s="173"/>
      <c r="M83" s="194"/>
      <c r="N83" s="160">
        <f t="shared" si="3"/>
        <v>1151.136</v>
      </c>
      <c r="O83" s="173">
        <f t="shared" si="4"/>
        <v>0.68479999999999996</v>
      </c>
      <c r="P83" s="414">
        <f t="shared" si="2"/>
        <v>788.2979327999999</v>
      </c>
      <c r="Q83" s="409">
        <f t="shared" si="5"/>
        <v>1</v>
      </c>
      <c r="R83" s="410"/>
      <c r="S83" s="410"/>
      <c r="T83" s="161"/>
      <c r="U83" s="169"/>
      <c r="V83" s="170"/>
      <c r="W83" s="169"/>
      <c r="X83" s="170"/>
      <c r="Y83" s="161"/>
      <c r="Z83" s="161"/>
      <c r="AA83" s="171"/>
      <c r="AB83" s="165"/>
      <c r="AC83" s="165"/>
      <c r="AD83" s="161"/>
      <c r="AE83" s="161"/>
      <c r="AF83" s="163"/>
      <c r="AG83" s="162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94"/>
      <c r="B84" s="194"/>
      <c r="C84" s="194"/>
      <c r="D84" s="203"/>
      <c r="E84" s="203"/>
      <c r="F84" s="204"/>
      <c r="G84" s="204"/>
      <c r="H84" s="194"/>
      <c r="I84" s="194"/>
      <c r="J84" s="194"/>
      <c r="K84" s="172"/>
      <c r="L84" s="173"/>
      <c r="M84" s="194"/>
      <c r="N84" s="160">
        <f t="shared" si="3"/>
        <v>0</v>
      </c>
      <c r="O84" s="173">
        <f t="shared" si="4"/>
        <v>0</v>
      </c>
      <c r="P84" s="414">
        <f t="shared" si="2"/>
        <v>0</v>
      </c>
      <c r="Q84" s="409">
        <f t="shared" si="5"/>
        <v>0</v>
      </c>
      <c r="R84" s="410"/>
      <c r="S84" s="410"/>
      <c r="T84" s="161"/>
      <c r="U84" s="169"/>
      <c r="V84" s="170"/>
      <c r="W84" s="169"/>
      <c r="X84" s="170"/>
      <c r="Y84" s="161"/>
      <c r="Z84" s="161"/>
      <c r="AA84" s="171"/>
      <c r="AB84" s="165"/>
      <c r="AC84" s="165"/>
      <c r="AD84" s="161"/>
      <c r="AE84" s="161"/>
      <c r="AF84" s="163"/>
      <c r="AG84" s="162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94"/>
      <c r="B85" s="194"/>
      <c r="C85" s="194"/>
      <c r="D85" s="194"/>
      <c r="E85" s="194"/>
      <c r="F85" s="194"/>
      <c r="G85" s="194"/>
      <c r="H85" s="194"/>
      <c r="I85" s="194"/>
      <c r="J85" s="194"/>
      <c r="K85" s="172"/>
      <c r="L85" s="173"/>
      <c r="M85" s="194"/>
      <c r="N85" s="160">
        <f t="shared" si="3"/>
        <v>0</v>
      </c>
      <c r="O85" s="173">
        <f t="shared" si="4"/>
        <v>0</v>
      </c>
      <c r="P85" s="414">
        <f t="shared" si="2"/>
        <v>0</v>
      </c>
      <c r="Q85" s="409">
        <f t="shared" si="5"/>
        <v>0</v>
      </c>
      <c r="R85" s="410"/>
      <c r="S85" s="410"/>
      <c r="T85" s="161"/>
      <c r="U85" s="169"/>
      <c r="V85" s="170"/>
      <c r="W85" s="169"/>
      <c r="X85" s="170"/>
      <c r="Y85" s="161"/>
      <c r="Z85" s="161"/>
      <c r="AA85" s="171"/>
      <c r="AB85" s="165"/>
      <c r="AC85" s="165"/>
      <c r="AD85" s="161"/>
      <c r="AE85" s="161"/>
      <c r="AF85" s="163"/>
      <c r="AG85" s="162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94"/>
      <c r="B86" s="194"/>
      <c r="C86" s="194"/>
      <c r="D86" s="194"/>
      <c r="E86" s="194"/>
      <c r="F86" s="194"/>
      <c r="G86" s="194"/>
      <c r="H86" s="194"/>
      <c r="I86" s="194"/>
      <c r="J86" s="194"/>
      <c r="K86" s="172"/>
      <c r="L86" s="173"/>
      <c r="M86" s="194"/>
      <c r="N86" s="160">
        <f t="shared" si="3"/>
        <v>1151.136</v>
      </c>
      <c r="O86" s="173">
        <f t="shared" si="4"/>
        <v>0.68469999999999998</v>
      </c>
      <c r="P86" s="414">
        <f t="shared" si="2"/>
        <v>788.18281919999993</v>
      </c>
      <c r="Q86" s="409">
        <f t="shared" si="5"/>
        <v>0</v>
      </c>
      <c r="R86" s="410"/>
      <c r="S86" s="410"/>
      <c r="T86" s="161"/>
      <c r="U86" s="169"/>
      <c r="V86" s="170"/>
      <c r="W86" s="169"/>
      <c r="X86" s="170"/>
      <c r="Y86" s="161"/>
      <c r="Z86" s="161"/>
      <c r="AA86" s="171"/>
      <c r="AB86" s="165"/>
      <c r="AC86" s="165"/>
      <c r="AD86" s="161"/>
      <c r="AE86" s="161"/>
      <c r="AF86" s="163"/>
      <c r="AG86" s="162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94"/>
      <c r="B87" s="194"/>
      <c r="C87" s="194"/>
      <c r="D87" s="194"/>
      <c r="E87" s="194"/>
      <c r="F87" s="194"/>
      <c r="G87" s="194"/>
      <c r="H87" s="194"/>
      <c r="I87" s="194"/>
      <c r="J87" s="194"/>
      <c r="K87" s="172"/>
      <c r="L87" s="173"/>
      <c r="M87" s="203"/>
      <c r="N87" s="160">
        <f t="shared" si="3"/>
        <v>83478.372799999997</v>
      </c>
      <c r="O87" s="173">
        <f t="shared" si="4"/>
        <v>0.68469999999999998</v>
      </c>
      <c r="P87" s="414">
        <f t="shared" si="2"/>
        <v>57157.641856159993</v>
      </c>
      <c r="Q87" s="409">
        <f t="shared" si="5"/>
        <v>0</v>
      </c>
      <c r="R87" s="410"/>
      <c r="S87" s="410"/>
      <c r="T87" s="161"/>
      <c r="U87" s="169"/>
      <c r="V87" s="170"/>
      <c r="W87" s="169"/>
      <c r="X87" s="170"/>
      <c r="Y87" s="161"/>
      <c r="Z87" s="161"/>
      <c r="AA87" s="171"/>
      <c r="AB87" s="165"/>
      <c r="AC87" s="165"/>
      <c r="AD87" s="161"/>
      <c r="AE87" s="161"/>
      <c r="AF87" s="163"/>
      <c r="AG87" s="162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94"/>
      <c r="B88" s="194"/>
      <c r="C88" s="194"/>
      <c r="D88" s="203"/>
      <c r="E88" s="203"/>
      <c r="F88" s="204"/>
      <c r="G88" s="204"/>
      <c r="H88" s="194"/>
      <c r="I88" s="194"/>
      <c r="J88" s="194"/>
      <c r="K88" s="172"/>
      <c r="L88" s="173"/>
      <c r="M88" s="194"/>
      <c r="N88" s="160">
        <f t="shared" si="3"/>
        <v>87216.858032629694</v>
      </c>
      <c r="O88" s="173">
        <f t="shared" si="4"/>
        <v>0.68469999999999998</v>
      </c>
      <c r="P88" s="414">
        <f t="shared" si="2"/>
        <v>59717.382694941552</v>
      </c>
      <c r="Q88" s="409">
        <f t="shared" si="5"/>
        <v>0</v>
      </c>
      <c r="R88" s="410"/>
      <c r="S88" s="410"/>
      <c r="T88" s="161"/>
      <c r="U88" s="169"/>
      <c r="V88" s="170"/>
      <c r="W88" s="169"/>
      <c r="X88" s="170"/>
      <c r="Y88" s="161"/>
      <c r="Z88" s="161"/>
      <c r="AA88" s="171"/>
      <c r="AB88" s="165"/>
      <c r="AC88" s="165"/>
      <c r="AD88" s="161"/>
      <c r="AE88" s="161"/>
      <c r="AF88" s="162"/>
      <c r="AG88" s="162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94"/>
      <c r="B89" s="194"/>
      <c r="C89" s="194"/>
      <c r="D89" s="194"/>
      <c r="E89" s="194"/>
      <c r="F89" s="194"/>
      <c r="G89" s="194"/>
      <c r="H89" s="194"/>
      <c r="I89" s="194"/>
      <c r="J89" s="194"/>
      <c r="K89" s="172"/>
      <c r="L89" s="173"/>
      <c r="M89" s="194"/>
      <c r="N89" s="160">
        <f t="shared" si="3"/>
        <v>0</v>
      </c>
      <c r="O89" s="173">
        <f t="shared" si="4"/>
        <v>0</v>
      </c>
      <c r="P89" s="414">
        <f t="shared" si="2"/>
        <v>0</v>
      </c>
      <c r="Q89" s="409">
        <f t="shared" si="5"/>
        <v>0</v>
      </c>
      <c r="R89" s="410"/>
      <c r="S89" s="410"/>
      <c r="T89" s="161"/>
      <c r="U89" s="169"/>
      <c r="V89" s="170"/>
      <c r="W89" s="169"/>
      <c r="X89" s="170"/>
      <c r="Y89" s="161"/>
      <c r="Z89" s="161"/>
      <c r="AA89" s="171"/>
      <c r="AB89" s="165"/>
      <c r="AC89" s="165"/>
      <c r="AD89" s="161"/>
      <c r="AE89" s="161"/>
      <c r="AF89" s="162"/>
      <c r="AG89" s="162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94"/>
      <c r="B90" s="194"/>
      <c r="C90" s="194"/>
      <c r="D90" s="194"/>
      <c r="E90" s="194"/>
      <c r="F90" s="194"/>
      <c r="G90" s="194"/>
      <c r="H90" s="194"/>
      <c r="I90" s="194"/>
      <c r="J90" s="194"/>
      <c r="K90" s="172"/>
      <c r="L90" s="173"/>
      <c r="M90" s="194"/>
      <c r="N90" s="160">
        <f t="shared" si="3"/>
        <v>7011</v>
      </c>
      <c r="O90" s="173">
        <f t="shared" si="4"/>
        <v>0</v>
      </c>
      <c r="P90" s="414">
        <f t="shared" si="2"/>
        <v>0</v>
      </c>
      <c r="Q90" s="409">
        <f t="shared" si="5"/>
        <v>0</v>
      </c>
      <c r="R90" s="410"/>
      <c r="S90" s="410"/>
      <c r="T90" s="161"/>
      <c r="U90" s="169"/>
      <c r="V90" s="170"/>
      <c r="W90" s="169"/>
      <c r="X90" s="170"/>
      <c r="Y90" s="161"/>
      <c r="Z90" s="161"/>
      <c r="AA90" s="171"/>
      <c r="AB90" s="165"/>
      <c r="AC90" s="165"/>
      <c r="AD90" s="161"/>
      <c r="AE90" s="161"/>
      <c r="AF90" s="162"/>
      <c r="AG90" s="162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94"/>
      <c r="B91" s="194"/>
      <c r="C91" s="194"/>
      <c r="D91" s="194"/>
      <c r="E91" s="194"/>
      <c r="F91" s="203"/>
      <c r="G91" s="203"/>
      <c r="H91" s="203"/>
      <c r="I91" s="194"/>
      <c r="J91" s="194"/>
      <c r="K91" s="172"/>
      <c r="L91" s="173"/>
      <c r="M91" s="194"/>
      <c r="N91" s="160">
        <f t="shared" si="3"/>
        <v>132145.06614698429</v>
      </c>
      <c r="O91" s="173">
        <f t="shared" si="4"/>
        <v>0.64849999999999997</v>
      </c>
      <c r="P91" s="414">
        <f t="shared" si="2"/>
        <v>85696.075396319313</v>
      </c>
      <c r="Q91" s="409">
        <f t="shared" si="5"/>
        <v>1</v>
      </c>
      <c r="R91" s="410"/>
      <c r="S91" s="410"/>
      <c r="T91" s="161"/>
      <c r="U91" s="169"/>
      <c r="V91" s="170"/>
      <c r="W91" s="169"/>
      <c r="X91" s="170"/>
      <c r="Y91" s="161"/>
      <c r="Z91" s="161"/>
      <c r="AA91" s="161"/>
      <c r="AB91" s="161"/>
      <c r="AC91" s="161"/>
      <c r="AD91" s="161"/>
      <c r="AE91" s="161"/>
      <c r="AF91" s="162"/>
      <c r="AG91" s="162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94"/>
      <c r="B92" s="194"/>
      <c r="C92" s="194"/>
      <c r="D92" s="194"/>
      <c r="E92" s="194"/>
      <c r="F92" s="194"/>
      <c r="G92" s="194"/>
      <c r="H92" s="194"/>
      <c r="I92" s="194"/>
      <c r="J92" s="194"/>
      <c r="K92" s="172"/>
      <c r="L92" s="173"/>
      <c r="M92" s="194"/>
      <c r="N92" s="160">
        <f t="shared" si="3"/>
        <v>11983.055953228601</v>
      </c>
      <c r="O92" s="173">
        <f t="shared" si="4"/>
        <v>0.64359999999999995</v>
      </c>
      <c r="P92" s="414">
        <f t="shared" si="2"/>
        <v>7712.2948114979272</v>
      </c>
      <c r="Q92" s="409">
        <f t="shared" si="5"/>
        <v>1</v>
      </c>
      <c r="R92" s="410"/>
      <c r="S92" s="410"/>
      <c r="T92" s="161"/>
      <c r="U92" s="169"/>
      <c r="V92" s="170"/>
      <c r="W92" s="169"/>
      <c r="X92" s="170"/>
      <c r="Y92" s="161"/>
      <c r="Z92" s="161"/>
      <c r="AA92" s="161"/>
      <c r="AB92" s="161"/>
      <c r="AC92" s="165"/>
      <c r="AD92" s="169"/>
      <c r="AE92" s="161"/>
      <c r="AF92" s="162"/>
      <c r="AG92" s="162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94"/>
      <c r="B93" s="194"/>
      <c r="C93" s="194"/>
      <c r="D93" s="203"/>
      <c r="E93" s="203"/>
      <c r="F93" s="204"/>
      <c r="G93" s="204"/>
      <c r="H93" s="194"/>
      <c r="I93" s="194"/>
      <c r="J93" s="194"/>
      <c r="K93" s="172"/>
      <c r="L93" s="173"/>
      <c r="M93" s="194"/>
      <c r="N93" s="160">
        <f t="shared" si="3"/>
        <v>13097.735953228599</v>
      </c>
      <c r="O93" s="173">
        <f t="shared" si="4"/>
        <v>0</v>
      </c>
      <c r="P93" s="414">
        <f t="shared" si="2"/>
        <v>0</v>
      </c>
      <c r="Q93" s="409">
        <f t="shared" si="5"/>
        <v>1</v>
      </c>
      <c r="R93" s="410"/>
      <c r="S93" s="410"/>
      <c r="T93" s="161"/>
      <c r="U93" s="169"/>
      <c r="V93" s="170"/>
      <c r="W93" s="169"/>
      <c r="X93" s="170"/>
      <c r="Y93" s="161"/>
      <c r="Z93" s="161"/>
      <c r="AA93" s="152"/>
      <c r="AB93" s="152"/>
      <c r="AC93" s="161"/>
      <c r="AD93" s="161"/>
      <c r="AE93" s="161"/>
      <c r="AF93" s="162"/>
      <c r="AG93" s="162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94"/>
      <c r="B94" s="194"/>
      <c r="C94" s="194"/>
      <c r="D94" s="203"/>
      <c r="E94" s="203"/>
      <c r="F94" s="204"/>
      <c r="G94" s="204"/>
      <c r="H94" s="194"/>
      <c r="I94" s="194"/>
      <c r="J94" s="194"/>
      <c r="K94" s="172"/>
      <c r="L94" s="173"/>
      <c r="M94" s="194"/>
      <c r="N94" s="160">
        <f t="shared" si="3"/>
        <v>1189.3055953229</v>
      </c>
      <c r="O94" s="173">
        <f t="shared" si="4"/>
        <v>0.64359999999999995</v>
      </c>
      <c r="P94" s="414">
        <f t="shared" si="2"/>
        <v>765.43708114981837</v>
      </c>
      <c r="Q94" s="409">
        <f t="shared" si="5"/>
        <v>1</v>
      </c>
      <c r="R94" s="410"/>
      <c r="S94" s="410"/>
      <c r="T94" s="161"/>
      <c r="U94" s="169"/>
      <c r="V94" s="170"/>
      <c r="W94" s="169"/>
      <c r="X94" s="170"/>
      <c r="Y94" s="161"/>
      <c r="Z94" s="161"/>
      <c r="AA94" s="161"/>
      <c r="AB94" s="161"/>
      <c r="AC94" s="161"/>
      <c r="AD94" s="161"/>
      <c r="AE94" s="161"/>
      <c r="AF94" s="162"/>
      <c r="AG94" s="162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94"/>
      <c r="B95" s="194"/>
      <c r="C95" s="194"/>
      <c r="D95" s="203"/>
      <c r="E95" s="203"/>
      <c r="F95" s="204"/>
      <c r="G95" s="194"/>
      <c r="H95" s="194"/>
      <c r="I95" s="194"/>
      <c r="J95" s="194"/>
      <c r="K95" s="172"/>
      <c r="L95" s="173"/>
      <c r="M95" s="194"/>
      <c r="N95" s="160">
        <f t="shared" si="3"/>
        <v>1189.3055953229</v>
      </c>
      <c r="O95" s="173">
        <f t="shared" si="4"/>
        <v>0.65410000000000001</v>
      </c>
      <c r="P95" s="414">
        <f t="shared" si="2"/>
        <v>777.9247899007089</v>
      </c>
      <c r="Q95" s="409">
        <f t="shared" si="5"/>
        <v>0</v>
      </c>
      <c r="R95" s="410"/>
      <c r="S95" s="410"/>
      <c r="T95" s="161"/>
      <c r="U95" s="169"/>
      <c r="V95" s="170"/>
      <c r="W95" s="169"/>
      <c r="X95" s="170"/>
      <c r="Y95" s="161"/>
      <c r="Z95" s="161"/>
      <c r="AA95" s="161"/>
      <c r="AB95" s="161"/>
      <c r="AC95" s="161"/>
      <c r="AD95" s="161"/>
      <c r="AE95" s="161"/>
      <c r="AF95" s="162"/>
      <c r="AG95" s="162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94"/>
      <c r="B96" s="194"/>
      <c r="C96" s="194"/>
      <c r="D96" s="194"/>
      <c r="E96" s="194"/>
      <c r="F96" s="194"/>
      <c r="G96" s="194"/>
      <c r="H96" s="194"/>
      <c r="I96" s="194"/>
      <c r="J96" s="194"/>
      <c r="K96" s="172"/>
      <c r="L96" s="173"/>
      <c r="M96" s="194"/>
      <c r="N96" s="160">
        <f t="shared" si="3"/>
        <v>1000</v>
      </c>
      <c r="O96" s="173">
        <f t="shared" si="4"/>
        <v>0</v>
      </c>
      <c r="P96" s="414">
        <f t="shared" si="2"/>
        <v>0</v>
      </c>
      <c r="Q96" s="409">
        <f t="shared" si="5"/>
        <v>0</v>
      </c>
      <c r="R96" s="410"/>
      <c r="S96" s="410"/>
      <c r="T96" s="161"/>
      <c r="U96" s="169"/>
      <c r="V96" s="170"/>
      <c r="W96" s="169"/>
      <c r="X96" s="170"/>
      <c r="Y96" s="161"/>
      <c r="Z96" s="161"/>
      <c r="AA96" s="161"/>
      <c r="AB96" s="161"/>
      <c r="AC96" s="161"/>
      <c r="AD96" s="161"/>
      <c r="AE96" s="161"/>
      <c r="AF96" s="162"/>
      <c r="AG96" s="162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94"/>
      <c r="B97" s="194"/>
      <c r="C97" s="194"/>
      <c r="D97" s="203"/>
      <c r="E97" s="203"/>
      <c r="F97" s="194"/>
      <c r="G97" s="194"/>
      <c r="H97" s="194"/>
      <c r="I97" s="194"/>
      <c r="J97" s="194"/>
      <c r="K97" s="172"/>
      <c r="L97" s="173"/>
      <c r="M97" s="194"/>
      <c r="N97" s="160">
        <f t="shared" si="3"/>
        <v>3287.8954015671002</v>
      </c>
      <c r="O97" s="173">
        <f t="shared" si="4"/>
        <v>0.64359999999999995</v>
      </c>
      <c r="P97" s="414">
        <f t="shared" si="2"/>
        <v>2116.0894804485856</v>
      </c>
      <c r="Q97" s="409">
        <f t="shared" si="5"/>
        <v>0</v>
      </c>
      <c r="R97" s="410"/>
      <c r="S97" s="410"/>
      <c r="T97" s="161"/>
      <c r="U97" s="169"/>
      <c r="V97" s="170"/>
      <c r="W97" s="169"/>
      <c r="X97" s="170"/>
      <c r="Y97" s="161"/>
      <c r="Z97" s="161"/>
      <c r="AA97" s="161"/>
      <c r="AB97" s="161"/>
      <c r="AC97" s="161"/>
      <c r="AD97" s="161"/>
      <c r="AE97" s="161"/>
      <c r="AF97" s="162"/>
      <c r="AG97" s="162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94"/>
      <c r="B98" s="194"/>
      <c r="C98" s="194"/>
      <c r="D98" s="194"/>
      <c r="E98" s="194"/>
      <c r="F98" s="194"/>
      <c r="G98" s="194"/>
      <c r="H98" s="194"/>
      <c r="I98" s="194"/>
      <c r="J98" s="194"/>
      <c r="K98" s="172"/>
      <c r="L98" s="173"/>
      <c r="M98" s="194"/>
      <c r="N98" s="160">
        <f t="shared" si="3"/>
        <v>123260.6</v>
      </c>
      <c r="O98" s="173">
        <f t="shared" si="4"/>
        <v>0.65410000000000001</v>
      </c>
      <c r="P98" s="414">
        <f t="shared" si="2"/>
        <v>80624.758460000012</v>
      </c>
      <c r="Q98" s="409">
        <f t="shared" si="5"/>
        <v>0</v>
      </c>
      <c r="R98" s="410"/>
      <c r="S98" s="410"/>
      <c r="T98" s="161"/>
      <c r="U98" s="169"/>
      <c r="V98" s="170"/>
      <c r="W98" s="169"/>
      <c r="X98" s="170"/>
      <c r="Y98" s="161"/>
      <c r="Z98" s="161"/>
      <c r="AA98" s="161"/>
      <c r="AB98" s="161"/>
      <c r="AC98" s="161"/>
      <c r="AD98" s="161"/>
      <c r="AE98" s="161"/>
      <c r="AF98" s="162"/>
      <c r="AG98" s="162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94"/>
      <c r="B99" s="194"/>
      <c r="C99" s="194"/>
      <c r="D99" s="194"/>
      <c r="E99" s="194"/>
      <c r="F99" s="194"/>
      <c r="G99" s="194"/>
      <c r="H99" s="194"/>
      <c r="I99" s="194"/>
      <c r="J99" s="194"/>
      <c r="K99" s="172"/>
      <c r="L99" s="173"/>
      <c r="M99" s="194"/>
      <c r="N99" s="160">
        <f t="shared" si="3"/>
        <v>0</v>
      </c>
      <c r="O99" s="173">
        <f t="shared" si="4"/>
        <v>0</v>
      </c>
      <c r="P99" s="414">
        <f t="shared" ref="P99:P126" si="6">D33</f>
        <v>0</v>
      </c>
      <c r="Q99" s="409">
        <f t="shared" si="5"/>
        <v>0</v>
      </c>
      <c r="R99" s="410"/>
      <c r="S99" s="410"/>
      <c r="T99" s="161"/>
      <c r="U99" s="169"/>
      <c r="V99" s="170"/>
      <c r="W99" s="169"/>
      <c r="X99" s="170"/>
      <c r="Y99" s="161"/>
      <c r="Z99" s="161"/>
      <c r="AA99" s="161"/>
      <c r="AB99" s="161"/>
      <c r="AC99" s="161"/>
      <c r="AD99" s="161"/>
      <c r="AE99" s="161"/>
      <c r="AF99" s="162"/>
      <c r="AG99" s="162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94"/>
      <c r="B100" s="194"/>
      <c r="C100" s="194"/>
      <c r="D100" s="203"/>
      <c r="E100" s="203"/>
      <c r="F100" s="204"/>
      <c r="G100" s="204"/>
      <c r="H100" s="194"/>
      <c r="I100" s="194"/>
      <c r="J100" s="194"/>
      <c r="K100" s="172"/>
      <c r="L100" s="173"/>
      <c r="M100" s="194"/>
      <c r="N100" s="160">
        <f t="shared" si="3"/>
        <v>-3287.8954015671002</v>
      </c>
      <c r="O100" s="173">
        <f t="shared" si="4"/>
        <v>0</v>
      </c>
      <c r="P100" s="414">
        <f t="shared" si="6"/>
        <v>0</v>
      </c>
      <c r="Q100" s="409">
        <f t="shared" si="5"/>
        <v>0</v>
      </c>
      <c r="R100" s="410"/>
      <c r="S100" s="410"/>
      <c r="T100" s="161"/>
      <c r="U100" s="169"/>
      <c r="V100" s="170"/>
      <c r="W100" s="169"/>
      <c r="X100" s="170"/>
      <c r="Y100" s="161"/>
      <c r="Z100" s="161"/>
      <c r="AA100" s="161"/>
      <c r="AB100" s="161"/>
      <c r="AC100" s="161"/>
      <c r="AD100" s="161"/>
      <c r="AE100" s="161"/>
      <c r="AF100" s="162"/>
      <c r="AG100" s="162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94"/>
      <c r="B101" s="194"/>
      <c r="C101" s="194"/>
      <c r="D101" s="203"/>
      <c r="E101" s="203"/>
      <c r="F101" s="205"/>
      <c r="G101" s="205"/>
      <c r="H101" s="195"/>
      <c r="I101" s="194"/>
      <c r="J101" s="194"/>
      <c r="K101" s="172"/>
      <c r="L101" s="173"/>
      <c r="M101" s="194"/>
      <c r="N101" s="160">
        <f t="shared" si="3"/>
        <v>4312.5021039050998</v>
      </c>
      <c r="O101" s="173">
        <f t="shared" si="4"/>
        <v>0.65410000000000001</v>
      </c>
      <c r="P101" s="414">
        <f t="shared" si="6"/>
        <v>2820.8076261643259</v>
      </c>
      <c r="Q101" s="409">
        <f t="shared" si="5"/>
        <v>0</v>
      </c>
      <c r="R101" s="410"/>
      <c r="S101" s="410"/>
      <c r="T101" s="161"/>
      <c r="U101" s="169"/>
      <c r="V101" s="170"/>
      <c r="W101" s="169"/>
      <c r="X101" s="170"/>
      <c r="Y101" s="161"/>
      <c r="Z101" s="161"/>
      <c r="AA101" s="161"/>
      <c r="AB101" s="161"/>
      <c r="AC101" s="161"/>
      <c r="AD101" s="161"/>
      <c r="AE101" s="161"/>
      <c r="AF101" s="162"/>
      <c r="AG101" s="162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94"/>
      <c r="B102" s="194"/>
      <c r="C102" s="194"/>
      <c r="D102" s="203"/>
      <c r="E102" s="203"/>
      <c r="F102" s="204"/>
      <c r="G102" s="204"/>
      <c r="H102" s="194"/>
      <c r="I102" s="194"/>
      <c r="J102" s="194"/>
      <c r="K102" s="172"/>
      <c r="L102" s="173"/>
      <c r="M102" s="194"/>
      <c r="N102" s="160">
        <f t="shared" si="3"/>
        <v>-6548.9178960949002</v>
      </c>
      <c r="O102" s="173">
        <f t="shared" si="4"/>
        <v>0</v>
      </c>
      <c r="P102" s="414">
        <f t="shared" si="6"/>
        <v>0</v>
      </c>
      <c r="Q102" s="409">
        <f t="shared" si="5"/>
        <v>0</v>
      </c>
      <c r="R102" s="410"/>
      <c r="S102" s="410"/>
      <c r="T102" s="161"/>
      <c r="U102" s="169"/>
      <c r="V102" s="170"/>
      <c r="W102" s="169"/>
      <c r="X102" s="170"/>
      <c r="Y102" s="161"/>
      <c r="Z102" s="161"/>
      <c r="AA102" s="161"/>
      <c r="AB102" s="161"/>
      <c r="AC102" s="161"/>
      <c r="AD102" s="161"/>
      <c r="AE102" s="161"/>
      <c r="AF102" s="162"/>
      <c r="AG102" s="162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94"/>
      <c r="B103" s="194"/>
      <c r="C103" s="194"/>
      <c r="D103" s="194"/>
      <c r="E103" s="194"/>
      <c r="F103" s="194"/>
      <c r="G103" s="194"/>
      <c r="H103" s="194"/>
      <c r="I103" s="194"/>
      <c r="J103" s="194"/>
      <c r="K103" s="172"/>
      <c r="L103" s="173"/>
      <c r="M103" s="194"/>
      <c r="N103" s="160">
        <f t="shared" si="3"/>
        <v>108207.245</v>
      </c>
      <c r="O103" s="173">
        <f t="shared" si="4"/>
        <v>0.65410000000000001</v>
      </c>
      <c r="P103" s="414">
        <f t="shared" si="6"/>
        <v>70778.3589545</v>
      </c>
      <c r="Q103" s="409">
        <f t="shared" si="5"/>
        <v>0</v>
      </c>
      <c r="R103" s="410"/>
      <c r="S103" s="410"/>
      <c r="T103" s="161"/>
      <c r="U103" s="169"/>
      <c r="V103" s="170"/>
      <c r="W103" s="169"/>
      <c r="X103" s="170"/>
      <c r="Y103" s="161"/>
      <c r="Z103" s="161"/>
      <c r="AA103" s="161"/>
      <c r="AB103" s="161"/>
      <c r="AC103" s="161"/>
      <c r="AD103" s="161"/>
      <c r="AE103" s="161"/>
      <c r="AF103" s="162"/>
      <c r="AG103" s="162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94"/>
      <c r="B104" s="194"/>
      <c r="C104" s="194"/>
      <c r="D104" s="203"/>
      <c r="E104" s="203"/>
      <c r="F104" s="204"/>
      <c r="G104" s="204"/>
      <c r="H104" s="194"/>
      <c r="I104" s="194"/>
      <c r="J104" s="194"/>
      <c r="K104" s="172"/>
      <c r="L104" s="173"/>
      <c r="M104" s="194"/>
      <c r="N104" s="160">
        <f t="shared" si="3"/>
        <v>117765.29459999999</v>
      </c>
      <c r="O104" s="173">
        <f t="shared" si="4"/>
        <v>0.65539999999999998</v>
      </c>
      <c r="P104" s="414">
        <f t="shared" si="6"/>
        <v>77183.374080839989</v>
      </c>
      <c r="Q104" s="409">
        <f t="shared" si="5"/>
        <v>0</v>
      </c>
      <c r="R104" s="410"/>
      <c r="S104" s="410"/>
      <c r="T104" s="161"/>
      <c r="U104" s="169"/>
      <c r="V104" s="170"/>
      <c r="W104" s="169"/>
      <c r="X104" s="170"/>
      <c r="Y104" s="161"/>
      <c r="Z104" s="161"/>
      <c r="AA104" s="161"/>
      <c r="AB104" s="161"/>
      <c r="AC104" s="161"/>
      <c r="AD104" s="161"/>
      <c r="AE104" s="161"/>
      <c r="AF104" s="162"/>
      <c r="AG104" s="162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94"/>
      <c r="B105" s="194"/>
      <c r="C105" s="194"/>
      <c r="D105" s="194"/>
      <c r="E105" s="194"/>
      <c r="F105" s="194"/>
      <c r="G105" s="194"/>
      <c r="H105" s="194"/>
      <c r="I105" s="194"/>
      <c r="J105" s="194"/>
      <c r="K105" s="172"/>
      <c r="L105" s="173"/>
      <c r="M105" s="194"/>
      <c r="N105" s="160">
        <f t="shared" si="3"/>
        <v>0</v>
      </c>
      <c r="O105" s="173">
        <f t="shared" si="4"/>
        <v>0</v>
      </c>
      <c r="P105" s="414">
        <f t="shared" si="6"/>
        <v>0</v>
      </c>
      <c r="Q105" s="409">
        <f t="shared" si="5"/>
        <v>0</v>
      </c>
      <c r="R105" s="410"/>
      <c r="S105" s="410"/>
      <c r="T105" s="161"/>
      <c r="U105" s="169"/>
      <c r="V105" s="170"/>
      <c r="W105" s="169"/>
      <c r="X105" s="170"/>
      <c r="Y105" s="161"/>
      <c r="Z105" s="161"/>
      <c r="AA105" s="161"/>
      <c r="AB105" s="161"/>
      <c r="AC105" s="161"/>
      <c r="AD105" s="161"/>
      <c r="AE105" s="161"/>
      <c r="AF105" s="162"/>
      <c r="AG105" s="162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94"/>
      <c r="B106" s="194"/>
      <c r="C106" s="194"/>
      <c r="D106" s="194"/>
      <c r="E106" s="194"/>
      <c r="F106" s="194"/>
      <c r="G106" s="194"/>
      <c r="H106" s="194"/>
      <c r="I106" s="194"/>
      <c r="J106" s="194"/>
      <c r="K106" s="172"/>
      <c r="L106" s="173"/>
      <c r="M106" s="194"/>
      <c r="N106" s="160">
        <f t="shared" si="3"/>
        <v>1926.6</v>
      </c>
      <c r="O106" s="173">
        <f t="shared" si="4"/>
        <v>0.57999999999999996</v>
      </c>
      <c r="P106" s="414">
        <f t="shared" si="6"/>
        <v>1117.4279999999999</v>
      </c>
      <c r="Q106" s="409">
        <f t="shared" si="5"/>
        <v>0</v>
      </c>
      <c r="R106" s="410"/>
      <c r="S106" s="410"/>
      <c r="T106" s="161"/>
      <c r="U106" s="169"/>
      <c r="V106" s="170"/>
      <c r="W106" s="169"/>
      <c r="X106" s="170"/>
      <c r="Y106" s="161"/>
      <c r="Z106" s="161"/>
      <c r="AA106" s="161"/>
      <c r="AB106" s="161"/>
      <c r="AC106" s="161"/>
      <c r="AD106" s="161"/>
      <c r="AE106" s="161"/>
      <c r="AF106" s="162"/>
      <c r="AG106" s="162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94"/>
      <c r="B107" s="194"/>
      <c r="C107" s="194"/>
      <c r="D107" s="194"/>
      <c r="E107" s="194"/>
      <c r="F107" s="194"/>
      <c r="G107" s="194"/>
      <c r="H107" s="194"/>
      <c r="I107" s="194"/>
      <c r="J107" s="194"/>
      <c r="K107" s="172"/>
      <c r="L107" s="173"/>
      <c r="M107" s="194"/>
      <c r="N107" s="160">
        <f t="shared" si="3"/>
        <v>1541.28</v>
      </c>
      <c r="O107" s="173">
        <f t="shared" si="4"/>
        <v>0.57999999999999996</v>
      </c>
      <c r="P107" s="414">
        <f t="shared" si="6"/>
        <v>893.94239999999991</v>
      </c>
      <c r="Q107" s="409">
        <f t="shared" si="5"/>
        <v>1</v>
      </c>
      <c r="R107" s="410"/>
      <c r="S107" s="410"/>
      <c r="T107" s="161"/>
      <c r="U107" s="169"/>
      <c r="V107" s="170"/>
      <c r="W107" s="169"/>
      <c r="X107" s="170"/>
      <c r="Y107" s="161"/>
      <c r="Z107" s="161"/>
      <c r="AA107" s="161"/>
      <c r="AB107" s="161"/>
      <c r="AC107" s="161"/>
      <c r="AD107" s="161"/>
      <c r="AE107" s="161"/>
      <c r="AF107" s="162"/>
      <c r="AG107" s="162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94"/>
      <c r="B108" s="194"/>
      <c r="C108" s="194"/>
      <c r="D108" s="194"/>
      <c r="E108" s="194"/>
      <c r="F108" s="194"/>
      <c r="G108" s="194"/>
      <c r="H108" s="194"/>
      <c r="I108" s="194"/>
      <c r="J108" s="194"/>
      <c r="K108" s="172"/>
      <c r="L108" s="173"/>
      <c r="M108" s="194"/>
      <c r="N108" s="160">
        <f t="shared" si="3"/>
        <v>385.32</v>
      </c>
      <c r="O108" s="173">
        <f t="shared" si="4"/>
        <v>0.60029999999999994</v>
      </c>
      <c r="P108" s="414">
        <f t="shared" si="6"/>
        <v>231.30759599999996</v>
      </c>
      <c r="Q108" s="409">
        <f t="shared" si="5"/>
        <v>1</v>
      </c>
      <c r="R108" s="410"/>
      <c r="S108" s="410"/>
      <c r="T108" s="161"/>
      <c r="U108" s="169"/>
      <c r="V108" s="170"/>
      <c r="W108" s="169"/>
      <c r="X108" s="170"/>
      <c r="Y108" s="161"/>
      <c r="Z108" s="161"/>
      <c r="AA108" s="161"/>
      <c r="AB108" s="161"/>
      <c r="AC108" s="161"/>
      <c r="AD108" s="161"/>
      <c r="AE108" s="161"/>
      <c r="AF108" s="162"/>
      <c r="AG108" s="162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172"/>
      <c r="L109" s="173"/>
      <c r="M109" s="194"/>
      <c r="N109" s="160">
        <f t="shared" si="3"/>
        <v>385.32</v>
      </c>
      <c r="O109" s="173">
        <f t="shared" si="4"/>
        <v>0.60029999999999994</v>
      </c>
      <c r="P109" s="414">
        <f t="shared" si="6"/>
        <v>231.30759599999996</v>
      </c>
      <c r="Q109" s="409">
        <f t="shared" si="5"/>
        <v>0</v>
      </c>
      <c r="R109" s="410"/>
      <c r="S109" s="410"/>
      <c r="T109" s="161"/>
      <c r="U109" s="169"/>
      <c r="V109" s="170"/>
      <c r="W109" s="169"/>
      <c r="X109" s="170"/>
      <c r="Y109" s="161"/>
      <c r="Z109" s="161"/>
      <c r="AA109" s="161"/>
      <c r="AB109" s="161"/>
      <c r="AC109" s="161"/>
      <c r="AD109" s="161"/>
      <c r="AE109" s="161"/>
      <c r="AF109" s="162"/>
      <c r="AG109" s="162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94"/>
      <c r="B110" s="194"/>
      <c r="C110" s="194"/>
      <c r="D110" s="194"/>
      <c r="E110" s="194"/>
      <c r="F110" s="194"/>
      <c r="G110" s="194"/>
      <c r="H110" s="194"/>
      <c r="I110" s="194"/>
      <c r="J110" s="194"/>
      <c r="K110" s="172"/>
      <c r="L110" s="173"/>
      <c r="M110" s="194"/>
      <c r="N110" s="160">
        <f t="shared" si="3"/>
        <v>0</v>
      </c>
      <c r="O110" s="173">
        <f t="shared" si="4"/>
        <v>0</v>
      </c>
      <c r="P110" s="414">
        <f t="shared" si="6"/>
        <v>0</v>
      </c>
      <c r="Q110" s="409">
        <f t="shared" si="5"/>
        <v>1</v>
      </c>
      <c r="R110" s="410"/>
      <c r="S110" s="410"/>
      <c r="T110" s="161"/>
      <c r="U110" s="169"/>
      <c r="V110" s="170"/>
      <c r="W110" s="169"/>
      <c r="X110" s="170"/>
      <c r="Y110" s="161"/>
      <c r="Z110" s="161"/>
      <c r="AA110" s="161"/>
      <c r="AB110" s="161"/>
      <c r="AC110" s="161"/>
      <c r="AD110" s="161"/>
      <c r="AE110" s="161"/>
      <c r="AF110" s="162"/>
      <c r="AG110" s="162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94"/>
      <c r="B111" s="194"/>
      <c r="C111" s="194"/>
      <c r="D111" s="203"/>
      <c r="E111" s="203"/>
      <c r="F111" s="205"/>
      <c r="G111" s="205"/>
      <c r="H111" s="195"/>
      <c r="I111" s="194"/>
      <c r="J111" s="194"/>
      <c r="K111" s="172"/>
      <c r="L111" s="173"/>
      <c r="M111" s="194"/>
      <c r="N111" s="160">
        <f t="shared" si="3"/>
        <v>0</v>
      </c>
      <c r="O111" s="173">
        <f t="shared" si="4"/>
        <v>0</v>
      </c>
      <c r="P111" s="414">
        <f t="shared" si="6"/>
        <v>0</v>
      </c>
      <c r="Q111" s="409">
        <f t="shared" si="5"/>
        <v>1</v>
      </c>
      <c r="R111" s="410"/>
      <c r="S111" s="410"/>
      <c r="T111" s="161"/>
      <c r="U111" s="169"/>
      <c r="V111" s="170"/>
      <c r="W111" s="169"/>
      <c r="X111" s="170"/>
      <c r="Y111" s="161"/>
      <c r="Z111" s="161"/>
      <c r="AA111" s="161"/>
      <c r="AB111" s="161"/>
      <c r="AC111" s="161"/>
      <c r="AD111" s="161"/>
      <c r="AE111" s="161"/>
      <c r="AF111" s="162"/>
      <c r="AG111" s="162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94"/>
      <c r="B112" s="194"/>
      <c r="C112" s="194"/>
      <c r="D112" s="194"/>
      <c r="E112" s="194"/>
      <c r="F112" s="194"/>
      <c r="G112" s="194"/>
      <c r="H112" s="194"/>
      <c r="I112" s="194"/>
      <c r="J112" s="194"/>
      <c r="K112" s="172"/>
      <c r="L112" s="173"/>
      <c r="M112" s="194"/>
      <c r="N112" s="160">
        <f t="shared" si="3"/>
        <v>0</v>
      </c>
      <c r="O112" s="173">
        <f t="shared" si="4"/>
        <v>0</v>
      </c>
      <c r="P112" s="414">
        <f t="shared" si="6"/>
        <v>0</v>
      </c>
      <c r="Q112" s="409">
        <f t="shared" si="5"/>
        <v>1</v>
      </c>
      <c r="R112" s="410"/>
      <c r="S112" s="410"/>
      <c r="T112" s="161"/>
      <c r="U112" s="169"/>
      <c r="V112" s="170"/>
      <c r="W112" s="169"/>
      <c r="X112" s="170"/>
      <c r="Y112" s="161"/>
      <c r="Z112" s="161"/>
      <c r="AA112" s="161"/>
      <c r="AB112" s="161"/>
      <c r="AC112" s="161"/>
      <c r="AD112" s="161"/>
      <c r="AE112" s="161"/>
      <c r="AF112" s="162"/>
      <c r="AG112" s="162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94"/>
      <c r="B113" s="194"/>
      <c r="C113" s="194"/>
      <c r="D113" s="194"/>
      <c r="E113" s="194"/>
      <c r="F113" s="194"/>
      <c r="G113" s="194"/>
      <c r="H113" s="194"/>
      <c r="I113" s="194"/>
      <c r="J113" s="194"/>
      <c r="K113" s="172"/>
      <c r="L113" s="173"/>
      <c r="M113" s="194"/>
      <c r="N113" s="160">
        <f t="shared" si="3"/>
        <v>0</v>
      </c>
      <c r="O113" s="173">
        <f t="shared" si="4"/>
        <v>0.60029999999999994</v>
      </c>
      <c r="P113" s="414">
        <f t="shared" si="6"/>
        <v>0</v>
      </c>
      <c r="Q113" s="409">
        <f t="shared" si="5"/>
        <v>0</v>
      </c>
      <c r="R113" s="410"/>
      <c r="S113" s="410"/>
      <c r="T113" s="161"/>
      <c r="U113" s="169"/>
      <c r="V113" s="170"/>
      <c r="W113" s="169"/>
      <c r="X113" s="170"/>
      <c r="Y113" s="161"/>
      <c r="Z113" s="161"/>
      <c r="AA113" s="161"/>
      <c r="AB113" s="161"/>
      <c r="AC113" s="161"/>
      <c r="AD113" s="161"/>
      <c r="AE113" s="161"/>
      <c r="AF113" s="162"/>
      <c r="AG113" s="162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94"/>
      <c r="B114" s="194"/>
      <c r="C114" s="194"/>
      <c r="D114" s="203"/>
      <c r="E114" s="203"/>
      <c r="F114" s="205"/>
      <c r="G114" s="205"/>
      <c r="H114" s="195"/>
      <c r="I114" s="194"/>
      <c r="J114" s="194"/>
      <c r="K114" s="172"/>
      <c r="L114" s="173"/>
      <c r="M114" s="194"/>
      <c r="N114" s="160">
        <f t="shared" si="3"/>
        <v>0</v>
      </c>
      <c r="O114" s="173">
        <f t="shared" si="4"/>
        <v>0</v>
      </c>
      <c r="P114" s="414">
        <f t="shared" si="6"/>
        <v>0</v>
      </c>
      <c r="Q114" s="409">
        <f t="shared" si="5"/>
        <v>1</v>
      </c>
      <c r="R114" s="410"/>
      <c r="S114" s="410"/>
      <c r="T114" s="161"/>
      <c r="U114" s="169"/>
      <c r="V114" s="170"/>
      <c r="W114" s="169"/>
      <c r="X114" s="170"/>
      <c r="Y114" s="161"/>
      <c r="Z114" s="161"/>
      <c r="AA114" s="161"/>
      <c r="AB114" s="161"/>
      <c r="AC114" s="161"/>
      <c r="AD114" s="161"/>
      <c r="AE114" s="161"/>
      <c r="AF114" s="162"/>
      <c r="AG114" s="162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94"/>
      <c r="B115" s="194"/>
      <c r="C115" s="194"/>
      <c r="D115" s="194"/>
      <c r="E115" s="194"/>
      <c r="F115" s="194"/>
      <c r="G115" s="194"/>
      <c r="H115" s="194"/>
      <c r="I115" s="194"/>
      <c r="J115" s="194"/>
      <c r="K115" s="203"/>
      <c r="L115" s="195"/>
      <c r="M115" s="194"/>
      <c r="N115" s="160">
        <f t="shared" si="3"/>
        <v>10861.42</v>
      </c>
      <c r="O115" s="173">
        <f t="shared" si="4"/>
        <v>0.65410000000000001</v>
      </c>
      <c r="P115" s="414">
        <f t="shared" si="6"/>
        <v>7104.4548220000006</v>
      </c>
      <c r="Q115" s="409">
        <f t="shared" si="5"/>
        <v>0</v>
      </c>
      <c r="R115" s="410"/>
      <c r="S115" s="410"/>
      <c r="T115" s="161"/>
      <c r="U115" s="169"/>
      <c r="V115" s="170"/>
      <c r="W115" s="169"/>
      <c r="X115" s="170"/>
      <c r="Y115" s="161"/>
      <c r="Z115" s="161"/>
      <c r="AA115" s="161"/>
      <c r="AB115" s="161"/>
      <c r="AC115" s="161"/>
      <c r="AD115" s="161"/>
      <c r="AE115" s="161"/>
      <c r="AF115" s="162"/>
      <c r="AG115" s="162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94"/>
      <c r="B116" s="194"/>
      <c r="C116" s="194"/>
      <c r="D116" s="203"/>
      <c r="E116" s="203"/>
      <c r="F116" s="205"/>
      <c r="G116" s="205"/>
      <c r="H116" s="195"/>
      <c r="I116" s="194"/>
      <c r="J116" s="194"/>
      <c r="K116" s="203"/>
      <c r="L116" s="195"/>
      <c r="M116" s="194"/>
      <c r="N116" s="160">
        <f t="shared" si="3"/>
        <v>1303.3704</v>
      </c>
      <c r="O116" s="173">
        <f t="shared" si="4"/>
        <v>0.65410000000000001</v>
      </c>
      <c r="P116" s="414">
        <f t="shared" si="6"/>
        <v>852.53457864000006</v>
      </c>
      <c r="Q116" s="409">
        <f t="shared" si="5"/>
        <v>1</v>
      </c>
      <c r="R116" s="410"/>
      <c r="S116" s="410"/>
      <c r="T116" s="161"/>
      <c r="U116" s="169"/>
      <c r="V116" s="170"/>
      <c r="W116" s="169"/>
      <c r="X116" s="170"/>
      <c r="Y116" s="161"/>
      <c r="Z116" s="161"/>
      <c r="AA116" s="161"/>
      <c r="AB116" s="161"/>
      <c r="AC116" s="161"/>
      <c r="AD116" s="161"/>
      <c r="AE116" s="161"/>
      <c r="AF116" s="162"/>
      <c r="AG116" s="162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94"/>
      <c r="B117" s="194"/>
      <c r="C117" s="194"/>
      <c r="D117" s="203"/>
      <c r="E117" s="203"/>
      <c r="F117" s="204"/>
      <c r="G117" s="204"/>
      <c r="H117" s="194"/>
      <c r="I117" s="194"/>
      <c r="J117" s="194"/>
      <c r="K117" s="203"/>
      <c r="L117" s="195"/>
      <c r="M117" s="194"/>
      <c r="N117" s="160">
        <f t="shared" si="3"/>
        <v>0</v>
      </c>
      <c r="O117" s="173">
        <f t="shared" si="4"/>
        <v>0</v>
      </c>
      <c r="P117" s="414">
        <f t="shared" si="6"/>
        <v>0</v>
      </c>
      <c r="Q117" s="409">
        <f t="shared" si="5"/>
        <v>0</v>
      </c>
      <c r="R117" s="410"/>
      <c r="S117" s="410"/>
      <c r="T117" s="161"/>
      <c r="U117" s="169"/>
      <c r="V117" s="170"/>
      <c r="W117" s="169"/>
      <c r="X117" s="170"/>
      <c r="Y117" s="161"/>
      <c r="Z117" s="161"/>
      <c r="AA117" s="161"/>
      <c r="AB117" s="161"/>
      <c r="AC117" s="161"/>
      <c r="AD117" s="161"/>
      <c r="AE117" s="161"/>
      <c r="AF117" s="162"/>
      <c r="AG117" s="162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94"/>
      <c r="B118" s="194"/>
      <c r="C118" s="194"/>
      <c r="D118" s="194"/>
      <c r="E118" s="194"/>
      <c r="F118" s="194"/>
      <c r="G118" s="194"/>
      <c r="H118" s="194"/>
      <c r="I118" s="194"/>
      <c r="J118" s="194"/>
      <c r="K118" s="203"/>
      <c r="L118" s="195"/>
      <c r="M118" s="194"/>
      <c r="N118" s="160">
        <f t="shared" si="3"/>
        <v>9558.0496000000003</v>
      </c>
      <c r="O118" s="173">
        <f t="shared" si="4"/>
        <v>0.65410000000000001</v>
      </c>
      <c r="P118" s="414">
        <f t="shared" si="6"/>
        <v>6251.9202433600003</v>
      </c>
      <c r="Q118" s="409">
        <f t="shared" si="5"/>
        <v>0</v>
      </c>
      <c r="R118" s="410"/>
      <c r="S118" s="410"/>
      <c r="T118" s="161"/>
      <c r="U118" s="169"/>
      <c r="V118" s="170"/>
      <c r="W118" s="169"/>
      <c r="X118" s="170"/>
      <c r="Y118" s="161"/>
      <c r="Z118" s="161"/>
      <c r="AA118" s="161"/>
      <c r="AB118" s="161"/>
      <c r="AC118" s="161"/>
      <c r="AD118" s="161"/>
      <c r="AE118" s="161"/>
      <c r="AF118" s="162"/>
      <c r="AG118" s="162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94"/>
      <c r="B119" s="194"/>
      <c r="C119" s="194"/>
      <c r="D119" s="194"/>
      <c r="E119" s="194"/>
      <c r="F119" s="194"/>
      <c r="G119" s="194"/>
      <c r="H119" s="194"/>
      <c r="I119" s="194"/>
      <c r="J119" s="194"/>
      <c r="K119" s="203"/>
      <c r="L119" s="195"/>
      <c r="M119" s="194"/>
      <c r="N119" s="160">
        <f t="shared" si="3"/>
        <v>0</v>
      </c>
      <c r="O119" s="173">
        <f t="shared" si="4"/>
        <v>0</v>
      </c>
      <c r="P119" s="414">
        <f t="shared" si="6"/>
        <v>0</v>
      </c>
      <c r="Q119" s="409">
        <f t="shared" si="5"/>
        <v>0</v>
      </c>
      <c r="R119" s="410"/>
      <c r="S119" s="410"/>
      <c r="T119" s="161"/>
      <c r="U119" s="169"/>
      <c r="V119" s="170"/>
      <c r="W119" s="169"/>
      <c r="X119" s="170"/>
      <c r="Y119" s="161"/>
      <c r="Z119" s="161"/>
      <c r="AA119" s="161"/>
      <c r="AB119" s="161"/>
      <c r="AC119" s="161"/>
      <c r="AD119" s="161"/>
      <c r="AE119" s="161"/>
      <c r="AF119" s="162"/>
      <c r="AG119" s="162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94"/>
      <c r="B120" s="194"/>
      <c r="C120" s="194"/>
      <c r="D120" s="194"/>
      <c r="E120" s="194"/>
      <c r="F120" s="194"/>
      <c r="G120" s="194"/>
      <c r="H120" s="194"/>
      <c r="I120" s="194"/>
      <c r="J120" s="194"/>
      <c r="K120" s="203"/>
      <c r="L120" s="195"/>
      <c r="M120" s="194"/>
      <c r="N120" s="160">
        <f t="shared" si="3"/>
        <v>0</v>
      </c>
      <c r="O120" s="173">
        <f t="shared" si="4"/>
        <v>0</v>
      </c>
      <c r="P120" s="414">
        <f t="shared" si="6"/>
        <v>0</v>
      </c>
      <c r="Q120" s="409">
        <f t="shared" si="5"/>
        <v>0</v>
      </c>
      <c r="R120" s="410"/>
      <c r="S120" s="410"/>
      <c r="T120" s="161"/>
      <c r="U120" s="169"/>
      <c r="V120" s="170"/>
      <c r="W120" s="169"/>
      <c r="X120" s="170"/>
      <c r="Y120" s="161"/>
      <c r="Z120" s="161"/>
      <c r="AA120" s="161"/>
      <c r="AB120" s="161"/>
      <c r="AC120" s="161"/>
      <c r="AD120" s="161"/>
      <c r="AE120" s="161"/>
      <c r="AF120" s="162"/>
      <c r="AG120" s="162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94"/>
      <c r="B121" s="194"/>
      <c r="C121" s="194"/>
      <c r="D121" s="203"/>
      <c r="E121" s="203"/>
      <c r="F121" s="204"/>
      <c r="G121" s="204"/>
      <c r="H121" s="194"/>
      <c r="I121" s="194"/>
      <c r="J121" s="194"/>
      <c r="K121" s="203"/>
      <c r="L121" s="195"/>
      <c r="M121" s="194"/>
      <c r="N121" s="160">
        <f t="shared" si="3"/>
        <v>1688.6904</v>
      </c>
      <c r="O121" s="173">
        <f t="shared" si="4"/>
        <v>0.64180000000000004</v>
      </c>
      <c r="P121" s="414">
        <f t="shared" si="6"/>
        <v>1083.8014987199999</v>
      </c>
      <c r="Q121" s="409">
        <f t="shared" si="5"/>
        <v>0</v>
      </c>
      <c r="R121" s="410"/>
      <c r="S121" s="410"/>
      <c r="T121" s="161"/>
      <c r="U121" s="169"/>
      <c r="V121" s="170"/>
      <c r="W121" s="169"/>
      <c r="X121" s="170"/>
      <c r="Y121" s="161"/>
      <c r="Z121" s="161"/>
      <c r="AA121" s="161"/>
      <c r="AB121" s="161"/>
      <c r="AC121" s="161"/>
      <c r="AD121" s="161"/>
      <c r="AE121" s="161"/>
      <c r="AF121" s="162"/>
      <c r="AG121" s="162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94"/>
      <c r="B122" s="194"/>
      <c r="C122" s="194"/>
      <c r="D122" s="194"/>
      <c r="E122" s="194"/>
      <c r="F122" s="194"/>
      <c r="G122" s="194"/>
      <c r="H122" s="194"/>
      <c r="I122" s="194"/>
      <c r="J122" s="194"/>
      <c r="K122" s="203"/>
      <c r="L122" s="195"/>
      <c r="M122" s="194"/>
      <c r="N122" s="160">
        <f t="shared" si="3"/>
        <v>0</v>
      </c>
      <c r="O122" s="173">
        <f t="shared" si="4"/>
        <v>0</v>
      </c>
      <c r="P122" s="414">
        <f t="shared" si="6"/>
        <v>0</v>
      </c>
      <c r="Q122" s="409">
        <f t="shared" si="5"/>
        <v>0</v>
      </c>
      <c r="R122" s="410"/>
      <c r="S122" s="410"/>
      <c r="T122" s="161"/>
      <c r="U122" s="169"/>
      <c r="V122" s="170"/>
      <c r="W122" s="169"/>
      <c r="X122" s="170"/>
      <c r="Y122" s="161"/>
      <c r="Z122" s="161"/>
      <c r="AA122" s="161"/>
      <c r="AB122" s="161"/>
      <c r="AC122" s="161"/>
      <c r="AD122" s="161"/>
      <c r="AE122" s="161"/>
      <c r="AF122" s="162"/>
      <c r="AG122" s="162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94"/>
      <c r="B123" s="194"/>
      <c r="C123" s="194"/>
      <c r="D123" s="203"/>
      <c r="E123" s="203"/>
      <c r="F123" s="204"/>
      <c r="G123" s="203"/>
      <c r="H123" s="194"/>
      <c r="I123" s="194"/>
      <c r="J123" s="194"/>
      <c r="K123" s="203"/>
      <c r="L123" s="195"/>
      <c r="M123" s="194"/>
      <c r="N123" s="160">
        <f t="shared" si="3"/>
        <v>11473.344999999999</v>
      </c>
      <c r="O123" s="173">
        <f t="shared" si="4"/>
        <v>0</v>
      </c>
      <c r="P123" s="414">
        <f t="shared" si="6"/>
        <v>0</v>
      </c>
      <c r="Q123" s="409">
        <f t="shared" si="5"/>
        <v>0</v>
      </c>
      <c r="R123" s="410"/>
      <c r="S123" s="410"/>
      <c r="T123" s="161"/>
      <c r="U123" s="169"/>
      <c r="V123" s="170"/>
      <c r="W123" s="169"/>
      <c r="X123" s="170"/>
      <c r="Y123" s="161"/>
      <c r="Z123" s="161"/>
      <c r="AA123" s="161"/>
      <c r="AB123" s="161"/>
      <c r="AC123" s="161"/>
      <c r="AD123" s="161"/>
      <c r="AE123" s="161"/>
      <c r="AF123" s="162"/>
      <c r="AG123" s="162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94"/>
      <c r="B124" s="194"/>
      <c r="C124" s="194"/>
      <c r="D124" s="194"/>
      <c r="E124" s="194"/>
      <c r="F124" s="194"/>
      <c r="G124" s="194"/>
      <c r="H124" s="194"/>
      <c r="I124" s="194"/>
      <c r="J124" s="194"/>
      <c r="K124" s="203"/>
      <c r="L124" s="195"/>
      <c r="M124" s="194"/>
      <c r="N124" s="160">
        <f t="shared" si="3"/>
        <v>0</v>
      </c>
      <c r="O124" s="173">
        <f t="shared" si="4"/>
        <v>0</v>
      </c>
      <c r="P124" s="414">
        <f t="shared" si="6"/>
        <v>0</v>
      </c>
      <c r="Q124" s="409">
        <f t="shared" si="5"/>
        <v>1</v>
      </c>
      <c r="R124" s="410"/>
      <c r="S124" s="410"/>
      <c r="T124" s="161"/>
      <c r="U124" s="169"/>
      <c r="V124" s="170"/>
      <c r="W124" s="169"/>
      <c r="X124" s="170"/>
      <c r="Y124" s="161"/>
      <c r="Z124" s="161"/>
      <c r="AA124" s="161"/>
      <c r="AB124" s="161"/>
      <c r="AC124" s="161"/>
      <c r="AD124" s="161"/>
      <c r="AE124" s="161"/>
      <c r="AF124" s="162"/>
      <c r="AG124" s="162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94"/>
      <c r="B125" s="194"/>
      <c r="C125" s="194"/>
      <c r="D125" s="203"/>
      <c r="E125" s="203"/>
      <c r="F125" s="204"/>
      <c r="G125" s="194"/>
      <c r="H125" s="194"/>
      <c r="I125" s="194"/>
      <c r="J125" s="194"/>
      <c r="K125" s="203"/>
      <c r="L125" s="195"/>
      <c r="M125" s="194"/>
      <c r="N125" s="160">
        <f t="shared" si="3"/>
        <v>0</v>
      </c>
      <c r="O125" s="173">
        <f t="shared" si="4"/>
        <v>0</v>
      </c>
      <c r="P125" s="414">
        <f t="shared" si="6"/>
        <v>0</v>
      </c>
      <c r="Q125" s="409">
        <f t="shared" si="5"/>
        <v>0</v>
      </c>
      <c r="R125" s="410"/>
      <c r="S125" s="410"/>
      <c r="T125" s="161"/>
      <c r="U125" s="169"/>
      <c r="V125" s="170"/>
      <c r="W125" s="169"/>
      <c r="X125" s="170"/>
      <c r="Y125" s="161"/>
      <c r="Z125" s="161"/>
      <c r="AA125" s="161"/>
      <c r="AB125" s="161"/>
      <c r="AC125" s="161"/>
      <c r="AD125" s="161"/>
      <c r="AE125" s="161"/>
      <c r="AF125" s="162"/>
      <c r="AG125" s="162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94"/>
      <c r="B126" s="194"/>
      <c r="C126" s="194"/>
      <c r="D126" s="194"/>
      <c r="E126" s="194"/>
      <c r="F126" s="194"/>
      <c r="G126" s="194"/>
      <c r="H126" s="194"/>
      <c r="I126" s="194"/>
      <c r="J126" s="194"/>
      <c r="K126" s="203"/>
      <c r="L126" s="195"/>
      <c r="M126" s="194"/>
      <c r="N126" s="160">
        <f t="shared" si="3"/>
        <v>0</v>
      </c>
      <c r="O126" s="173">
        <f t="shared" si="4"/>
        <v>0</v>
      </c>
      <c r="P126" s="414">
        <f t="shared" si="6"/>
        <v>0</v>
      </c>
      <c r="Q126" s="409">
        <f t="shared" si="5"/>
        <v>0</v>
      </c>
      <c r="R126" s="410"/>
      <c r="S126" s="410"/>
      <c r="T126" s="161"/>
      <c r="U126" s="169"/>
      <c r="V126" s="170"/>
      <c r="W126" s="169"/>
      <c r="X126" s="170"/>
      <c r="Y126" s="161"/>
      <c r="Z126" s="161"/>
      <c r="AA126" s="161"/>
      <c r="AB126" s="161"/>
      <c r="AC126" s="161"/>
      <c r="AD126" s="161"/>
      <c r="AE126" s="161"/>
      <c r="AF126" s="162"/>
      <c r="AG126" s="162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94"/>
      <c r="B127" s="194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60"/>
      <c r="O127" s="173"/>
      <c r="P127" s="173"/>
      <c r="Q127" s="160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94"/>
      <c r="B128" s="194"/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60"/>
      <c r="O128" s="173"/>
      <c r="P128" s="173"/>
      <c r="Q128" s="160"/>
      <c r="R128" s="174"/>
      <c r="S128" s="174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4"/>
      <c r="AD128" s="174"/>
      <c r="AE128" s="17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94"/>
      <c r="B129" s="194"/>
      <c r="C129" s="194"/>
      <c r="D129" s="194"/>
      <c r="E129" s="194"/>
      <c r="F129" s="194"/>
      <c r="G129" s="194"/>
      <c r="H129" s="194"/>
      <c r="I129" s="194"/>
      <c r="J129" s="194"/>
      <c r="K129" s="395"/>
      <c r="L129" s="395"/>
      <c r="M129" s="194"/>
      <c r="N129" s="191"/>
      <c r="O129" s="411"/>
      <c r="P129" s="173"/>
      <c r="Q129" s="160"/>
      <c r="R129" s="412"/>
      <c r="S129" s="174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94"/>
      <c r="B130" s="194"/>
      <c r="C130" s="194"/>
      <c r="D130" s="194"/>
      <c r="E130" s="194"/>
      <c r="F130" s="194"/>
      <c r="G130" s="194"/>
      <c r="H130" s="194"/>
      <c r="I130" s="194"/>
      <c r="J130" s="194"/>
      <c r="K130" s="206"/>
      <c r="L130" s="206"/>
      <c r="M130" s="194"/>
      <c r="N130" s="191"/>
      <c r="O130" s="411"/>
      <c r="P130" s="173"/>
      <c r="Q130" s="160"/>
      <c r="R130" s="412"/>
      <c r="S130" s="412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  <c r="AD130" s="174"/>
      <c r="AE130" s="17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94"/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72"/>
      <c r="O131" s="173"/>
      <c r="P131" s="173"/>
      <c r="Q131" s="160"/>
      <c r="R131" s="174"/>
      <c r="S131" s="174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4"/>
      <c r="AD131" s="174"/>
      <c r="AE131" s="17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94"/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72"/>
      <c r="O132" s="173"/>
      <c r="P132" s="160"/>
      <c r="Q132" s="160"/>
      <c r="R132" s="174"/>
      <c r="S132" s="174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4"/>
      <c r="AD132" s="174"/>
      <c r="AE132" s="17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94"/>
      <c r="B133" s="194"/>
      <c r="C133" s="194"/>
      <c r="D133" s="194"/>
      <c r="E133" s="194"/>
      <c r="F133" s="194"/>
      <c r="G133" s="194"/>
      <c r="H133" s="194"/>
      <c r="I133" s="194"/>
      <c r="J133" s="194"/>
      <c r="K133" s="194"/>
      <c r="L133" s="194"/>
      <c r="M133" s="194"/>
      <c r="N133" s="172"/>
      <c r="O133" s="173"/>
      <c r="P133" s="160"/>
      <c r="Q133" s="160"/>
      <c r="R133" s="174"/>
      <c r="S133" s="174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72"/>
      <c r="O134" s="173"/>
      <c r="P134" s="160"/>
      <c r="Q134" s="160"/>
      <c r="R134" s="174"/>
      <c r="S134" s="174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4"/>
      <c r="AD134" s="174"/>
      <c r="AE134" s="17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72"/>
      <c r="O135" s="173"/>
      <c r="P135" s="160"/>
      <c r="Q135" s="160"/>
      <c r="R135" s="174"/>
      <c r="S135" s="174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4"/>
      <c r="AD135" s="174"/>
      <c r="AE135" s="17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72"/>
      <c r="O136" s="173"/>
      <c r="P136" s="160"/>
      <c r="Q136" s="160"/>
      <c r="R136" s="174"/>
      <c r="S136" s="174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4"/>
      <c r="AD136" s="174"/>
      <c r="AE136" s="17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72"/>
      <c r="O137" s="173"/>
      <c r="P137" s="160"/>
      <c r="Q137" s="160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72"/>
      <c r="O138" s="173"/>
      <c r="P138" s="160"/>
      <c r="Q138" s="160"/>
      <c r="R138" s="174"/>
      <c r="S138" s="174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4"/>
      <c r="AD138" s="174"/>
      <c r="AE138" s="17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72"/>
      <c r="O139" s="173"/>
      <c r="P139" s="160"/>
      <c r="Q139" s="160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4"/>
      <c r="AD139" s="174"/>
      <c r="AE139" s="17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72"/>
      <c r="O140" s="173"/>
      <c r="P140" s="160"/>
      <c r="Q140" s="160"/>
      <c r="R140" s="174"/>
      <c r="S140" s="174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4"/>
      <c r="AD140" s="174"/>
      <c r="AE140" s="17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72"/>
      <c r="O141" s="173"/>
      <c r="P141" s="160"/>
      <c r="Q141" s="160"/>
      <c r="R141" s="174"/>
      <c r="S141" s="174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4"/>
      <c r="AD141" s="174"/>
      <c r="AE141" s="17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72"/>
      <c r="O142" s="173"/>
      <c r="P142" s="160"/>
      <c r="Q142" s="160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72"/>
      <c r="O143" s="173"/>
      <c r="P143" s="160"/>
      <c r="Q143" s="160"/>
      <c r="R143" s="174"/>
      <c r="S143" s="174"/>
      <c r="T143" s="174"/>
      <c r="U143" s="174"/>
      <c r="V143" s="174"/>
      <c r="W143" s="174"/>
      <c r="X143" s="174"/>
      <c r="Y143" s="174"/>
      <c r="Z143" s="174"/>
      <c r="AA143" s="174"/>
      <c r="AB143" s="174"/>
      <c r="AC143" s="174"/>
      <c r="AD143" s="174"/>
      <c r="AE143" s="17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72"/>
      <c r="O144" s="173"/>
      <c r="P144" s="160"/>
      <c r="Q144" s="160"/>
      <c r="R144" s="174"/>
      <c r="S144" s="174"/>
      <c r="T144" s="174"/>
      <c r="U144" s="174"/>
      <c r="V144" s="174"/>
      <c r="W144" s="174"/>
      <c r="X144" s="174"/>
      <c r="Y144" s="174"/>
      <c r="Z144" s="174"/>
      <c r="AA144" s="174"/>
      <c r="AB144" s="174"/>
      <c r="AC144" s="174"/>
      <c r="AD144" s="174"/>
      <c r="AE144" s="17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72"/>
      <c r="O145" s="173"/>
      <c r="P145" s="160"/>
      <c r="Q145" s="160"/>
      <c r="R145" s="174"/>
      <c r="S145" s="174"/>
      <c r="T145" s="174"/>
      <c r="U145" s="174"/>
      <c r="V145" s="174"/>
      <c r="W145" s="174"/>
      <c r="X145" s="174"/>
      <c r="Y145" s="174"/>
      <c r="Z145" s="174"/>
      <c r="AA145" s="174"/>
      <c r="AB145" s="174"/>
      <c r="AC145" s="174"/>
      <c r="AD145" s="174"/>
      <c r="AE145" s="17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72"/>
      <c r="O146" s="173"/>
      <c r="P146" s="160"/>
      <c r="Q146" s="160"/>
      <c r="R146" s="174"/>
      <c r="S146" s="174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4"/>
      <c r="AD146" s="174"/>
      <c r="AE146" s="17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72"/>
      <c r="O147" s="173"/>
      <c r="P147" s="160"/>
      <c r="Q147" s="160"/>
      <c r="R147" s="174"/>
      <c r="S147" s="174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72"/>
      <c r="O148" s="173"/>
      <c r="P148" s="160"/>
      <c r="Q148" s="160"/>
      <c r="R148" s="174"/>
      <c r="S148" s="174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4"/>
      <c r="AD148" s="174"/>
      <c r="AE148" s="17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72"/>
      <c r="O149" s="173"/>
      <c r="P149" s="160"/>
      <c r="Q149" s="160"/>
      <c r="R149" s="174"/>
      <c r="S149" s="174"/>
      <c r="T149" s="174"/>
      <c r="U149" s="174"/>
      <c r="V149" s="174"/>
      <c r="W149" s="174"/>
      <c r="X149" s="174"/>
      <c r="Y149" s="174"/>
      <c r="Z149" s="174"/>
      <c r="AA149" s="174"/>
      <c r="AB149" s="174"/>
      <c r="AC149" s="174"/>
      <c r="AD149" s="174"/>
      <c r="AE149" s="17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72"/>
      <c r="O150" s="173"/>
      <c r="P150" s="160"/>
      <c r="Q150" s="160"/>
      <c r="R150" s="174"/>
      <c r="S150" s="174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4"/>
      <c r="AD150" s="174"/>
      <c r="AE150" s="17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72"/>
      <c r="O151" s="173"/>
      <c r="P151" s="160"/>
      <c r="Q151" s="160"/>
      <c r="R151" s="174"/>
      <c r="S151" s="174"/>
      <c r="T151" s="174"/>
      <c r="U151" s="174"/>
      <c r="V151" s="174"/>
      <c r="W151" s="174"/>
      <c r="X151" s="174"/>
      <c r="Y151" s="174"/>
      <c r="Z151" s="174"/>
      <c r="AA151" s="174"/>
      <c r="AB151" s="174"/>
      <c r="AC151" s="174"/>
      <c r="AD151" s="174"/>
      <c r="AE151" s="17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72"/>
      <c r="O152" s="173"/>
      <c r="P152" s="160"/>
      <c r="Q152" s="160"/>
      <c r="R152" s="174"/>
      <c r="S152" s="174"/>
      <c r="T152" s="174"/>
      <c r="U152" s="174"/>
      <c r="V152" s="174"/>
      <c r="W152" s="174"/>
      <c r="X152" s="174"/>
      <c r="Y152" s="174"/>
      <c r="Z152" s="174"/>
      <c r="AA152" s="174"/>
      <c r="AB152" s="174"/>
      <c r="AC152" s="174"/>
      <c r="AD152" s="174"/>
      <c r="AE152" s="17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72"/>
      <c r="O153" s="173"/>
      <c r="P153" s="160"/>
      <c r="Q153" s="160"/>
      <c r="R153" s="174"/>
      <c r="S153" s="174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72"/>
      <c r="O154" s="173"/>
      <c r="P154" s="160"/>
      <c r="Q154" s="160"/>
      <c r="R154" s="174"/>
      <c r="S154" s="174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4"/>
      <c r="AD154" s="174"/>
      <c r="AE154" s="17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72"/>
      <c r="O155" s="173"/>
      <c r="P155" s="160"/>
      <c r="Q155" s="160"/>
      <c r="R155" s="174"/>
      <c r="S155" s="174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4"/>
      <c r="AD155" s="174"/>
      <c r="AE155" s="17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72"/>
      <c r="O156" s="173"/>
      <c r="P156" s="160"/>
      <c r="Q156" s="160"/>
      <c r="R156" s="174"/>
      <c r="S156" s="174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4"/>
      <c r="AD156" s="174"/>
      <c r="AE156" s="17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72"/>
      <c r="O157" s="173"/>
      <c r="P157" s="160"/>
      <c r="Q157" s="160"/>
      <c r="R157" s="174"/>
      <c r="S157" s="174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4"/>
      <c r="AD157" s="174"/>
      <c r="AE157" s="17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72"/>
      <c r="O158" s="173"/>
      <c r="P158" s="160"/>
      <c r="Q158" s="160"/>
      <c r="R158" s="174"/>
      <c r="S158" s="174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4"/>
      <c r="AD158" s="174"/>
      <c r="AE158" s="17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72"/>
      <c r="O159" s="173"/>
      <c r="P159" s="160"/>
      <c r="Q159" s="160"/>
      <c r="R159" s="174"/>
      <c r="S159" s="174"/>
      <c r="T159" s="174"/>
      <c r="U159" s="174"/>
      <c r="V159" s="174"/>
      <c r="W159" s="174"/>
      <c r="X159" s="174"/>
      <c r="Y159" s="174"/>
      <c r="Z159" s="174"/>
      <c r="AA159" s="174"/>
      <c r="AB159" s="174"/>
      <c r="AC159" s="174"/>
      <c r="AD159" s="174"/>
      <c r="AE159" s="17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72"/>
      <c r="O160" s="173"/>
      <c r="P160" s="160"/>
      <c r="Q160" s="160"/>
      <c r="R160" s="174"/>
      <c r="S160" s="174"/>
      <c r="T160" s="174"/>
      <c r="U160" s="174"/>
      <c r="V160" s="174"/>
      <c r="W160" s="174"/>
      <c r="X160" s="174"/>
      <c r="Y160" s="174"/>
      <c r="Z160" s="174"/>
      <c r="AA160" s="174"/>
      <c r="AB160" s="174"/>
      <c r="AC160" s="174"/>
      <c r="AD160" s="174"/>
      <c r="AE160" s="17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72"/>
      <c r="O161" s="173"/>
      <c r="P161" s="160"/>
      <c r="Q161" s="160"/>
      <c r="R161" s="174"/>
      <c r="S161" s="174"/>
      <c r="T161" s="174"/>
      <c r="U161" s="174"/>
      <c r="V161" s="174"/>
      <c r="W161" s="174"/>
      <c r="X161" s="174"/>
      <c r="Y161" s="174"/>
      <c r="Z161" s="174"/>
      <c r="AA161" s="174"/>
      <c r="AB161" s="174"/>
      <c r="AC161" s="174"/>
      <c r="AD161" s="174"/>
      <c r="AE161" s="17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72"/>
      <c r="O162" s="173"/>
      <c r="P162" s="160"/>
      <c r="Q162" s="160"/>
      <c r="R162" s="174"/>
      <c r="S162" s="174"/>
      <c r="T162" s="174"/>
      <c r="U162" s="174"/>
      <c r="V162" s="174"/>
      <c r="W162" s="174"/>
      <c r="X162" s="174"/>
      <c r="Y162" s="174"/>
      <c r="Z162" s="174"/>
      <c r="AA162" s="174"/>
      <c r="AB162" s="174"/>
      <c r="AC162" s="174"/>
      <c r="AD162" s="174"/>
      <c r="AE162" s="17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72"/>
      <c r="O163" s="173"/>
      <c r="P163" s="160"/>
      <c r="Q163" s="160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72"/>
      <c r="O164" s="173"/>
      <c r="P164" s="160"/>
      <c r="Q164" s="160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72"/>
      <c r="O165" s="173"/>
      <c r="P165" s="160"/>
      <c r="Q165" s="160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72"/>
      <c r="O166" s="173"/>
      <c r="P166" s="160"/>
      <c r="Q166" s="160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72"/>
      <c r="O167" s="173"/>
      <c r="P167" s="160"/>
      <c r="Q167" s="160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72"/>
      <c r="O168" s="173"/>
      <c r="P168" s="160"/>
      <c r="Q168" s="160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72"/>
      <c r="O169" s="173"/>
      <c r="P169" s="160"/>
      <c r="Q169" s="160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72"/>
      <c r="O170" s="173"/>
      <c r="P170" s="160"/>
      <c r="Q170" s="160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72"/>
      <c r="O171" s="173"/>
      <c r="P171" s="160"/>
      <c r="Q171" s="160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72"/>
      <c r="O172" s="173"/>
      <c r="P172" s="160"/>
      <c r="Q172" s="160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72"/>
      <c r="O173" s="173"/>
      <c r="P173" s="160"/>
      <c r="Q173" s="160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72"/>
      <c r="O174" s="173"/>
      <c r="P174" s="160"/>
      <c r="Q174" s="160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72"/>
      <c r="O175" s="173"/>
      <c r="P175" s="160"/>
      <c r="Q175" s="160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72"/>
      <c r="O176" s="173"/>
      <c r="P176" s="160"/>
      <c r="Q176" s="160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72"/>
      <c r="O177" s="173"/>
      <c r="P177" s="160"/>
      <c r="Q177" s="160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72"/>
      <c r="O178" s="173"/>
      <c r="P178" s="160"/>
      <c r="Q178" s="160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72"/>
      <c r="O179" s="173"/>
      <c r="P179" s="160"/>
      <c r="Q179" s="160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72"/>
      <c r="O180" s="173"/>
      <c r="P180" s="160"/>
      <c r="Q180" s="160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72"/>
      <c r="O181" s="173"/>
      <c r="P181" s="160"/>
      <c r="Q181" s="160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72"/>
      <c r="O182" s="173"/>
      <c r="P182" s="160"/>
      <c r="Q182" s="160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72"/>
      <c r="O183" s="173"/>
      <c r="P183" s="160"/>
      <c r="Q183" s="160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72"/>
      <c r="O184" s="173"/>
      <c r="P184" s="160"/>
      <c r="Q184" s="160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72"/>
      <c r="O185" s="173"/>
      <c r="P185" s="160"/>
      <c r="Q185" s="160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72"/>
      <c r="O186" s="173"/>
      <c r="P186" s="160"/>
      <c r="Q186" s="160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72"/>
      <c r="O187" s="173"/>
      <c r="P187" s="160"/>
      <c r="Q187" s="160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72"/>
      <c r="O188" s="173"/>
      <c r="P188" s="160"/>
      <c r="Q188" s="160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72"/>
      <c r="O189" s="173"/>
      <c r="P189" s="160"/>
      <c r="Q189" s="160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72"/>
      <c r="O190" s="173"/>
      <c r="P190" s="160"/>
      <c r="Q190" s="160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91"/>
      <c r="L195" s="191"/>
      <c r="M195" s="160"/>
      <c r="N195" s="160"/>
      <c r="O195" s="160"/>
      <c r="P195" s="160"/>
      <c r="Q195" s="160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91"/>
      <c r="L196" s="191"/>
      <c r="M196" s="160"/>
      <c r="N196" s="160"/>
      <c r="O196" s="160"/>
      <c r="P196" s="160"/>
      <c r="Q196" s="160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61"/>
      <c r="E236" s="161"/>
      <c r="F236" s="161"/>
      <c r="G236" s="161"/>
      <c r="H236" s="161"/>
      <c r="I236" s="161"/>
      <c r="J236" s="161"/>
      <c r="K236" s="161"/>
      <c r="L236" s="161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61"/>
      <c r="E237" s="161"/>
      <c r="F237" s="161"/>
      <c r="G237" s="161"/>
      <c r="H237" s="161"/>
      <c r="I237" s="161"/>
      <c r="J237" s="161"/>
      <c r="K237" s="161"/>
      <c r="L237" s="161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61"/>
      <c r="E238" s="161"/>
      <c r="F238" s="161"/>
      <c r="G238" s="161"/>
      <c r="H238" s="161"/>
      <c r="I238" s="161"/>
      <c r="J238" s="161"/>
      <c r="K238" s="161"/>
      <c r="L238" s="161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61"/>
      <c r="E239" s="161"/>
      <c r="F239" s="161"/>
      <c r="G239" s="161"/>
      <c r="H239" s="161"/>
      <c r="I239" s="161"/>
      <c r="J239" s="161"/>
      <c r="K239" s="161"/>
      <c r="L239" s="161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61"/>
      <c r="E240" s="161"/>
      <c r="F240" s="161"/>
      <c r="G240" s="161"/>
      <c r="H240" s="161"/>
      <c r="I240" s="161"/>
      <c r="J240" s="161"/>
      <c r="K240" s="161"/>
      <c r="L240" s="161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61"/>
      <c r="E241" s="161"/>
      <c r="F241" s="161"/>
      <c r="G241" s="161"/>
      <c r="H241" s="161"/>
      <c r="I241" s="161"/>
      <c r="J241" s="161"/>
      <c r="K241" s="161"/>
      <c r="L241" s="161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61"/>
      <c r="E242" s="161"/>
      <c r="F242" s="161"/>
      <c r="G242" s="161"/>
      <c r="H242" s="161"/>
      <c r="I242" s="161"/>
      <c r="J242" s="161"/>
      <c r="K242" s="161"/>
      <c r="L242" s="161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61"/>
      <c r="E243" s="161"/>
      <c r="F243" s="161"/>
      <c r="G243" s="161"/>
      <c r="H243" s="161"/>
      <c r="I243" s="161"/>
      <c r="J243" s="161"/>
      <c r="K243" s="161"/>
      <c r="L243" s="161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61"/>
      <c r="E244" s="161"/>
      <c r="F244" s="161"/>
      <c r="G244" s="161"/>
      <c r="H244" s="161"/>
      <c r="I244" s="161"/>
      <c r="J244" s="161"/>
      <c r="K244" s="161"/>
      <c r="L244" s="161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61"/>
      <c r="E245" s="161"/>
      <c r="F245" s="161"/>
      <c r="G245" s="161"/>
      <c r="H245" s="161"/>
      <c r="I245" s="161"/>
      <c r="J245" s="161"/>
      <c r="K245" s="161"/>
      <c r="L245" s="161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61"/>
      <c r="E246" s="161"/>
      <c r="F246" s="161"/>
      <c r="G246" s="161"/>
      <c r="H246" s="161"/>
      <c r="I246" s="161"/>
      <c r="J246" s="161"/>
      <c r="K246" s="161"/>
      <c r="L246" s="161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61"/>
      <c r="E247" s="161"/>
      <c r="F247" s="161"/>
      <c r="G247" s="161"/>
      <c r="H247" s="161"/>
      <c r="I247" s="161"/>
      <c r="J247" s="161"/>
      <c r="K247" s="161"/>
      <c r="L247" s="161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61"/>
      <c r="E248" s="161"/>
      <c r="F248" s="161"/>
      <c r="G248" s="161"/>
      <c r="H248" s="161"/>
      <c r="I248" s="161"/>
      <c r="J248" s="161"/>
      <c r="K248" s="161"/>
      <c r="L248" s="161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61"/>
      <c r="E249" s="161"/>
      <c r="F249" s="161"/>
      <c r="G249" s="161"/>
      <c r="H249" s="161"/>
      <c r="I249" s="161"/>
      <c r="J249" s="161"/>
      <c r="K249" s="161"/>
      <c r="L249" s="161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61"/>
      <c r="E250" s="161"/>
      <c r="F250" s="161"/>
      <c r="G250" s="161"/>
      <c r="H250" s="161"/>
      <c r="I250" s="161"/>
      <c r="J250" s="161"/>
      <c r="K250" s="161"/>
      <c r="L250" s="161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61"/>
      <c r="E251" s="161"/>
      <c r="F251" s="161"/>
      <c r="G251" s="161"/>
      <c r="H251" s="161"/>
      <c r="I251" s="161"/>
      <c r="J251" s="161"/>
      <c r="K251" s="161"/>
      <c r="L251" s="161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61"/>
      <c r="E252" s="161"/>
      <c r="F252" s="161"/>
      <c r="G252" s="161"/>
      <c r="H252" s="161"/>
      <c r="I252" s="161"/>
      <c r="J252" s="161"/>
      <c r="K252" s="161"/>
      <c r="L252" s="161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61"/>
      <c r="E253" s="161"/>
      <c r="F253" s="161"/>
      <c r="G253" s="161"/>
      <c r="H253" s="161"/>
      <c r="I253" s="161"/>
      <c r="J253" s="161"/>
      <c r="K253" s="161"/>
      <c r="L253" s="161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61"/>
      <c r="E254" s="161"/>
      <c r="F254" s="161"/>
      <c r="G254" s="161"/>
      <c r="H254" s="161"/>
      <c r="I254" s="161"/>
      <c r="J254" s="161"/>
      <c r="K254" s="161"/>
      <c r="L254" s="161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61"/>
      <c r="E255" s="161"/>
      <c r="F255" s="161"/>
      <c r="G255" s="161"/>
      <c r="H255" s="161"/>
      <c r="I255" s="161"/>
      <c r="J255" s="161"/>
      <c r="K255" s="161"/>
      <c r="L255" s="161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61"/>
      <c r="E256" s="161"/>
      <c r="F256" s="161"/>
      <c r="G256" s="161"/>
      <c r="H256" s="161"/>
      <c r="I256" s="161"/>
      <c r="J256" s="161"/>
      <c r="K256" s="161"/>
      <c r="L256" s="161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topLeftCell="A39" zoomScale="160" zoomScaleNormal="160" workbookViewId="0">
      <selection activeCell="B43" sqref="B43"/>
    </sheetView>
  </sheetViews>
  <sheetFormatPr baseColWidth="10" defaultRowHeight="15"/>
  <cols>
    <col min="1" max="1" width="64.33203125" customWidth="1"/>
    <col min="2" max="2" width="17.5" customWidth="1"/>
    <col min="3" max="3" width="18.6640625" customWidth="1"/>
  </cols>
  <sheetData>
    <row r="1" spans="1:4" ht="16" thickBot="1">
      <c r="A1" s="157"/>
      <c r="B1" s="190" t="s">
        <v>34</v>
      </c>
      <c r="C1" s="190" t="s">
        <v>9</v>
      </c>
      <c r="D1" s="20"/>
    </row>
    <row r="2" spans="1:4">
      <c r="A2" s="175" t="s">
        <v>122</v>
      </c>
      <c r="B2" s="193">
        <f>Utilidad!A1</f>
        <v>261455.17020557521</v>
      </c>
      <c r="C2" s="156">
        <f>IF(Utilidad!B1&gt;1,Utilidad!B1/100,Utilidad!B1)</f>
        <v>0.58909999999999996</v>
      </c>
      <c r="D2" s="192"/>
    </row>
    <row r="3" spans="1:4">
      <c r="A3" s="176" t="s">
        <v>123</v>
      </c>
      <c r="B3" s="193">
        <f>Utilidad!A2</f>
        <v>11473.344999999999</v>
      </c>
      <c r="C3" s="156">
        <f>IF(Utilidad!B2&gt;1,Utilidad!B2/100,Utilidad!B2)</f>
        <v>0.62939999999999996</v>
      </c>
      <c r="D3" s="192"/>
    </row>
    <row r="4" spans="1:4">
      <c r="A4" s="176" t="s">
        <v>124</v>
      </c>
      <c r="B4" s="193">
        <f>Utilidad!A3</f>
        <v>249981.82520557521</v>
      </c>
      <c r="C4" s="156">
        <f>IF(Utilidad!B3&gt;1,Utilidad!B3/100,Utilidad!B3)</f>
        <v>0.58720000000000006</v>
      </c>
      <c r="D4" s="192"/>
    </row>
    <row r="5" spans="1:4">
      <c r="A5" s="176" t="s">
        <v>125</v>
      </c>
      <c r="B5" s="193">
        <f>Utilidad!A4</f>
        <v>-4116.7369201152997</v>
      </c>
      <c r="C5" s="156">
        <f>IF(Utilidad!B4&gt;1,Utilidad!B4/100,Utilidad!B4)</f>
        <v>0.6</v>
      </c>
      <c r="D5" s="192"/>
    </row>
    <row r="6" spans="1:4">
      <c r="A6" s="176" t="s">
        <v>126</v>
      </c>
      <c r="B6" s="193">
        <f>Utilidad!A5</f>
        <v>254098.5621256904</v>
      </c>
      <c r="C6" s="156">
        <f>IF(Utilidad!B5&gt;1,Utilidad!B5/100,Utilidad!B5)</f>
        <v>0.6</v>
      </c>
      <c r="D6" s="192"/>
    </row>
    <row r="7" spans="1:4">
      <c r="A7" s="176" t="s">
        <v>30</v>
      </c>
      <c r="B7" s="193">
        <f>Utilidad!A6</f>
        <v>693.98717870610005</v>
      </c>
      <c r="C7" s="156">
        <f>IF(Utilidad!B6&gt;1,Utilidad!B6/100,Utilidad!B6)</f>
        <v>0.6</v>
      </c>
      <c r="D7" s="192"/>
    </row>
    <row r="8" spans="1:4">
      <c r="A8" s="176" t="s">
        <v>127</v>
      </c>
      <c r="B8" s="193">
        <f>Utilidad!A7</f>
        <v>253404.5749469843</v>
      </c>
      <c r="C8" s="156">
        <f>IF(Utilidad!B7&gt;1,Utilidad!B7/100,Utilidad!B7)</f>
        <v>0.6</v>
      </c>
      <c r="D8" s="192"/>
    </row>
    <row r="9" spans="1:4">
      <c r="A9" s="176" t="s">
        <v>128</v>
      </c>
      <c r="B9" s="193">
        <f>Utilidad!A8</f>
        <v>1500</v>
      </c>
      <c r="C9" s="156">
        <f>IF(Utilidad!B8&gt;1,Utilidad!B8/100,Utilidad!B8)</f>
        <v>0.6</v>
      </c>
      <c r="D9" s="192"/>
    </row>
    <row r="10" spans="1:4">
      <c r="A10" s="176" t="s">
        <v>129</v>
      </c>
      <c r="B10" s="193">
        <f>Utilidad!A9</f>
        <v>43011</v>
      </c>
      <c r="C10" s="156">
        <f>IF(Utilidad!B9&gt;1,Utilidad!B9/100,Utilidad!B9)</f>
        <v>9.9900000000000003E-2</v>
      </c>
      <c r="D10" s="192"/>
    </row>
    <row r="11" spans="1:4">
      <c r="A11" s="176" t="s">
        <v>130</v>
      </c>
      <c r="B11" s="193">
        <f>Utilidad!A10</f>
        <v>208893.5749469843</v>
      </c>
      <c r="C11" s="156">
        <f>IF(Utilidad!B10&gt;1,Utilidad!B10/100,Utilidad!B10)</f>
        <v>0.68630000000000002</v>
      </c>
      <c r="D11" s="192"/>
    </row>
    <row r="12" spans="1:4">
      <c r="A12" s="176" t="s">
        <v>131</v>
      </c>
      <c r="B12" s="193">
        <f>Utilidad!A11</f>
        <v>-870</v>
      </c>
      <c r="C12" s="156">
        <f>IF(Utilidad!B11&gt;1,Utilidad!B11/100,Utilidad!B11)</f>
        <v>0.68469999999999998</v>
      </c>
      <c r="D12" s="192"/>
    </row>
    <row r="13" spans="1:4" ht="16" thickBot="1">
      <c r="A13" s="177" t="s">
        <v>132</v>
      </c>
      <c r="B13" s="193">
        <f>Utilidad!A12</f>
        <v>0</v>
      </c>
      <c r="C13" s="156">
        <f>IF(Utilidad!B12&gt;1,Utilidad!B12/100,Utilidad!B12)</f>
        <v>0</v>
      </c>
      <c r="D13" s="192"/>
    </row>
    <row r="14" spans="1:4">
      <c r="A14" s="158" t="s">
        <v>133</v>
      </c>
      <c r="B14" s="193">
        <f>Utilidad!A13</f>
        <v>209763.5749469843</v>
      </c>
      <c r="C14" s="156">
        <f>IF(Utilidad!B13&gt;1,Utilidad!B13/100,Utilidad!B13)</f>
        <v>0.68479999999999996</v>
      </c>
      <c r="D14" s="192"/>
    </row>
    <row r="15" spans="1:4">
      <c r="A15" s="158" t="s">
        <v>134</v>
      </c>
      <c r="B15" s="193">
        <f>Utilidad!A14</f>
        <v>84629.508799999996</v>
      </c>
      <c r="C15" s="156">
        <f>IF(Utilidad!B14&gt;1,Utilidad!B14/100,Utilidad!B14)</f>
        <v>0.68479999999999996</v>
      </c>
      <c r="D15" s="192"/>
    </row>
    <row r="16" spans="1:4">
      <c r="A16" s="158" t="s">
        <v>135</v>
      </c>
      <c r="B16" s="193">
        <f>Utilidad!A15</f>
        <v>125134.0661469843</v>
      </c>
      <c r="C16" s="156">
        <f>IF(Utilidad!B15&gt;1,Utilidad!B15/100,Utilidad!B15)</f>
        <v>0.68479999999999996</v>
      </c>
      <c r="D16" s="192"/>
    </row>
    <row r="17" spans="1:4">
      <c r="A17" s="158" t="s">
        <v>136</v>
      </c>
      <c r="B17" s="193">
        <f>Utilidad!A16</f>
        <v>0</v>
      </c>
      <c r="C17" s="156">
        <f>IF(Utilidad!B16&gt;1,Utilidad!B16/100,Utilidad!B16)</f>
        <v>0</v>
      </c>
      <c r="D17" s="192"/>
    </row>
    <row r="18" spans="1:4">
      <c r="A18" s="158" t="s">
        <v>137</v>
      </c>
      <c r="B18" s="193">
        <f>Utilidad!A17</f>
        <v>1151.136</v>
      </c>
      <c r="C18" s="156">
        <f>IF(Utilidad!B17&gt;1,Utilidad!B17/100,Utilidad!B17)</f>
        <v>0.68479999999999996</v>
      </c>
      <c r="D18" s="192"/>
    </row>
    <row r="19" spans="1:4">
      <c r="A19" s="158" t="s">
        <v>12</v>
      </c>
      <c r="B19" s="193">
        <f>Utilidad!A18</f>
        <v>0</v>
      </c>
      <c r="C19" s="156">
        <f>IF(Utilidad!B18&gt;1,Utilidad!B18/100,Utilidad!B18)</f>
        <v>0</v>
      </c>
      <c r="D19" s="192"/>
    </row>
    <row r="20" spans="1:4">
      <c r="A20" s="158" t="s">
        <v>138</v>
      </c>
      <c r="B20" s="193">
        <f>Utilidad!A19</f>
        <v>0</v>
      </c>
      <c r="C20" s="156">
        <f>IF(Utilidad!B19&gt;1,Utilidad!B19/100,Utilidad!B19)</f>
        <v>0</v>
      </c>
      <c r="D20" s="192"/>
    </row>
    <row r="21" spans="1:4">
      <c r="A21" s="158" t="s">
        <v>139</v>
      </c>
      <c r="B21" s="193">
        <f>Utilidad!A20</f>
        <v>1151.136</v>
      </c>
      <c r="C21" s="156">
        <f>IF(Utilidad!B20&gt;1,Utilidad!B20/100,Utilidad!B20)</f>
        <v>0.68469999999999998</v>
      </c>
      <c r="D21" s="192"/>
    </row>
    <row r="22" spans="1:4">
      <c r="A22" s="158" t="s">
        <v>140</v>
      </c>
      <c r="B22" s="193">
        <f>Utilidad!A21</f>
        <v>83478.372799999997</v>
      </c>
      <c r="C22" s="156">
        <f>IF(Utilidad!B21&gt;1,Utilidad!B21/100,Utilidad!B21)</f>
        <v>0.68469999999999998</v>
      </c>
      <c r="D22" s="192"/>
    </row>
    <row r="23" spans="1:4">
      <c r="A23" s="158" t="s">
        <v>13</v>
      </c>
      <c r="B23" s="193">
        <f>Utilidad!A22</f>
        <v>87216.858032629694</v>
      </c>
      <c r="C23" s="156">
        <f>IF(Utilidad!B22&gt;1,Utilidad!B22/100,Utilidad!B22)</f>
        <v>0.68469999999999998</v>
      </c>
      <c r="D23" s="192"/>
    </row>
    <row r="24" spans="1:4">
      <c r="A24" s="158" t="s">
        <v>141</v>
      </c>
      <c r="B24" s="193">
        <f>Utilidad!A23</f>
        <v>0</v>
      </c>
      <c r="C24" s="156">
        <f>IF(Utilidad!B23&gt;1,Utilidad!B23/100,Utilidad!B23)</f>
        <v>0</v>
      </c>
      <c r="D24" s="192"/>
    </row>
    <row r="25" spans="1:4" ht="16" thickBot="1">
      <c r="A25" s="178" t="s">
        <v>142</v>
      </c>
      <c r="B25" s="193">
        <f>Utilidad!A24</f>
        <v>7011</v>
      </c>
      <c r="C25" s="156">
        <f>IF(Utilidad!B24&gt;1,Utilidad!B24/100,Utilidad!B24)</f>
        <v>0</v>
      </c>
      <c r="D25" s="192"/>
    </row>
    <row r="26" spans="1:4">
      <c r="A26" s="179" t="s">
        <v>143</v>
      </c>
      <c r="B26" s="193">
        <f>Utilidad!A25</f>
        <v>132145.06614698429</v>
      </c>
      <c r="C26" s="156">
        <f>IF(Utilidad!B25&gt;1,Utilidad!B25/100,Utilidad!B25)</f>
        <v>0.64849999999999997</v>
      </c>
      <c r="D26" s="192"/>
    </row>
    <row r="27" spans="1:4">
      <c r="A27" s="179" t="s">
        <v>144</v>
      </c>
      <c r="B27" s="193">
        <f>Utilidad!A26</f>
        <v>11983.055953228601</v>
      </c>
      <c r="C27" s="156">
        <f>IF(Utilidad!B26&gt;1,Utilidad!B26/100,Utilidad!B26)</f>
        <v>0.64359999999999995</v>
      </c>
      <c r="D27" s="192"/>
    </row>
    <row r="28" spans="1:4">
      <c r="A28" s="179" t="s">
        <v>69</v>
      </c>
      <c r="B28" s="193">
        <f>Utilidad!A27</f>
        <v>13097.735953228599</v>
      </c>
      <c r="C28" s="156">
        <f>IF(Utilidad!B27&gt;1,Utilidad!B27/100,Utilidad!B27)</f>
        <v>0</v>
      </c>
      <c r="D28" s="192"/>
    </row>
    <row r="29" spans="1:4">
      <c r="A29" s="179" t="s">
        <v>145</v>
      </c>
      <c r="B29" s="193">
        <f>Utilidad!A28</f>
        <v>1189.3055953229</v>
      </c>
      <c r="C29" s="156">
        <f>IF(Utilidad!B28&gt;1,Utilidad!B28/100,Utilidad!B28)</f>
        <v>0.64359999999999995</v>
      </c>
      <c r="D29" s="192"/>
    </row>
    <row r="30" spans="1:4">
      <c r="A30" s="179" t="s">
        <v>66</v>
      </c>
      <c r="B30" s="193">
        <f>Utilidad!A29</f>
        <v>1189.3055953229</v>
      </c>
      <c r="C30" s="156">
        <f>IF(Utilidad!B29&gt;1,Utilidad!B29/100,Utilidad!B29)</f>
        <v>0.65410000000000001</v>
      </c>
      <c r="D30" s="192"/>
    </row>
    <row r="31" spans="1:4">
      <c r="A31" s="179" t="s">
        <v>146</v>
      </c>
      <c r="B31" s="193">
        <f>Utilidad!A30</f>
        <v>1000</v>
      </c>
      <c r="C31" s="156">
        <f>IF(Utilidad!B30&gt;1,Utilidad!B30/100,Utilidad!B30)</f>
        <v>0</v>
      </c>
      <c r="D31" s="192"/>
    </row>
    <row r="32" spans="1:4" ht="16" thickBot="1">
      <c r="A32" s="180" t="s">
        <v>147</v>
      </c>
      <c r="B32" s="193">
        <f>Utilidad!A31</f>
        <v>3287.8954015671002</v>
      </c>
      <c r="C32" s="156">
        <f>IF(Utilidad!B31&gt;1,Utilidad!B31/100,Utilidad!B31)</f>
        <v>0.64359999999999995</v>
      </c>
      <c r="D32" s="192"/>
    </row>
    <row r="33" spans="1:4">
      <c r="A33" s="181" t="s">
        <v>148</v>
      </c>
      <c r="B33" s="193">
        <f>Utilidad!A32</f>
        <v>123260.6</v>
      </c>
      <c r="C33" s="156">
        <f>IF(Utilidad!B32&gt;1,Utilidad!B32/100,Utilidad!B32)</f>
        <v>0.65410000000000001</v>
      </c>
      <c r="D33" s="192"/>
    </row>
    <row r="34" spans="1:4">
      <c r="A34" s="182" t="s">
        <v>149</v>
      </c>
      <c r="B34" s="193">
        <f>Utilidad!A33</f>
        <v>0</v>
      </c>
      <c r="C34" s="156">
        <f>IF(Utilidad!B33&gt;1,Utilidad!B33/100,Utilidad!B33)</f>
        <v>0</v>
      </c>
      <c r="D34" s="192"/>
    </row>
    <row r="35" spans="1:4">
      <c r="A35" s="182" t="s">
        <v>31</v>
      </c>
      <c r="B35" s="193">
        <f>Utilidad!A34</f>
        <v>-3287.8954015671002</v>
      </c>
      <c r="C35" s="156">
        <f>IF(Utilidad!B34&gt;1,Utilidad!B34/100,Utilidad!B34)</f>
        <v>0</v>
      </c>
      <c r="D35" s="192"/>
    </row>
    <row r="36" spans="1:4">
      <c r="A36" s="182" t="s">
        <v>150</v>
      </c>
      <c r="B36" s="193">
        <f>Utilidad!A35</f>
        <v>4312.5021039050998</v>
      </c>
      <c r="C36" s="156">
        <f>IF(Utilidad!B35&gt;1,Utilidad!B35/100,Utilidad!B35)</f>
        <v>0.65410000000000001</v>
      </c>
      <c r="D36" s="192"/>
    </row>
    <row r="37" spans="1:4">
      <c r="A37" s="182" t="s">
        <v>67</v>
      </c>
      <c r="B37" s="193">
        <f>Utilidad!A36</f>
        <v>-6548.9178960949002</v>
      </c>
      <c r="C37" s="156">
        <f>IF(Utilidad!B36&gt;1,Utilidad!B36/100,Utilidad!B36)</f>
        <v>0</v>
      </c>
      <c r="D37" s="192"/>
    </row>
    <row r="38" spans="1:4">
      <c r="A38" s="182" t="s">
        <v>151</v>
      </c>
      <c r="B38" s="193">
        <f>Utilidad!A37</f>
        <v>108207.245</v>
      </c>
      <c r="C38" s="156">
        <f>IF(Utilidad!B37&gt;1,Utilidad!B37/100,Utilidad!B37)</f>
        <v>0.65410000000000001</v>
      </c>
      <c r="D38" s="192"/>
    </row>
    <row r="39" spans="1:4">
      <c r="A39" s="182" t="s">
        <v>15</v>
      </c>
      <c r="B39" s="193">
        <f>Utilidad!A38</f>
        <v>117765.29459999999</v>
      </c>
      <c r="C39" s="156">
        <f>IF(Utilidad!B38&gt;1,Utilidad!B38/100,Utilidad!B38)</f>
        <v>0.65539999999999998</v>
      </c>
      <c r="D39" s="192"/>
    </row>
    <row r="40" spans="1:4" ht="16" thickBot="1">
      <c r="A40" s="183" t="s">
        <v>152</v>
      </c>
      <c r="B40" s="193">
        <f>Utilidad!A39</f>
        <v>0</v>
      </c>
      <c r="C40" s="156">
        <f>IF(Utilidad!B39&gt;1,Utilidad!B39/100,Utilidad!B39)</f>
        <v>0</v>
      </c>
      <c r="D40" s="192"/>
    </row>
    <row r="41" spans="1:4">
      <c r="A41" s="158" t="s">
        <v>153</v>
      </c>
      <c r="B41" s="193">
        <f>Utilidad!A40</f>
        <v>1926.6</v>
      </c>
      <c r="C41" s="156">
        <f>IF(Utilidad!B40&gt;1,Utilidad!B40/100,Utilidad!B40)</f>
        <v>0.57999999999999996</v>
      </c>
      <c r="D41" s="192"/>
    </row>
    <row r="42" spans="1:4">
      <c r="A42" s="158" t="s">
        <v>154</v>
      </c>
      <c r="B42" s="193">
        <f>Utilidad!A41</f>
        <v>1541.28</v>
      </c>
      <c r="C42" s="156">
        <f>IF(Utilidad!B41&gt;1,Utilidad!B41/100,Utilidad!B41)</f>
        <v>0.57999999999999996</v>
      </c>
      <c r="D42" s="192"/>
    </row>
    <row r="43" spans="1:4">
      <c r="A43" s="158" t="s">
        <v>155</v>
      </c>
      <c r="B43" s="193">
        <f>Utilidad!A42</f>
        <v>385.32</v>
      </c>
      <c r="C43" s="156">
        <f>IF(Utilidad!B42&gt;1,Utilidad!B42/100,Utilidad!B42)</f>
        <v>0.60029999999999994</v>
      </c>
      <c r="D43" s="192"/>
    </row>
    <row r="44" spans="1:4">
      <c r="A44" s="158" t="s">
        <v>156</v>
      </c>
      <c r="B44" s="193">
        <f>Utilidad!A43</f>
        <v>385.32</v>
      </c>
      <c r="C44" s="156">
        <f>IF(Utilidad!B43&gt;1,Utilidad!B43/100,Utilidad!B43)</f>
        <v>0.60029999999999994</v>
      </c>
      <c r="D44" s="192"/>
    </row>
    <row r="45" spans="1:4" ht="16" thickBot="1">
      <c r="A45" s="158" t="s">
        <v>157</v>
      </c>
      <c r="B45" s="193">
        <f>Utilidad!A44</f>
        <v>0</v>
      </c>
      <c r="C45" s="156">
        <f>IF(Utilidad!B44&gt;1,Utilidad!B44/100,Utilidad!B44)</f>
        <v>0</v>
      </c>
      <c r="D45" s="192"/>
    </row>
    <row r="46" spans="1:4">
      <c r="A46" s="184" t="s">
        <v>158</v>
      </c>
      <c r="B46" s="193">
        <f>Utilidad!A45</f>
        <v>0</v>
      </c>
      <c r="C46" s="156">
        <f>IF(Utilidad!B45&gt;1,Utilidad!B45/100,Utilidad!B45)</f>
        <v>0</v>
      </c>
      <c r="D46" s="192"/>
    </row>
    <row r="47" spans="1:4">
      <c r="A47" s="185" t="s">
        <v>159</v>
      </c>
      <c r="B47" s="193">
        <f>Utilidad!A46</f>
        <v>0</v>
      </c>
      <c r="C47" s="156">
        <f>IF(Utilidad!B46&gt;1,Utilidad!B46/100,Utilidad!B46)</f>
        <v>0</v>
      </c>
      <c r="D47" s="192"/>
    </row>
    <row r="48" spans="1:4">
      <c r="A48" s="185" t="s">
        <v>160</v>
      </c>
      <c r="B48" s="193">
        <f>Utilidad!A47</f>
        <v>0</v>
      </c>
      <c r="C48" s="156">
        <f>IF(Utilidad!B47&gt;1,Utilidad!B47/100,Utilidad!B47)</f>
        <v>0.60029999999999994</v>
      </c>
      <c r="D48" s="192"/>
    </row>
    <row r="49" spans="1:4" ht="16" thickBot="1">
      <c r="A49" s="186" t="s">
        <v>161</v>
      </c>
      <c r="B49" s="193">
        <f>Utilidad!A48</f>
        <v>0</v>
      </c>
      <c r="C49" s="156">
        <f>IF(Utilidad!B48&gt;1,Utilidad!B48/100,Utilidad!B48)</f>
        <v>0</v>
      </c>
      <c r="D49" s="192"/>
    </row>
    <row r="50" spans="1:4">
      <c r="A50" s="187" t="s">
        <v>162</v>
      </c>
      <c r="B50" s="193">
        <f>Utilidad!A49</f>
        <v>10861.42</v>
      </c>
      <c r="C50" s="156">
        <f>IF(Utilidad!B49&gt;1,Utilidad!B49/100,Utilidad!B49)</f>
        <v>0.65410000000000001</v>
      </c>
      <c r="D50" s="192"/>
    </row>
    <row r="51" spans="1:4">
      <c r="A51" s="188" t="s">
        <v>163</v>
      </c>
      <c r="B51" s="193">
        <f>Utilidad!A50</f>
        <v>1303.3704</v>
      </c>
      <c r="C51" s="156">
        <f>IF(Utilidad!B50&gt;1,Utilidad!B50/100,Utilidad!B50)</f>
        <v>0.65410000000000001</v>
      </c>
      <c r="D51" s="192"/>
    </row>
    <row r="52" spans="1:4">
      <c r="A52" s="188" t="s">
        <v>164</v>
      </c>
      <c r="B52" s="193">
        <f>Utilidad!A51</f>
        <v>0</v>
      </c>
      <c r="C52" s="156">
        <f>IF(Utilidad!B51&gt;1,Utilidad!B51/100,Utilidad!B51)</f>
        <v>0</v>
      </c>
      <c r="D52" s="192"/>
    </row>
    <row r="53" spans="1:4" ht="16" thickBot="1">
      <c r="A53" s="189" t="s">
        <v>165</v>
      </c>
      <c r="B53" s="193">
        <f>Utilidad!A52</f>
        <v>9558.0496000000003</v>
      </c>
      <c r="C53" s="156">
        <f>IF(Utilidad!B52&gt;1,Utilidad!B52/100,Utilidad!B52)</f>
        <v>0.65410000000000001</v>
      </c>
      <c r="D53" s="192"/>
    </row>
    <row r="54" spans="1:4">
      <c r="A54" s="158" t="s">
        <v>166</v>
      </c>
      <c r="B54" s="193">
        <f>Utilidad!A53</f>
        <v>0</v>
      </c>
      <c r="C54" s="156">
        <f>IF(Utilidad!B53&gt;1,Utilidad!B53/100,Utilidad!B53)</f>
        <v>0</v>
      </c>
      <c r="D54" s="192"/>
    </row>
    <row r="55" spans="1:4">
      <c r="A55" s="158" t="s">
        <v>167</v>
      </c>
      <c r="B55" s="193">
        <f>Utilidad!A54</f>
        <v>0</v>
      </c>
      <c r="C55" s="156">
        <f>IF(Utilidad!B54&gt;1,Utilidad!B54/100,Utilidad!B54)</f>
        <v>0</v>
      </c>
      <c r="D55" s="192"/>
    </row>
    <row r="56" spans="1:4">
      <c r="A56" s="158" t="s">
        <v>14</v>
      </c>
      <c r="B56" s="193">
        <f>Utilidad!A55</f>
        <v>1688.6904</v>
      </c>
      <c r="C56" s="156">
        <f>IF(Utilidad!B55&gt;1,Utilidad!B55/100,Utilidad!B55)</f>
        <v>0.64180000000000004</v>
      </c>
      <c r="D56" s="192"/>
    </row>
    <row r="57" spans="1:4">
      <c r="A57" s="158" t="s">
        <v>168</v>
      </c>
      <c r="B57" s="193">
        <f>Utilidad!A56</f>
        <v>0</v>
      </c>
      <c r="C57" s="156">
        <f>IF(Utilidad!B56&gt;1,Utilidad!B56/100,Utilidad!B56)</f>
        <v>0</v>
      </c>
      <c r="D57" s="192"/>
    </row>
    <row r="58" spans="1:4">
      <c r="A58" s="158" t="s">
        <v>32</v>
      </c>
      <c r="B58" s="193">
        <f>Utilidad!A57</f>
        <v>11473.344999999999</v>
      </c>
      <c r="C58" s="156">
        <f>IF(Utilidad!B57&gt;1,Utilidad!B57/100,Utilidad!B57)</f>
        <v>0</v>
      </c>
      <c r="D58" s="192"/>
    </row>
    <row r="59" spans="1:4">
      <c r="A59" s="158" t="s">
        <v>169</v>
      </c>
      <c r="B59" s="193">
        <f>Utilidad!A58</f>
        <v>0</v>
      </c>
      <c r="C59" s="156">
        <f>IF(Utilidad!B58&gt;1,Utilidad!B58/100,Utilidad!B58)</f>
        <v>0</v>
      </c>
      <c r="D59" s="192"/>
    </row>
    <row r="60" spans="1:4">
      <c r="A60" s="158" t="s">
        <v>33</v>
      </c>
      <c r="B60" s="193">
        <f>Utilidad!A59</f>
        <v>0</v>
      </c>
      <c r="C60" s="156">
        <f>IF(Utilidad!B59&gt;1,Utilidad!B59/100,Utilidad!B59)</f>
        <v>0</v>
      </c>
      <c r="D60" s="192"/>
    </row>
    <row r="61" spans="1:4">
      <c r="A61" s="159" t="s">
        <v>170</v>
      </c>
      <c r="B61" s="193">
        <f>Utilidad!A60</f>
        <v>0</v>
      </c>
      <c r="C61" s="156">
        <f>IF(Utilidad!B60&gt;1,Utilidad!B60/100,Utilidad!B60)</f>
        <v>0</v>
      </c>
      <c r="D61" s="19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opLeftCell="A32" zoomScale="120" zoomScaleNormal="120" workbookViewId="0">
      <selection activeCell="M38" sqref="M38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261455.17020557521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0.58909999999999996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154023.24076810436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0.62939999999999996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7221.3233429999991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249981.82520557521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0.58720000000000006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146789.32776071379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</f>
        <v>-4116.7369201152997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</f>
        <v>-2470.0421520691798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</f>
        <v>11473.344999999999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254098.5621256904</v>
      </c>
      <c r="J19" s="23"/>
      <c r="K19" s="23"/>
      <c r="L19" s="23"/>
      <c r="M19" s="23"/>
      <c r="N19" s="23"/>
      <c r="O19" s="23"/>
      <c r="P19" s="23"/>
      <c r="Q19" s="23"/>
      <c r="R19" s="90">
        <f>+Utilidad!P123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0.6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152459.13727541422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</f>
        <v>693.98717870610005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</f>
        <v>416.39230722366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253404.5749469843</v>
      </c>
      <c r="J29" s="23"/>
      <c r="K29" s="23"/>
      <c r="L29" s="23"/>
      <c r="M29" s="23"/>
      <c r="N29" s="86">
        <f>+Utilidad!N107</f>
        <v>1541.28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0.6</v>
      </c>
      <c r="J30" s="117"/>
      <c r="K30" s="23"/>
      <c r="L30" s="23"/>
      <c r="M30" s="23"/>
      <c r="N30" s="87">
        <f>+Utilidad!O107</f>
        <v>0.57999999999999996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3950.68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152042.74496819059</v>
      </c>
      <c r="J31" s="23"/>
      <c r="K31" s="23"/>
      <c r="L31" s="23"/>
      <c r="M31" s="23"/>
      <c r="N31" s="90">
        <f>+Utilidad!P107</f>
        <v>893.94239999999991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9.9900000000000003E-2</v>
      </c>
      <c r="G32" s="23"/>
      <c r="H32" s="23"/>
      <c r="I32" s="23"/>
      <c r="J32" s="23"/>
      <c r="K32" s="23"/>
      <c r="L32" s="23"/>
      <c r="M32" s="23"/>
      <c r="O32" s="23"/>
      <c r="P32" s="146">
        <f>+Q32/O34</f>
        <v>0.2</v>
      </c>
      <c r="Q32" s="86">
        <f>+Utilidad!N108</f>
        <v>385.32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4296.7988999999998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0.60029999999999994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1500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231.30759599999996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0.6</v>
      </c>
      <c r="K35" s="23"/>
      <c r="L35" s="23"/>
      <c r="M35" s="23"/>
      <c r="N35" s="23"/>
      <c r="O35" s="91">
        <f>+Utilidad!O106</f>
        <v>0.57999999999999996</v>
      </c>
      <c r="P35" s="23"/>
      <c r="Q35" s="23"/>
      <c r="R35" s="86">
        <f>+Utilidad!N109</f>
        <v>385.32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900</v>
      </c>
      <c r="K36" s="23"/>
      <c r="L36" s="88">
        <f>+J34+J44+J53+K59</f>
        <v>13483.055953228601</v>
      </c>
      <c r="M36" s="23"/>
      <c r="O36" s="92">
        <f>+Utilidad!P106</f>
        <v>1117.4279999999999</v>
      </c>
      <c r="P36" s="23"/>
      <c r="Q36" s="23"/>
      <c r="R36" s="87">
        <f>+Utilidad!O109</f>
        <v>0.60029999999999994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129140.5088</v>
      </c>
      <c r="G37" s="23"/>
      <c r="H37" s="23"/>
      <c r="I37" s="88">
        <f>+Utilidad!N76</f>
        <v>208893.5749469843</v>
      </c>
      <c r="J37" s="23"/>
      <c r="K37" s="23"/>
      <c r="L37" s="91">
        <f>+IF(L36&lt;&gt;0,(J34*J35+J44*J45+J53*J54+K59*K60)/L36,0)</f>
        <v>0.63874946758161744</v>
      </c>
      <c r="M37" s="23"/>
      <c r="P37" s="23"/>
      <c r="Q37" s="23"/>
      <c r="R37" s="90">
        <f>+Utilidad!P109</f>
        <v>231.30759599999996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0.82434808049810349</v>
      </c>
      <c r="G38" s="23"/>
      <c r="H38" s="23"/>
      <c r="I38" s="91">
        <f>+Utilidad!O76</f>
        <v>0.68630000000000002</v>
      </c>
      <c r="J38" s="23"/>
      <c r="K38" s="23"/>
      <c r="L38" s="92">
        <f>+L36*L37</f>
        <v>8612.2948114979263</v>
      </c>
      <c r="M38" s="85">
        <f>+Utilidad!N93</f>
        <v>13097.735953228599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143363.66048611532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5877.28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</f>
        <v>1688.6904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0.60029999999999994</v>
      </c>
      <c r="R41" s="23"/>
      <c r="S41" s="92">
        <f>+Utilidad!P121</f>
        <v>1083.8014987199999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0.68469999999999998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1303.3704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</f>
        <v>87216.858032629694</v>
      </c>
      <c r="E46" s="23"/>
      <c r="F46" s="92">
        <f>+Utilidad!P87</f>
        <v>57157.641856159993</v>
      </c>
      <c r="G46" s="23"/>
      <c r="H46" s="85">
        <f>+Utilidad!N77</f>
        <v>-870</v>
      </c>
      <c r="J46" s="92">
        <f>+Utilidad!P78</f>
        <v>0</v>
      </c>
      <c r="K46" s="23"/>
      <c r="L46" s="23"/>
      <c r="M46" s="85">
        <f>+Utilidad!N95</f>
        <v>1189.3055953229</v>
      </c>
      <c r="O46" s="92">
        <f>+Utilidad!P111</f>
        <v>0</v>
      </c>
      <c r="P46" s="23"/>
      <c r="Q46" s="87"/>
      <c r="R46" s="87">
        <f>+Utilidad!O116</f>
        <v>0.65410000000000001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</f>
        <v>59717.382694941552</v>
      </c>
      <c r="E47" s="23"/>
      <c r="F47" s="23"/>
      <c r="G47" s="23"/>
      <c r="H47" s="92">
        <f>+Utilidad!P77</f>
        <v>-595.68899999999996</v>
      </c>
      <c r="I47" s="23"/>
      <c r="J47" s="23"/>
      <c r="K47" s="23"/>
      <c r="L47" s="23"/>
      <c r="M47" s="92">
        <f>+Utilidad!P95</f>
        <v>777.9247899007089</v>
      </c>
      <c r="N47" s="23"/>
      <c r="O47" s="23"/>
      <c r="P47" s="23"/>
      <c r="Q47" s="90"/>
      <c r="R47" s="90">
        <f>+Utilidad!P116</f>
        <v>852.53457864000006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209763.5749469843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0.68479999999999996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0.68469999999999998</v>
      </c>
      <c r="E50" s="23"/>
      <c r="F50" s="23"/>
      <c r="G50" s="23"/>
      <c r="H50" s="23"/>
      <c r="I50" s="92">
        <f>+Utilidad!P79</f>
        <v>143646.09612369485</v>
      </c>
      <c r="J50" s="23"/>
      <c r="K50" s="142">
        <f>+L50/(F65+I57)</f>
        <v>9.0000000000003133E-3</v>
      </c>
      <c r="L50" s="88">
        <f>+Utilidad!N94</f>
        <v>1189.3055953229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788.18281919999993</v>
      </c>
      <c r="E51" s="23"/>
      <c r="F51" s="23"/>
      <c r="G51" s="23"/>
      <c r="H51" s="23"/>
      <c r="I51" s="23"/>
      <c r="J51" s="23"/>
      <c r="K51" s="23"/>
      <c r="L51" s="91">
        <f>+Utilidad!O94</f>
        <v>0.64359999999999995</v>
      </c>
      <c r="M51" s="23"/>
      <c r="O51" s="86">
        <f>+Utilidad!N115</f>
        <v>10861.42</v>
      </c>
      <c r="P51" s="23"/>
      <c r="Q51" s="23"/>
      <c r="R51" s="86">
        <f>+Utilidad!N117</f>
        <v>0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765.43708114981837</v>
      </c>
      <c r="M52" s="23"/>
      <c r="N52" s="23"/>
      <c r="O52" s="87">
        <f>+Utilidad!O115</f>
        <v>0.65410000000000001</v>
      </c>
      <c r="P52" s="23"/>
      <c r="Q52" s="23"/>
      <c r="R52" s="87">
        <f>+Utilidad!O117</f>
        <v>0</v>
      </c>
      <c r="S52" s="23"/>
      <c r="T52" s="23"/>
      <c r="U52" s="8">
        <f>R45+R35</f>
        <v>1688.6904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7104.4548220000006</v>
      </c>
      <c r="P53" s="23"/>
      <c r="Q53" s="23"/>
      <c r="R53" s="90">
        <f>+Utilidad!P117</f>
        <v>0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0.68479999999999996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57954.287626239995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0.68479999999999996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</f>
        <v>-6548.9178960949002</v>
      </c>
      <c r="P56" s="23"/>
      <c r="Q56" s="23"/>
      <c r="R56" s="88">
        <f>+Utilidad!N118</f>
        <v>9558.0496000000003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788.2979327999999</v>
      </c>
      <c r="F57" s="23"/>
      <c r="G57" s="23"/>
      <c r="H57" s="23"/>
      <c r="I57" s="88">
        <f>+Utilidad!N81</f>
        <v>125134.0661469843</v>
      </c>
      <c r="J57" s="23"/>
      <c r="K57" s="23"/>
      <c r="L57" s="23"/>
      <c r="M57" s="23"/>
      <c r="O57" s="92">
        <f>+Utilidad!P102</f>
        <v>0</v>
      </c>
      <c r="P57" s="23"/>
      <c r="Q57" s="23"/>
      <c r="R57" s="91">
        <f>+Utilidad!O118</f>
        <v>0.65410000000000001</v>
      </c>
      <c r="S57" s="85">
        <f>+Utilidad!N125</f>
        <v>0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0.68479999999999996</v>
      </c>
      <c r="J58" s="23"/>
      <c r="K58" s="23"/>
      <c r="L58" s="23"/>
      <c r="N58" s="86">
        <f>+Utilidad!N101</f>
        <v>4312.5021039050998</v>
      </c>
      <c r="O58" s="23"/>
      <c r="P58" s="23"/>
      <c r="Q58" s="23"/>
      <c r="R58" s="92">
        <f>+Utilidad!P118</f>
        <v>6251.9202433600003</v>
      </c>
      <c r="S58" s="92">
        <f>+Utilidad!P125</f>
        <v>0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85691.80849745484</v>
      </c>
      <c r="J59" s="142">
        <f>+K59/(I57+F65)</f>
        <v>9.0681069695783476E-2</v>
      </c>
      <c r="K59" s="88">
        <f>+Utilidad!N92</f>
        <v>11983.055953228601</v>
      </c>
      <c r="L59" s="23"/>
      <c r="N59" s="87">
        <f>+Utilidad!O101</f>
        <v>0.65410000000000001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0.64359999999999995</v>
      </c>
      <c r="L60" s="23"/>
      <c r="N60" s="90">
        <f>+Utilidad!P101</f>
        <v>2820.8076261643259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7712.2948114979272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0.65410000000000001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70778.3589545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7011</v>
      </c>
      <c r="G65" s="23"/>
      <c r="H65" s="23"/>
      <c r="I65" s="23"/>
      <c r="J65" s="23">
        <f>+K59/H67</f>
        <v>9.0681069695783476E-2</v>
      </c>
      <c r="K65" s="23"/>
      <c r="L65" s="23"/>
      <c r="M65" s="23"/>
      <c r="N65" s="23"/>
      <c r="O65" s="23"/>
      <c r="P65" s="23"/>
      <c r="Q65" s="23"/>
      <c r="R65" s="23"/>
      <c r="S65" s="85">
        <f>+Utilidad!N104</f>
        <v>117765.29459999999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</f>
        <v>77183.374080839989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132145.06614698429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0.64849999999999997</v>
      </c>
      <c r="I68" s="23"/>
      <c r="J68" s="23"/>
      <c r="K68" s="23"/>
      <c r="L68" s="86">
        <f>+Utilidad!N98</f>
        <v>123260.6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85696.075396319313</v>
      </c>
      <c r="I69" s="23"/>
      <c r="J69" s="23"/>
      <c r="K69" s="23"/>
      <c r="L69" s="87">
        <f>+Utilidad!O98</f>
        <v>0.65410000000000001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80624.758460000012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3287.8954015671002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0.64359999999999995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1000</v>
      </c>
      <c r="H74" s="23"/>
      <c r="I74" s="23"/>
      <c r="J74" s="23"/>
      <c r="K74" s="23"/>
      <c r="L74" s="23"/>
      <c r="M74" s="90">
        <f>+Utilidad!P97</f>
        <v>2116.0894804485856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</f>
        <v>-3287.8954015671002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3"/>
      <c r="F84" s="143"/>
      <c r="G84" s="121"/>
      <c r="H84" s="401" t="s">
        <v>119</v>
      </c>
      <c r="I84" s="401"/>
      <c r="J84" s="401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398" t="s">
        <v>71</v>
      </c>
      <c r="D85" s="399"/>
      <c r="E85" s="138" t="s">
        <v>101</v>
      </c>
      <c r="F85" s="125" t="s">
        <v>117</v>
      </c>
      <c r="G85" s="125" t="s">
        <v>102</v>
      </c>
      <c r="H85" s="138" t="s">
        <v>174</v>
      </c>
      <c r="I85" s="138" t="s">
        <v>175</v>
      </c>
      <c r="J85" s="138" t="s">
        <v>120</v>
      </c>
      <c r="K85" s="138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8" t="s">
        <v>111</v>
      </c>
      <c r="Q85" s="147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/>
      <c r="C86" s="396" t="s">
        <v>91</v>
      </c>
      <c r="D86" s="397"/>
      <c r="E86" s="135">
        <f>+R62/(1-Flujos!D38)</f>
        <v>108207.245</v>
      </c>
      <c r="F86" s="126"/>
      <c r="G86" s="135">
        <f>+T62/(1-Flujos!D40)</f>
        <v>0</v>
      </c>
      <c r="H86" s="135"/>
      <c r="I86" s="135"/>
      <c r="J86" s="135">
        <f>+E86+H86</f>
        <v>108207.245</v>
      </c>
      <c r="K86" s="135">
        <f>+G86+I86</f>
        <v>0</v>
      </c>
      <c r="L86" s="126">
        <v>235613</v>
      </c>
      <c r="M86" s="127">
        <f>+L86+J86-K86+F86</f>
        <v>343820.245</v>
      </c>
      <c r="N86" s="126"/>
      <c r="O86" s="132"/>
      <c r="P86" s="129">
        <v>79.209999999999994</v>
      </c>
      <c r="Q86" s="148">
        <f>+O86*P86</f>
        <v>0</v>
      </c>
      <c r="R86" s="150"/>
      <c r="S86" s="145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/>
      <c r="C87" s="396" t="s">
        <v>92</v>
      </c>
      <c r="D87" s="397"/>
      <c r="E87" s="133">
        <f>+N58/(1-Flujos!D36)</f>
        <v>4312.5021039050998</v>
      </c>
      <c r="F87" s="126"/>
      <c r="G87" s="133">
        <f>IF(T48&gt;0,T48/(1-Flujos!D59),0)</f>
        <v>0</v>
      </c>
      <c r="H87" s="133"/>
      <c r="I87" s="133"/>
      <c r="J87" s="133">
        <f t="shared" ref="J87:J92" si="1">+E87+H87</f>
        <v>4312.5021039050998</v>
      </c>
      <c r="K87" s="133">
        <f t="shared" ref="K87:K88" si="2">+G87+I87</f>
        <v>0</v>
      </c>
      <c r="L87" s="128">
        <v>50216</v>
      </c>
      <c r="M87" s="130">
        <f t="shared" ref="M87" si="3">+L87+J87-K87+F87</f>
        <v>54528.502103905099</v>
      </c>
      <c r="N87" s="128"/>
      <c r="O87" s="132"/>
      <c r="P87" s="129">
        <v>33.365380000000002</v>
      </c>
      <c r="Q87" s="148">
        <f t="shared" ref="Q87:Q98" si="4">+O87*P87</f>
        <v>0</v>
      </c>
      <c r="R87" s="150"/>
      <c r="S87" s="145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/>
      <c r="C88" s="396" t="s">
        <v>93</v>
      </c>
      <c r="D88" s="397"/>
      <c r="E88" s="133">
        <f>+(F44+D49)/(1-Flujos!D22)</f>
        <v>84629.508799999996</v>
      </c>
      <c r="F88" s="126"/>
      <c r="G88" s="133">
        <f>+U68/(1-Flujos!D24)</f>
        <v>0</v>
      </c>
      <c r="H88" s="133"/>
      <c r="I88" s="133"/>
      <c r="J88" s="133">
        <f>+E88+H88</f>
        <v>84629.508799999996</v>
      </c>
      <c r="K88" s="133">
        <f t="shared" si="2"/>
        <v>0</v>
      </c>
      <c r="L88" s="128">
        <v>95389</v>
      </c>
      <c r="M88" s="130">
        <f>+L88+J88-K88+F88</f>
        <v>180018.50880000001</v>
      </c>
      <c r="N88" s="136"/>
      <c r="O88" s="132"/>
      <c r="P88" s="129">
        <v>39.83</v>
      </c>
      <c r="Q88" s="148">
        <f t="shared" si="4"/>
        <v>0</v>
      </c>
      <c r="R88" s="150"/>
      <c r="S88" s="145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/>
      <c r="C89" s="396" t="s">
        <v>94</v>
      </c>
      <c r="D89" s="397"/>
      <c r="E89" s="128">
        <f>+I19/(1-Flujos!D6)</f>
        <v>254098.5621256904</v>
      </c>
      <c r="F89" s="126"/>
      <c r="G89" s="128"/>
      <c r="H89" s="128"/>
      <c r="I89" s="128"/>
      <c r="J89" s="128"/>
      <c r="K89" s="128"/>
      <c r="L89" s="128"/>
      <c r="M89" s="130"/>
      <c r="N89" s="128"/>
      <c r="O89" s="132"/>
      <c r="P89" s="129"/>
      <c r="Q89" s="148">
        <f t="shared" si="4"/>
        <v>0</v>
      </c>
      <c r="R89" s="150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396" t="s">
        <v>95</v>
      </c>
      <c r="D90" s="397"/>
      <c r="E90" s="128">
        <f>+I37/(1-0.0087)</f>
        <v>210726.89896800596</v>
      </c>
      <c r="F90" s="126"/>
      <c r="G90" s="128"/>
      <c r="H90" s="128"/>
      <c r="J90" s="128">
        <f t="shared" si="1"/>
        <v>210726.89896800596</v>
      </c>
      <c r="K90" s="128"/>
      <c r="L90" s="128"/>
      <c r="M90" s="130"/>
      <c r="N90" s="128"/>
      <c r="O90" s="132"/>
      <c r="P90" s="129"/>
      <c r="Q90" s="148">
        <f t="shared" si="4"/>
        <v>0</v>
      </c>
      <c r="R90" s="150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396" t="s">
        <v>96</v>
      </c>
      <c r="D91" s="397"/>
      <c r="E91" s="131">
        <f>+F38*100</f>
        <v>82.434808049810343</v>
      </c>
      <c r="F91" s="126"/>
      <c r="G91" s="128"/>
      <c r="H91" s="128"/>
      <c r="I91" s="128"/>
      <c r="J91" s="128">
        <f>F38*100</f>
        <v>82.434808049810343</v>
      </c>
      <c r="K91" s="128"/>
      <c r="L91" s="128"/>
      <c r="M91" s="130"/>
      <c r="N91" s="128"/>
      <c r="O91" s="132"/>
      <c r="P91" s="129"/>
      <c r="Q91" s="148">
        <f t="shared" si="4"/>
        <v>0</v>
      </c>
      <c r="R91" s="150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396" t="s">
        <v>97</v>
      </c>
      <c r="D92" s="397"/>
      <c r="E92" s="128">
        <f>+F31</f>
        <v>43011</v>
      </c>
      <c r="F92" s="126"/>
      <c r="G92" s="128"/>
      <c r="H92" s="128"/>
      <c r="I92" s="128"/>
      <c r="J92" s="128">
        <f t="shared" si="1"/>
        <v>43011</v>
      </c>
      <c r="K92" s="128"/>
      <c r="L92" s="128"/>
      <c r="M92" s="130"/>
      <c r="N92" s="128"/>
      <c r="O92" s="132"/>
      <c r="P92" s="129"/>
      <c r="Q92" s="148">
        <f t="shared" si="4"/>
        <v>0</v>
      </c>
      <c r="R92" s="150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/>
      <c r="C93" s="396" t="s">
        <v>103</v>
      </c>
      <c r="D93" s="397"/>
      <c r="E93" s="128">
        <f>+G12/(1-Flujos!D4)</f>
        <v>249981.82520557521</v>
      </c>
      <c r="F93" s="126"/>
      <c r="G93" s="128">
        <f>+E89</f>
        <v>254098.5621256904</v>
      </c>
      <c r="H93" s="133"/>
      <c r="I93" s="133"/>
      <c r="J93" s="133">
        <f>+E93+H93</f>
        <v>249981.82520557521</v>
      </c>
      <c r="K93" s="133">
        <f t="shared" ref="K93" si="5">+G93+I93</f>
        <v>254098.5621256904</v>
      </c>
      <c r="L93" s="128">
        <v>0</v>
      </c>
      <c r="M93" s="130">
        <f>+L93+J93-K93+F93</f>
        <v>-4116.7369201151887</v>
      </c>
      <c r="N93" s="128"/>
      <c r="O93" s="132"/>
      <c r="P93" s="129">
        <f>+T94</f>
        <v>0</v>
      </c>
      <c r="Q93" s="148">
        <f t="shared" si="4"/>
        <v>0</v>
      </c>
      <c r="R93" s="150"/>
      <c r="S93" s="145"/>
      <c r="T93" s="121"/>
      <c r="U93" s="121"/>
      <c r="V93" s="121"/>
      <c r="W93" s="121"/>
      <c r="X93" s="121"/>
      <c r="Y93" s="121"/>
    </row>
    <row r="94" spans="2:25" ht="14.5" customHeight="1">
      <c r="B94" s="122"/>
      <c r="C94" s="396" t="s">
        <v>104</v>
      </c>
      <c r="D94" s="397"/>
      <c r="E94" s="133">
        <f>+O9/(1-Flujos!D3)</f>
        <v>11473.344999999999</v>
      </c>
      <c r="F94" s="126"/>
      <c r="G94" s="133">
        <f>+U17/(1-Flujos!D57)</f>
        <v>0</v>
      </c>
      <c r="H94" s="133"/>
      <c r="I94" s="133"/>
      <c r="J94" s="133">
        <f>+E94+H94</f>
        <v>11473.344999999999</v>
      </c>
      <c r="K94" s="133">
        <f t="shared" ref="K94:K95" si="6">+G94+I94</f>
        <v>0</v>
      </c>
      <c r="L94" s="128">
        <v>174783</v>
      </c>
      <c r="M94" s="130">
        <f>+L94+J94-K94+F94</f>
        <v>186256.345</v>
      </c>
      <c r="N94" s="128"/>
      <c r="O94" s="132"/>
      <c r="P94" s="129">
        <v>15.38</v>
      </c>
      <c r="Q94" s="148">
        <f t="shared" si="4"/>
        <v>0</v>
      </c>
      <c r="R94" s="150"/>
      <c r="S94" s="145"/>
      <c r="T94" s="121"/>
      <c r="U94" s="121"/>
      <c r="V94" s="121"/>
      <c r="W94" s="121"/>
      <c r="X94" s="121"/>
      <c r="Y94" s="121"/>
    </row>
    <row r="95" spans="2:25" ht="14.5" customHeight="1">
      <c r="B95" s="122"/>
      <c r="C95" s="396" t="s">
        <v>98</v>
      </c>
      <c r="D95" s="397"/>
      <c r="E95" s="133">
        <f>+(R35+Q40+R45)/(1-0.0089)</f>
        <v>1703.8547068913329</v>
      </c>
      <c r="F95" s="126"/>
      <c r="G95" s="133">
        <f>+T39/(1-Flujos!D55)</f>
        <v>0</v>
      </c>
      <c r="H95" s="133"/>
      <c r="I95" s="133"/>
      <c r="J95" s="133">
        <f t="shared" ref="J95" si="7">+E95+H95</f>
        <v>1703.8547068913329</v>
      </c>
      <c r="K95" s="133">
        <f t="shared" si="6"/>
        <v>0</v>
      </c>
      <c r="L95" s="128">
        <v>57800</v>
      </c>
      <c r="M95" s="130">
        <f>+L95+J95-K95+F95</f>
        <v>59503.854706891332</v>
      </c>
      <c r="N95" s="128"/>
      <c r="O95" s="132"/>
      <c r="P95" s="129">
        <v>8.5485399999999991</v>
      </c>
      <c r="Q95" s="148">
        <f t="shared" si="4"/>
        <v>0</v>
      </c>
      <c r="R95" s="150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396" t="s">
        <v>115</v>
      </c>
      <c r="D96" s="397"/>
      <c r="E96" s="128"/>
      <c r="F96" s="128"/>
      <c r="G96" s="128"/>
      <c r="H96" s="128"/>
      <c r="I96" s="128"/>
      <c r="J96" s="128"/>
      <c r="K96" s="128"/>
      <c r="L96" s="128">
        <v>27</v>
      </c>
      <c r="M96" s="130">
        <f>+L96+E96-G96+F96</f>
        <v>27</v>
      </c>
      <c r="N96" s="128">
        <v>1510</v>
      </c>
      <c r="O96" s="132">
        <f t="shared" ref="O96" si="8">+N96-M96</f>
        <v>1483</v>
      </c>
      <c r="P96" s="129">
        <v>29.163329999999998</v>
      </c>
      <c r="Q96" s="148">
        <f t="shared" ref="Q96" si="9">+O96*P96</f>
        <v>43249.218389999995</v>
      </c>
      <c r="R96" s="150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396" t="s">
        <v>113</v>
      </c>
      <c r="D97" s="397"/>
      <c r="E97" s="128"/>
      <c r="F97" s="128"/>
      <c r="G97" s="128"/>
      <c r="H97" s="128"/>
      <c r="I97" s="128"/>
      <c r="J97" s="128"/>
      <c r="K97" s="128"/>
      <c r="L97" s="128">
        <v>72341.902000000002</v>
      </c>
      <c r="M97" s="130">
        <f>+L97+E97-G97+F97</f>
        <v>72341.902000000002</v>
      </c>
      <c r="N97" s="130">
        <v>74156</v>
      </c>
      <c r="O97" s="132">
        <f t="shared" ref="O97:O98" si="10">+N97-M97</f>
        <v>1814.0979999999981</v>
      </c>
      <c r="P97" s="129">
        <v>58.779760000000003</v>
      </c>
      <c r="Q97" s="148">
        <f t="shared" si="4"/>
        <v>106632.24505647989</v>
      </c>
      <c r="R97" s="150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396" t="s">
        <v>114</v>
      </c>
      <c r="D98" s="397"/>
      <c r="E98" s="128"/>
      <c r="F98" s="128"/>
      <c r="G98" s="128"/>
      <c r="H98" s="128"/>
      <c r="I98" s="128"/>
      <c r="J98" s="128"/>
      <c r="K98" s="128"/>
      <c r="L98" s="128">
        <v>31619</v>
      </c>
      <c r="M98" s="130">
        <f>+L98+E98-G98+F98</f>
        <v>31619</v>
      </c>
      <c r="N98" s="128">
        <v>34133</v>
      </c>
      <c r="O98" s="132">
        <f t="shared" si="10"/>
        <v>2514</v>
      </c>
      <c r="P98" s="129">
        <v>41.606699999999996</v>
      </c>
      <c r="Q98" s="148">
        <f t="shared" si="4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9"/>
      <c r="D99" s="139"/>
      <c r="E99" s="134">
        <f>+E86+E87+E88+E94+E95</f>
        <v>210326.45561079643</v>
      </c>
      <c r="F99" s="124"/>
      <c r="G99" s="134">
        <f>+G86+G87+G88+G94+G95</f>
        <v>0</v>
      </c>
      <c r="H99" s="122"/>
      <c r="I99" s="122"/>
      <c r="J99" s="134">
        <f>+J86+J87+J88+J94+J95</f>
        <v>210326.45561079643</v>
      </c>
      <c r="K99" s="134">
        <f>+K86+K87+K88+K94+K95</f>
        <v>0</v>
      </c>
      <c r="L99" s="124"/>
      <c r="M99" s="124"/>
      <c r="N99" s="124"/>
      <c r="O99" s="134">
        <f>SUM(O86:O98)</f>
        <v>5811.0979999999981</v>
      </c>
      <c r="P99" s="31"/>
      <c r="Q99" s="149">
        <f>SUM(Q86:Q98)</f>
        <v>254480.70724647987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7"/>
      <c r="D100" s="137"/>
      <c r="E100" s="122"/>
      <c r="F100" s="122"/>
      <c r="G100" s="122"/>
      <c r="H100" s="122"/>
      <c r="I100" s="122"/>
      <c r="J100" s="122"/>
      <c r="K100" s="122"/>
      <c r="O100" s="134">
        <f>SUM(O86:O98)-O93</f>
        <v>5811.0979999999981</v>
      </c>
      <c r="P100" s="31"/>
      <c r="Q100" s="149">
        <f>SUM(Q86:Q98)-Q93</f>
        <v>254480.70724647987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3"/>
      <c r="G101" s="121"/>
      <c r="H101" s="121"/>
      <c r="I101" s="121"/>
      <c r="J101" s="122"/>
      <c r="K101" s="145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E103" s="145"/>
      <c r="F103" s="145"/>
      <c r="G103" s="145">
        <f>IF(T48&gt;0,T48/(1-Flujos!D59),0)</f>
        <v>0</v>
      </c>
      <c r="H103" s="145"/>
      <c r="I103" s="145"/>
      <c r="J103" s="145"/>
      <c r="K103" s="145"/>
      <c r="L103" s="145"/>
      <c r="M103" s="145"/>
      <c r="N103" s="145"/>
      <c r="O103" s="121"/>
      <c r="P103" s="121"/>
      <c r="Q103" s="121"/>
      <c r="R103" s="400"/>
      <c r="S103" s="400"/>
      <c r="T103" s="7"/>
      <c r="U103" s="7"/>
      <c r="V103" s="7"/>
    </row>
    <row r="104" spans="2:25" ht="15.75" customHeight="1">
      <c r="E104" s="151"/>
      <c r="F104" s="145"/>
      <c r="G104" s="145"/>
      <c r="H104" s="145"/>
      <c r="I104" s="145"/>
      <c r="J104" s="145"/>
      <c r="K104" s="145"/>
      <c r="L104" s="145"/>
      <c r="M104" s="145"/>
      <c r="N104" s="145"/>
      <c r="O104" s="121"/>
      <c r="P104" s="400"/>
      <c r="Q104" s="400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400"/>
      <c r="Q105" s="400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400"/>
      <c r="Q106" s="400"/>
      <c r="R106" s="7"/>
      <c r="S106" s="7"/>
      <c r="T106" s="7"/>
    </row>
    <row r="107" spans="2:25" ht="14.5" customHeight="1">
      <c r="E107" s="121"/>
      <c r="F107" s="143"/>
      <c r="G107" s="121"/>
      <c r="H107" s="121"/>
      <c r="I107" s="121"/>
      <c r="J107" s="145"/>
      <c r="K107" s="121"/>
      <c r="L107" s="121"/>
      <c r="M107" s="121"/>
      <c r="N107" s="122"/>
      <c r="O107" s="121"/>
      <c r="P107" s="400"/>
      <c r="Q107" s="400"/>
      <c r="R107" s="7"/>
      <c r="S107" s="7"/>
      <c r="T107" s="7"/>
    </row>
    <row r="108" spans="2:25" ht="14.5" customHeight="1">
      <c r="E108" s="121"/>
      <c r="F108" s="143"/>
      <c r="G108" s="121"/>
      <c r="H108" s="121"/>
      <c r="I108" s="121"/>
      <c r="J108" s="145"/>
      <c r="K108" s="121"/>
      <c r="L108" s="121"/>
      <c r="M108" s="121"/>
      <c r="N108" s="122"/>
      <c r="O108" s="121"/>
      <c r="P108" s="400"/>
      <c r="Q108" s="400"/>
      <c r="R108" s="7"/>
      <c r="S108" s="7"/>
      <c r="T108" s="7"/>
    </row>
    <row r="109" spans="2:25" ht="14.5" customHeight="1">
      <c r="E109" s="121"/>
      <c r="F109" s="143"/>
      <c r="G109" s="121"/>
      <c r="H109" s="121"/>
      <c r="I109" s="121"/>
      <c r="J109" s="121"/>
      <c r="K109" s="121"/>
      <c r="L109" s="121"/>
      <c r="M109" s="121"/>
      <c r="N109" s="121"/>
      <c r="O109" s="121"/>
      <c r="P109" s="400"/>
      <c r="Q109" s="400"/>
      <c r="R109" s="7"/>
      <c r="S109" s="7"/>
    </row>
    <row r="110" spans="2:25" ht="14.5" customHeight="1">
      <c r="E110" s="121"/>
      <c r="F110" s="143"/>
      <c r="G110" s="121"/>
      <c r="H110" s="121"/>
      <c r="I110" s="121"/>
      <c r="J110" s="121"/>
      <c r="K110" s="121"/>
      <c r="L110" s="121"/>
      <c r="M110" s="121"/>
      <c r="N110" s="121"/>
      <c r="O110" s="121"/>
      <c r="P110" s="400"/>
      <c r="Q110" s="400"/>
      <c r="R110" s="7"/>
      <c r="S110" s="7"/>
    </row>
    <row r="111" spans="2:25" ht="14.5" customHeight="1">
      <c r="E111" s="121"/>
      <c r="F111" s="143"/>
      <c r="G111" s="121"/>
      <c r="H111" s="121"/>
      <c r="I111" s="121"/>
      <c r="J111" s="121"/>
      <c r="K111" s="121"/>
      <c r="L111" s="121"/>
      <c r="M111" s="121"/>
      <c r="N111" s="121"/>
      <c r="O111" s="121"/>
      <c r="P111" s="400"/>
      <c r="Q111" s="400"/>
      <c r="R111" s="7"/>
      <c r="S111" s="7"/>
    </row>
    <row r="112" spans="2:25" ht="14.5" customHeight="1">
      <c r="E112" s="121"/>
      <c r="F112" s="143"/>
      <c r="G112" s="121"/>
      <c r="H112" s="121"/>
      <c r="I112" s="121"/>
      <c r="J112" s="121"/>
      <c r="K112" s="121"/>
      <c r="L112" s="121"/>
      <c r="M112" s="121"/>
      <c r="N112" s="121"/>
      <c r="O112" s="121"/>
      <c r="P112" s="400"/>
      <c r="Q112" s="400"/>
      <c r="R112" s="7"/>
      <c r="S112" s="7"/>
    </row>
    <row r="113" spans="5:18" ht="14.5" customHeight="1">
      <c r="E113" s="121"/>
      <c r="F113" s="143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3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3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3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3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3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3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3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3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3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P112:Q112"/>
    <mergeCell ref="P107:Q107"/>
    <mergeCell ref="P108:Q108"/>
    <mergeCell ref="P109:Q109"/>
    <mergeCell ref="P110:Q110"/>
    <mergeCell ref="P111:Q111"/>
    <mergeCell ref="R103:S103"/>
    <mergeCell ref="P104:Q104"/>
    <mergeCell ref="P105:Q105"/>
    <mergeCell ref="H84:J84"/>
    <mergeCell ref="P106:Q106"/>
    <mergeCell ref="C85:D85"/>
    <mergeCell ref="C86:D86"/>
    <mergeCell ref="C87:D87"/>
    <mergeCell ref="C88:D88"/>
    <mergeCell ref="C89:D89"/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Nodos Variac Inventarios</vt:lpstr>
      <vt:lpstr>Bal Los Colorados</vt:lpstr>
      <vt:lpstr>Diag Proc Los Colorados</vt:lpstr>
      <vt:lpstr>Resumen Planta Pellets</vt:lpstr>
      <vt:lpstr>Utilidad</vt:lpstr>
      <vt:lpstr>Flujos</vt:lpstr>
      <vt:lpstr>Diagrama</vt:lpstr>
      <vt:lpstr>'Resumen Planta Pellets'!ECL_DelBal_por</vt:lpstr>
      <vt:lpstr>'Resumen Planta Pellets'!ECL_DelBal_tmf</vt:lpstr>
      <vt:lpstr>'Resumen Planta Pellets'!Print_Area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2022-11-22T14:36:55Z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