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A42FA02B-2637-434A-B32E-E171E7C59A43}" xr6:coauthVersionLast="45" xr6:coauthVersionMax="45" xr10:uidLastSave="{00000000-0000-0000-0000-000000000000}"/>
  <bookViews>
    <workbookView xWindow="780" yWindow="0" windowWidth="28020" windowHeight="18000" tabRatio="772" xr2:uid="{00000000-000D-0000-FFFF-FFFF00000000}"/>
  </bookViews>
  <sheets>
    <sheet name="Resumen MLC" sheetId="17" r:id="rId1"/>
    <sheet name="Utilidad" sheetId="5" r:id="rId2"/>
    <sheet name="Datos Extra" sheetId="22" r:id="rId3"/>
    <sheet name="Flujos" sheetId="21" r:id="rId4"/>
    <sheet name="Diag Proc Los Colorados" sheetId="15" r:id="rId5"/>
    <sheet name="Bal Fet Pta Pellets" sheetId="1" state="hidden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5" hidden="1">'Bal Fet Pta Pellets'!$N$62:$O$116</definedName>
    <definedName name="solver_adj" localSheetId="1" hidden="1">Utilidad!$M$40:$N$70</definedName>
    <definedName name="solver_cvg" localSheetId="5" hidden="1">0.0001</definedName>
    <definedName name="solver_cvg" localSheetId="1" hidden="1">0.0001</definedName>
    <definedName name="solver_drv" localSheetId="5" hidden="1">1</definedName>
    <definedName name="solver_drv" localSheetId="1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1" localSheetId="5" hidden="1">'Bal Fet Pta Pellets'!$AD$62</definedName>
    <definedName name="solver_lhs1" localSheetId="1" hidden="1">Utilidad!$AB$39:$AB$52</definedName>
    <definedName name="solver_lhs10" localSheetId="5" hidden="1">'Bal Fet Pta Pellets'!$AD$71</definedName>
    <definedName name="solver_lhs10" localSheetId="1" hidden="1">Utilidad!$T$70</definedName>
    <definedName name="solver_lhs11" localSheetId="5" hidden="1">'Bal Fet Pta Pellets'!$AD$72</definedName>
    <definedName name="solver_lhs11" localSheetId="1" hidden="1">Utilidad!$V$40</definedName>
    <definedName name="solver_lhs12" localSheetId="5" hidden="1">'Bal Fet Pta Pellets'!$AD$73</definedName>
    <definedName name="solver_lhs12" localSheetId="1" hidden="1">Utilidad!$V$49</definedName>
    <definedName name="solver_lhs13" localSheetId="5" hidden="1">'Bal Fet Pta Pellets'!$AD$74</definedName>
    <definedName name="solver_lhs13" localSheetId="1" hidden="1">Utilidad!$V$51</definedName>
    <definedName name="solver_lhs14" localSheetId="5" hidden="1">'Bal Fet Pta Pellets'!$AD$75</definedName>
    <definedName name="solver_lhs14" localSheetId="1" hidden="1">Utilidad!$V$56</definedName>
    <definedName name="solver_lhs15" localSheetId="5" hidden="1">'Bal Fet Pta Pellets'!$AD$76</definedName>
    <definedName name="solver_lhs15" localSheetId="1" hidden="1">Utilidad!$V$59</definedName>
    <definedName name="solver_lhs16" localSheetId="5" hidden="1">'Bal Fet Pta Pellets'!$AD$77</definedName>
    <definedName name="solver_lhs16" localSheetId="1" hidden="1">Utilidad!$V$62</definedName>
    <definedName name="solver_lhs17" localSheetId="5" hidden="1">'Bal Fet Pta Pellets'!$AD$78</definedName>
    <definedName name="solver_lhs17" localSheetId="1" hidden="1">Utilidad!$V$63</definedName>
    <definedName name="solver_lhs18" localSheetId="5" hidden="1">'Bal Fet Pta Pellets'!$AD$79</definedName>
    <definedName name="solver_lhs18" localSheetId="1" hidden="1">Utilidad!$V$66</definedName>
    <definedName name="solver_lhs19" localSheetId="5" hidden="1">'Bal Fet Pta Pellets'!$AD$80</definedName>
    <definedName name="solver_lhs19" localSheetId="1" hidden="1">Utilidad!$V$66</definedName>
    <definedName name="solver_lhs2" localSheetId="5" hidden="1">'Bal Fet Pta Pellets'!$AD$63</definedName>
    <definedName name="solver_lhs2" localSheetId="1" hidden="1">Utilidad!$AC$39:$AC$52</definedName>
    <definedName name="solver_lhs20" localSheetId="5" hidden="1">'Bal Fet Pta Pellets'!$AD$81</definedName>
    <definedName name="solver_lhs20" localSheetId="1" hidden="1">Utilidad!$V$66</definedName>
    <definedName name="solver_lhs21" localSheetId="5" hidden="1">'Bal Fet Pta Pellets'!$AD$82</definedName>
    <definedName name="solver_lhs21" localSheetId="1" hidden="1">Utilidad!$V$66</definedName>
    <definedName name="solver_lhs22" localSheetId="5" hidden="1">'Bal Fet Pta Pellets'!$AD$61</definedName>
    <definedName name="solver_lhs22" localSheetId="1" hidden="1">Utilidad!$V$66</definedName>
    <definedName name="solver_lhs23" localSheetId="5" hidden="1">'Bal Fet Pta Pellets'!$AE$61</definedName>
    <definedName name="solver_lhs23" localSheetId="1" hidden="1">Utilidad!$V$66</definedName>
    <definedName name="solver_lhs24" localSheetId="5" hidden="1">'Bal Fet Pta Pellets'!$AE$62</definedName>
    <definedName name="solver_lhs24" localSheetId="1" hidden="1">Utilidad!$V$66</definedName>
    <definedName name="solver_lhs25" localSheetId="5" hidden="1">'Bal Fet Pta Pellets'!$AE$63</definedName>
    <definedName name="solver_lhs25" localSheetId="1" hidden="1">Utilidad!$V$66</definedName>
    <definedName name="solver_lhs26" localSheetId="5" hidden="1">'Bal Fet Pta Pellets'!$AE$64</definedName>
    <definedName name="solver_lhs26" localSheetId="1" hidden="1">Utilidad!$V$63</definedName>
    <definedName name="solver_lhs27" localSheetId="5" hidden="1">'Bal Fet Pta Pellets'!$AE$65</definedName>
    <definedName name="solver_lhs27" localSheetId="1" hidden="1">Utilidad!$V$63</definedName>
    <definedName name="solver_lhs28" localSheetId="5" hidden="1">'Bal Fet Pta Pellets'!$AE$66</definedName>
    <definedName name="solver_lhs28" localSheetId="1" hidden="1">Utilidad!$V$63</definedName>
    <definedName name="solver_lhs29" localSheetId="5" hidden="1">'Bal Fet Pta Pellets'!$AE$67</definedName>
    <definedName name="solver_lhs29" localSheetId="1" hidden="1">Utilidad!$V$63</definedName>
    <definedName name="solver_lhs3" localSheetId="5" hidden="1">'Bal Fet Pta Pellets'!$AD$64</definedName>
    <definedName name="solver_lhs3" localSheetId="1" hidden="1">Utilidad!$T$40</definedName>
    <definedName name="solver_lhs30" localSheetId="5" hidden="1">'Bal Fet Pta Pellets'!$AE$68</definedName>
    <definedName name="solver_lhs30" localSheetId="1" hidden="1">Utilidad!$V$63</definedName>
    <definedName name="solver_lhs31" localSheetId="5" hidden="1">'Bal Fet Pta Pellets'!$AE$69</definedName>
    <definedName name="solver_lhs31" localSheetId="1" hidden="1">Utilidad!$V$63</definedName>
    <definedName name="solver_lhs32" localSheetId="5" hidden="1">'Bal Fet Pta Pellets'!$AE$70</definedName>
    <definedName name="solver_lhs32" localSheetId="1" hidden="1">Utilidad!$V$63</definedName>
    <definedName name="solver_lhs33" localSheetId="5" hidden="1">'Bal Fet Pta Pellets'!$AE$71</definedName>
    <definedName name="solver_lhs33" localSheetId="1" hidden="1">Utilidad!$V$63</definedName>
    <definedName name="solver_lhs34" localSheetId="5" hidden="1">'Bal Fet Pta Pellets'!$AE$72</definedName>
    <definedName name="solver_lhs34" localSheetId="1" hidden="1">Utilidad!$V$63</definedName>
    <definedName name="solver_lhs35" localSheetId="5" hidden="1">'Bal Fet Pta Pellets'!$AE$73</definedName>
    <definedName name="solver_lhs35" localSheetId="1" hidden="1">Utilidad!$V$63</definedName>
    <definedName name="solver_lhs36" localSheetId="5" hidden="1">'Bal Fet Pta Pellets'!$AE$74</definedName>
    <definedName name="solver_lhs36" localSheetId="1" hidden="1">Utilidad!$V$63</definedName>
    <definedName name="solver_lhs37" localSheetId="5" hidden="1">'Bal Fet Pta Pellets'!$AE$75</definedName>
    <definedName name="solver_lhs37" localSheetId="1" hidden="1">Utilidad!$V$63</definedName>
    <definedName name="solver_lhs38" localSheetId="5" hidden="1">'Bal Fet Pta Pellets'!$AE$76</definedName>
    <definedName name="solver_lhs38" localSheetId="1" hidden="1">Utilidad!$V$63</definedName>
    <definedName name="solver_lhs39" localSheetId="5" hidden="1">'Bal Fet Pta Pellets'!$AE$77</definedName>
    <definedName name="solver_lhs39" localSheetId="1" hidden="1">Utilidad!$V$63</definedName>
    <definedName name="solver_lhs4" localSheetId="5" hidden="1">'Bal Fet Pta Pellets'!$AD$65</definedName>
    <definedName name="solver_lhs4" localSheetId="1" hidden="1">Utilidad!$T$42</definedName>
    <definedName name="solver_lhs40" localSheetId="5" hidden="1">'Bal Fet Pta Pellets'!$AE$78</definedName>
    <definedName name="solver_lhs40" localSheetId="1" hidden="1">Utilidad!$V$63</definedName>
    <definedName name="solver_lhs41" localSheetId="5" hidden="1">'Bal Fet Pta Pellets'!$AE$79</definedName>
    <definedName name="solver_lhs41" localSheetId="1" hidden="1">Utilidad!$V$63</definedName>
    <definedName name="solver_lhs42" localSheetId="5" hidden="1">'Bal Fet Pta Pellets'!$AE$80</definedName>
    <definedName name="solver_lhs42" localSheetId="1" hidden="1">Utilidad!$V$63</definedName>
    <definedName name="solver_lhs43" localSheetId="5" hidden="1">'Bal Fet Pta Pellets'!$AE$82</definedName>
    <definedName name="solver_lhs43" localSheetId="1" hidden="1">Utilidad!$V$63</definedName>
    <definedName name="solver_lhs44" localSheetId="5" hidden="1">'Bal Fet Pta Pellets'!$AE$81</definedName>
    <definedName name="solver_lhs44" localSheetId="1" hidden="1">Utilidad!$V$63</definedName>
    <definedName name="solver_lhs45" localSheetId="5" hidden="1">'Bal Fet Pta Pellets'!$N$65</definedName>
    <definedName name="solver_lhs46" localSheetId="5" hidden="1">'Bal Fet Pta Pellets'!$N$77</definedName>
    <definedName name="solver_lhs47" localSheetId="5" hidden="1">'Bal Fet Pta Pellets'!$T$103</definedName>
    <definedName name="solver_lhs48" localSheetId="5" hidden="1">'Bal Fet Pta Pellets'!$T$101</definedName>
    <definedName name="solver_lhs49" localSheetId="5" hidden="1">'Bal Fet Pta Pellets'!$N$81</definedName>
    <definedName name="solver_lhs5" localSheetId="5" hidden="1">'Bal Fet Pta Pellets'!$AD$66</definedName>
    <definedName name="solver_lhs5" localSheetId="1" hidden="1">Utilidad!$T$49</definedName>
    <definedName name="solver_lhs50" localSheetId="5" hidden="1">'Bal Fet Pta Pellets'!$T$106</definedName>
    <definedName name="solver_lhs51" localSheetId="5" hidden="1">'Bal Fet Pta Pellets'!$T$116</definedName>
    <definedName name="solver_lhs52" localSheetId="5" hidden="1">'Bal Fet Pta Pellets'!$T$109</definedName>
    <definedName name="solver_lhs53" localSheetId="5" hidden="1">'Bal Fet Pta Pellets'!$N$107</definedName>
    <definedName name="solver_lhs54" localSheetId="5" hidden="1">'Bal Fet Pta Pellets'!$T$80</definedName>
    <definedName name="solver_lhs55" localSheetId="5" hidden="1">'Bal Fet Pta Pellets'!$T$81</definedName>
    <definedName name="solver_lhs56" localSheetId="5" hidden="1">'Bal Fet Pta Pellets'!$T$73</definedName>
    <definedName name="solver_lhs57" localSheetId="5" hidden="1">'Bal Fet Pta Pellets'!$T$76</definedName>
    <definedName name="solver_lhs58" localSheetId="5" hidden="1">'Bal Fet Pta Pellets'!$T$70</definedName>
    <definedName name="solver_lhs59" localSheetId="5" hidden="1">'Bal Fet Pta Pellets'!$V$101</definedName>
    <definedName name="solver_lhs6" localSheetId="5" hidden="1">'Bal Fet Pta Pellets'!$AD$67</definedName>
    <definedName name="solver_lhs6" localSheetId="1" hidden="1">Utilidad!$T$51</definedName>
    <definedName name="solver_lhs60" localSheetId="5" hidden="1">'Bal Fet Pta Pellets'!$T$89</definedName>
    <definedName name="solver_lhs61" localSheetId="5" hidden="1">'Bal Fet Pta Pellets'!$T$99</definedName>
    <definedName name="solver_lhs62" localSheetId="5" hidden="1">'Bal Fet Pta Pellets'!$T$97</definedName>
    <definedName name="solver_lhs63" localSheetId="5" hidden="1">'Bal Fet Pta Pellets'!$T$86</definedName>
    <definedName name="solver_lhs64" localSheetId="5" hidden="1">'Bal Fet Pta Pellets'!$T$114</definedName>
    <definedName name="solver_lhs65" localSheetId="5" hidden="1">'Bal Fet Pta Pellets'!$T$111</definedName>
    <definedName name="solver_lhs66" localSheetId="5" hidden="1">'Bal Fet Pta Pellets'!$T$62</definedName>
    <definedName name="solver_lhs67" localSheetId="5" hidden="1">'Bal Fet Pta Pellets'!$T$71</definedName>
    <definedName name="solver_lhs68" localSheetId="5" hidden="1">'Bal Fet Pta Pellets'!$T$63</definedName>
    <definedName name="solver_lhs69" localSheetId="5" hidden="1">'Bal Fet Pta Pellets'!$T$68</definedName>
    <definedName name="solver_lhs7" localSheetId="5" hidden="1">'Bal Fet Pta Pellets'!$AD$68</definedName>
    <definedName name="solver_lhs7" localSheetId="1" hidden="1">Utilidad!$T$62</definedName>
    <definedName name="solver_lhs70" localSheetId="5" hidden="1">'Bal Fet Pta Pellets'!$N$106</definedName>
    <definedName name="solver_lhs71" localSheetId="5" hidden="1">'Bal Fet Pta Pellets'!$V$115</definedName>
    <definedName name="solver_lhs72" localSheetId="5" hidden="1">'Bal Fet Pta Pellets'!$V$111</definedName>
    <definedName name="solver_lhs73" localSheetId="5" hidden="1">'Bal Fet Pta Pellets'!$T$93</definedName>
    <definedName name="solver_lhs74" localSheetId="5" hidden="1">'Bal Fet Pta Pellets'!$V$62</definedName>
    <definedName name="solver_lhs75" localSheetId="5" hidden="1">'Bal Fet Pta Pellets'!$V$71</definedName>
    <definedName name="solver_lhs76" localSheetId="5" hidden="1">'Bal Fet Pta Pellets'!$V$116</definedName>
    <definedName name="solver_lhs77" localSheetId="5" hidden="1">'Bal Fet Pta Pellets'!$V$86</definedName>
    <definedName name="solver_lhs78" localSheetId="5" hidden="1">'Bal Fet Pta Pellets'!$O$72</definedName>
    <definedName name="solver_lhs79" localSheetId="5" hidden="1">'Bal Fet Pta Pellets'!$V$92</definedName>
    <definedName name="solver_lhs8" localSheetId="5" hidden="1">'Bal Fet Pta Pellets'!$AD$69</definedName>
    <definedName name="solver_lhs8" localSheetId="1" hidden="1">Utilidad!$T$63</definedName>
    <definedName name="solver_lhs80" localSheetId="5" hidden="1">'Bal Fet Pta Pellets'!$V$92</definedName>
    <definedName name="solver_lhs9" localSheetId="5" hidden="1">'Bal Fet Pta Pellets'!$AD$70</definedName>
    <definedName name="solver_lhs9" localSheetId="1" hidden="1">Utilidad!$T$68</definedName>
    <definedName name="solver_lin" localSheetId="4" hidden="1">2</definedName>
    <definedName name="solver_lin" localSheetId="1" hidden="1">2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od" localSheetId="5" hidden="1">2147483647</definedName>
    <definedName name="solver_nod" localSheetId="1" hidden="1">2147483647</definedName>
    <definedName name="solver_num" localSheetId="5" hidden="1">80</definedName>
    <definedName name="solver_num" localSheetId="4" hidden="1">0</definedName>
    <definedName name="solver_num" localSheetId="1" hidden="1">17</definedName>
    <definedName name="solver_nwt" localSheetId="5" hidden="1">1</definedName>
    <definedName name="solver_nwt" localSheetId="1" hidden="1">1</definedName>
    <definedName name="solver_opt" localSheetId="5" hidden="1">'Bal Fet Pta Pellets'!$AD$85</definedName>
    <definedName name="solver_opt" localSheetId="4" hidden="1">'Diag Proc Los Colorados'!$Y$64</definedName>
    <definedName name="solver_opt" localSheetId="1" hidden="1">Utilidad!$AB$55</definedName>
    <definedName name="solver_pre" localSheetId="5" hidden="1">0.000001</definedName>
    <definedName name="solver_pre" localSheetId="1" hidden="1">0.000001</definedName>
    <definedName name="solver_rbv" localSheetId="5" hidden="1">1</definedName>
    <definedName name="solver_rbv" localSheetId="1" hidden="1">1</definedName>
    <definedName name="solver_rel1" localSheetId="5" hidden="1">2</definedName>
    <definedName name="solver_rel1" localSheetId="1" hidden="1">2</definedName>
    <definedName name="solver_rel10" localSheetId="5" hidden="1">2</definedName>
    <definedName name="solver_rel10" localSheetId="1" hidden="1">1</definedName>
    <definedName name="solver_rel11" localSheetId="5" hidden="1">2</definedName>
    <definedName name="solver_rel11" localSheetId="1" hidden="1">1</definedName>
    <definedName name="solver_rel12" localSheetId="5" hidden="1">2</definedName>
    <definedName name="solver_rel12" localSheetId="1" hidden="1">1</definedName>
    <definedName name="solver_rel13" localSheetId="5" hidden="1">2</definedName>
    <definedName name="solver_rel13" localSheetId="1" hidden="1">1</definedName>
    <definedName name="solver_rel14" localSheetId="5" hidden="1">2</definedName>
    <definedName name="solver_rel14" localSheetId="1" hidden="1">1</definedName>
    <definedName name="solver_rel15" localSheetId="5" hidden="1">2</definedName>
    <definedName name="solver_rel15" localSheetId="1" hidden="1">1</definedName>
    <definedName name="solver_rel16" localSheetId="5" hidden="1">2</definedName>
    <definedName name="solver_rel16" localSheetId="1" hidden="1">1</definedName>
    <definedName name="solver_rel17" localSheetId="5" hidden="1">2</definedName>
    <definedName name="solver_rel17" localSheetId="1" hidden="1">1</definedName>
    <definedName name="solver_rel18" localSheetId="5" hidden="1">2</definedName>
    <definedName name="solver_rel18" localSheetId="1" hidden="1">1</definedName>
    <definedName name="solver_rel19" localSheetId="5" hidden="1">2</definedName>
    <definedName name="solver_rel19" localSheetId="1" hidden="1">1</definedName>
    <definedName name="solver_rel2" localSheetId="5" hidden="1">2</definedName>
    <definedName name="solver_rel2" localSheetId="1" hidden="1">2</definedName>
    <definedName name="solver_rel20" localSheetId="5" hidden="1">2</definedName>
    <definedName name="solver_rel20" localSheetId="1" hidden="1">1</definedName>
    <definedName name="solver_rel21" localSheetId="5" hidden="1">2</definedName>
    <definedName name="solver_rel21" localSheetId="1" hidden="1">1</definedName>
    <definedName name="solver_rel22" localSheetId="5" hidden="1">2</definedName>
    <definedName name="solver_rel22" localSheetId="1" hidden="1">1</definedName>
    <definedName name="solver_rel23" localSheetId="5" hidden="1">2</definedName>
    <definedName name="solver_rel23" localSheetId="1" hidden="1">1</definedName>
    <definedName name="solver_rel24" localSheetId="5" hidden="1">2</definedName>
    <definedName name="solver_rel24" localSheetId="1" hidden="1">1</definedName>
    <definedName name="solver_rel25" localSheetId="5" hidden="1">2</definedName>
    <definedName name="solver_rel25" localSheetId="1" hidden="1">1</definedName>
    <definedName name="solver_rel26" localSheetId="5" hidden="1">2</definedName>
    <definedName name="solver_rel26" localSheetId="1" hidden="1">1</definedName>
    <definedName name="solver_rel27" localSheetId="5" hidden="1">2</definedName>
    <definedName name="solver_rel27" localSheetId="1" hidden="1">1</definedName>
    <definedName name="solver_rel28" localSheetId="5" hidden="1">2</definedName>
    <definedName name="solver_rel28" localSheetId="1" hidden="1">1</definedName>
    <definedName name="solver_rel29" localSheetId="5" hidden="1">2</definedName>
    <definedName name="solver_rel29" localSheetId="1" hidden="1">1</definedName>
    <definedName name="solver_rel3" localSheetId="5" hidden="1">2</definedName>
    <definedName name="solver_rel3" localSheetId="1" hidden="1">1</definedName>
    <definedName name="solver_rel30" localSheetId="5" hidden="1">2</definedName>
    <definedName name="solver_rel30" localSheetId="1" hidden="1">1</definedName>
    <definedName name="solver_rel31" localSheetId="5" hidden="1">2</definedName>
    <definedName name="solver_rel31" localSheetId="1" hidden="1">1</definedName>
    <definedName name="solver_rel32" localSheetId="5" hidden="1">2</definedName>
    <definedName name="solver_rel32" localSheetId="1" hidden="1">1</definedName>
    <definedName name="solver_rel33" localSheetId="5" hidden="1">2</definedName>
    <definedName name="solver_rel33" localSheetId="1" hidden="1">1</definedName>
    <definedName name="solver_rel34" localSheetId="5" hidden="1">2</definedName>
    <definedName name="solver_rel34" localSheetId="1" hidden="1">1</definedName>
    <definedName name="solver_rel35" localSheetId="5" hidden="1">2</definedName>
    <definedName name="solver_rel35" localSheetId="1" hidden="1">1</definedName>
    <definedName name="solver_rel36" localSheetId="5" hidden="1">2</definedName>
    <definedName name="solver_rel36" localSheetId="1" hidden="1">1</definedName>
    <definedName name="solver_rel37" localSheetId="5" hidden="1">2</definedName>
    <definedName name="solver_rel37" localSheetId="1" hidden="1">1</definedName>
    <definedName name="solver_rel38" localSheetId="5" hidden="1">2</definedName>
    <definedName name="solver_rel38" localSheetId="1" hidden="1">1</definedName>
    <definedName name="solver_rel39" localSheetId="5" hidden="1">2</definedName>
    <definedName name="solver_rel39" localSheetId="1" hidden="1">1</definedName>
    <definedName name="solver_rel4" localSheetId="5" hidden="1">2</definedName>
    <definedName name="solver_rel4" localSheetId="1" hidden="1">1</definedName>
    <definedName name="solver_rel40" localSheetId="5" hidden="1">2</definedName>
    <definedName name="solver_rel40" localSheetId="1" hidden="1">1</definedName>
    <definedName name="solver_rel41" localSheetId="5" hidden="1">2</definedName>
    <definedName name="solver_rel41" localSheetId="1" hidden="1">1</definedName>
    <definedName name="solver_rel42" localSheetId="5" hidden="1">2</definedName>
    <definedName name="solver_rel42" localSheetId="1" hidden="1">1</definedName>
    <definedName name="solver_rel43" localSheetId="5" hidden="1">2</definedName>
    <definedName name="solver_rel43" localSheetId="1" hidden="1">1</definedName>
    <definedName name="solver_rel44" localSheetId="5" hidden="1">2</definedName>
    <definedName name="solver_rel44" localSheetId="1" hidden="1">1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2</definedName>
    <definedName name="solver_rel5" localSheetId="5" hidden="1">2</definedName>
    <definedName name="solver_rel5" localSheetId="1" hidden="1">1</definedName>
    <definedName name="solver_rel50" localSheetId="5" hidden="1">1</definedName>
    <definedName name="solver_rel51" localSheetId="5" hidden="1">1</definedName>
    <definedName name="solver_rel52" localSheetId="5" hidden="1">1</definedName>
    <definedName name="solver_rel53" localSheetId="5" hidden="1">2</definedName>
    <definedName name="solver_rel54" localSheetId="5" hidden="1">1</definedName>
    <definedName name="solver_rel55" localSheetId="5" hidden="1">1</definedName>
    <definedName name="solver_rel56" localSheetId="5" hidden="1">1</definedName>
    <definedName name="solver_rel57" localSheetId="5" hidden="1">1</definedName>
    <definedName name="solver_rel58" localSheetId="5" hidden="1">1</definedName>
    <definedName name="solver_rel59" localSheetId="5" hidden="1">1</definedName>
    <definedName name="solver_rel6" localSheetId="5" hidden="1">2</definedName>
    <definedName name="solver_rel6" localSheetId="1" hidden="1">1</definedName>
    <definedName name="solver_rel60" localSheetId="5" hidden="1">1</definedName>
    <definedName name="solver_rel61" localSheetId="5" hidden="1">1</definedName>
    <definedName name="solver_rel62" localSheetId="5" hidden="1">1</definedName>
    <definedName name="solver_rel63" localSheetId="5" hidden="1">1</definedName>
    <definedName name="solver_rel64" localSheetId="5" hidden="1">1</definedName>
    <definedName name="solver_rel65" localSheetId="5" hidden="1">1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5" hidden="1">2</definedName>
    <definedName name="solver_rel7" localSheetId="1" hidden="1">1</definedName>
    <definedName name="solver_rel70" localSheetId="5" hidden="1">2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2</definedName>
    <definedName name="solver_rel79" localSheetId="5" hidden="1">1</definedName>
    <definedName name="solver_rel8" localSheetId="5" hidden="1">2</definedName>
    <definedName name="solver_rel8" localSheetId="1" hidden="1">1</definedName>
    <definedName name="solver_rel80" localSheetId="5" hidden="1">1</definedName>
    <definedName name="solver_rel9" localSheetId="5" hidden="1">2</definedName>
    <definedName name="solver_rel9" localSheetId="1" hidden="1">1</definedName>
    <definedName name="solver_rhs1" localSheetId="5" hidden="1">0</definedName>
    <definedName name="solver_rhs1" localSheetId="1" hidden="1">Utilidad!$AE$39:$AE$52</definedName>
    <definedName name="solver_rhs10" localSheetId="5" hidden="1">0</definedName>
    <definedName name="solver_rhs10" localSheetId="1" hidden="1">Utilidad!$U$70</definedName>
    <definedName name="solver_rhs11" localSheetId="5" hidden="1">0</definedName>
    <definedName name="solver_rhs11" localSheetId="1" hidden="1">Utilidad!$W$40</definedName>
    <definedName name="solver_rhs12" localSheetId="5" hidden="1">0</definedName>
    <definedName name="solver_rhs12" localSheetId="1" hidden="1">Utilidad!$W$49</definedName>
    <definedName name="solver_rhs13" localSheetId="5" hidden="1">0</definedName>
    <definedName name="solver_rhs13" localSheetId="1" hidden="1">Utilidad!$W$51</definedName>
    <definedName name="solver_rhs14" localSheetId="5" hidden="1">0</definedName>
    <definedName name="solver_rhs14" localSheetId="1" hidden="1">Utilidad!$W$56</definedName>
    <definedName name="solver_rhs15" localSheetId="5" hidden="1">0</definedName>
    <definedName name="solver_rhs15" localSheetId="1" hidden="1">Utilidad!$W$59</definedName>
    <definedName name="solver_rhs16" localSheetId="5" hidden="1">0</definedName>
    <definedName name="solver_rhs16" localSheetId="1" hidden="1">Utilidad!$W$62</definedName>
    <definedName name="solver_rhs17" localSheetId="5" hidden="1">0</definedName>
    <definedName name="solver_rhs17" localSheetId="1" hidden="1">Utilidad!$W$63</definedName>
    <definedName name="solver_rhs18" localSheetId="5" hidden="1">0</definedName>
    <definedName name="solver_rhs18" localSheetId="1" hidden="1">Utilidad!$W$66</definedName>
    <definedName name="solver_rhs19" localSheetId="5" hidden="1">0</definedName>
    <definedName name="solver_rhs19" localSheetId="1" hidden="1">Utilidad!$W$66</definedName>
    <definedName name="solver_rhs2" localSheetId="5" hidden="1">0</definedName>
    <definedName name="solver_rhs2" localSheetId="1" hidden="1">Utilidad!$AE$39:$AE$52</definedName>
    <definedName name="solver_rhs20" localSheetId="5" hidden="1">0</definedName>
    <definedName name="solver_rhs20" localSheetId="1" hidden="1">Utilidad!$W$66</definedName>
    <definedName name="solver_rhs21" localSheetId="5" hidden="1">0</definedName>
    <definedName name="solver_rhs21" localSheetId="1" hidden="1">Utilidad!$W$66</definedName>
    <definedName name="solver_rhs22" localSheetId="5" hidden="1">0</definedName>
    <definedName name="solver_rhs22" localSheetId="1" hidden="1">Utilidad!$W$66</definedName>
    <definedName name="solver_rhs23" localSheetId="5" hidden="1">0</definedName>
    <definedName name="solver_rhs23" localSheetId="1" hidden="1">Utilidad!$W$66</definedName>
    <definedName name="solver_rhs24" localSheetId="5" hidden="1">0</definedName>
    <definedName name="solver_rhs24" localSheetId="1" hidden="1">Utilidad!$W$66</definedName>
    <definedName name="solver_rhs25" localSheetId="5" hidden="1">0</definedName>
    <definedName name="solver_rhs25" localSheetId="1" hidden="1">Utilidad!$W$66</definedName>
    <definedName name="solver_rhs26" localSheetId="5" hidden="1">0</definedName>
    <definedName name="solver_rhs26" localSheetId="1" hidden="1">Utilidad!$W$63</definedName>
    <definedName name="solver_rhs27" localSheetId="5" hidden="1">0</definedName>
    <definedName name="solver_rhs27" localSheetId="1" hidden="1">Utilidad!$W$63</definedName>
    <definedName name="solver_rhs28" localSheetId="5" hidden="1">0</definedName>
    <definedName name="solver_rhs28" localSheetId="1" hidden="1">Utilidad!$W$63</definedName>
    <definedName name="solver_rhs29" localSheetId="5" hidden="1">0</definedName>
    <definedName name="solver_rhs29" localSheetId="1" hidden="1">Utilidad!$W$63</definedName>
    <definedName name="solver_rhs3" localSheetId="5" hidden="1">0</definedName>
    <definedName name="solver_rhs3" localSheetId="1" hidden="1">Utilidad!$U$40</definedName>
    <definedName name="solver_rhs30" localSheetId="5" hidden="1">0</definedName>
    <definedName name="solver_rhs30" localSheetId="1" hidden="1">Utilidad!$W$63</definedName>
    <definedName name="solver_rhs31" localSheetId="5" hidden="1">0</definedName>
    <definedName name="solver_rhs31" localSheetId="1" hidden="1">Utilidad!$W$63</definedName>
    <definedName name="solver_rhs32" localSheetId="5" hidden="1">0</definedName>
    <definedName name="solver_rhs32" localSheetId="1" hidden="1">Utilidad!$W$63</definedName>
    <definedName name="solver_rhs33" localSheetId="5" hidden="1">0</definedName>
    <definedName name="solver_rhs33" localSheetId="1" hidden="1">Utilidad!$W$63</definedName>
    <definedName name="solver_rhs34" localSheetId="5" hidden="1">0</definedName>
    <definedName name="solver_rhs34" localSheetId="1" hidden="1">Utilidad!$W$63</definedName>
    <definedName name="solver_rhs35" localSheetId="5" hidden="1">0</definedName>
    <definedName name="solver_rhs35" localSheetId="1" hidden="1">Utilidad!$W$63</definedName>
    <definedName name="solver_rhs36" localSheetId="5" hidden="1">0</definedName>
    <definedName name="solver_rhs36" localSheetId="1" hidden="1">Utilidad!$W$63</definedName>
    <definedName name="solver_rhs37" localSheetId="5" hidden="1">0</definedName>
    <definedName name="solver_rhs37" localSheetId="1" hidden="1">Utilidad!$W$63</definedName>
    <definedName name="solver_rhs38" localSheetId="5" hidden="1">0</definedName>
    <definedName name="solver_rhs38" localSheetId="1" hidden="1">Utilidad!$W$63</definedName>
    <definedName name="solver_rhs39" localSheetId="5" hidden="1">0</definedName>
    <definedName name="solver_rhs39" localSheetId="1" hidden="1">Utilidad!$W$63</definedName>
    <definedName name="solver_rhs4" localSheetId="5" hidden="1">0</definedName>
    <definedName name="solver_rhs4" localSheetId="1" hidden="1">Utilidad!$U$42</definedName>
    <definedName name="solver_rhs40" localSheetId="5" hidden="1">0</definedName>
    <definedName name="solver_rhs40" localSheetId="1" hidden="1">Utilidad!$W$63</definedName>
    <definedName name="solver_rhs41" localSheetId="5" hidden="1">0</definedName>
    <definedName name="solver_rhs41" localSheetId="1" hidden="1">Utilidad!$W$63</definedName>
    <definedName name="solver_rhs42" localSheetId="5" hidden="1">0</definedName>
    <definedName name="solver_rhs42" localSheetId="1" hidden="1">Utilidad!$W$63</definedName>
    <definedName name="solver_rhs43" localSheetId="5" hidden="1">0</definedName>
    <definedName name="solver_rhs43" localSheetId="1" hidden="1">Utilidad!$W$63</definedName>
    <definedName name="solver_rhs44" localSheetId="5" hidden="1">0</definedName>
    <definedName name="solver_rhs44" localSheetId="1" hidden="1">Utilidad!$W$63</definedName>
    <definedName name="solver_rhs45" localSheetId="5" hidden="1">'Bal Fet Pta Pellets'!$K$65</definedName>
    <definedName name="solver_rhs46" localSheetId="5" hidden="1">0</definedName>
    <definedName name="solver_rhs47" localSheetId="5" hidden="1">'Bal Fet Pta Pellets'!$U$103</definedName>
    <definedName name="solver_rhs48" localSheetId="5" hidden="1">'Bal Fet Pta Pellets'!$U$101</definedName>
    <definedName name="solver_rhs49" localSheetId="5" hidden="1">0</definedName>
    <definedName name="solver_rhs5" localSheetId="5" hidden="1">0</definedName>
    <definedName name="solver_rhs5" localSheetId="1" hidden="1">Utilidad!$U$49</definedName>
    <definedName name="solver_rhs50" localSheetId="5" hidden="1">'Bal Fet Pta Pellets'!$U$106</definedName>
    <definedName name="solver_rhs51" localSheetId="5" hidden="1">'Bal Fet Pta Pellets'!$U$116</definedName>
    <definedName name="solver_rhs52" localSheetId="5" hidden="1">'Bal Fet Pta Pellets'!$U$109</definedName>
    <definedName name="solver_rhs53" localSheetId="5" hidden="1">'Bal Fet Pta Pellets'!$K$107</definedName>
    <definedName name="solver_rhs54" localSheetId="5" hidden="1">'Bal Fet Pta Pellets'!$U$80</definedName>
    <definedName name="solver_rhs55" localSheetId="5" hidden="1">'Bal Fet Pta Pellets'!$U$81</definedName>
    <definedName name="solver_rhs56" localSheetId="5" hidden="1">'Bal Fet Pta Pellets'!$U$73</definedName>
    <definedName name="solver_rhs57" localSheetId="5" hidden="1">'Bal Fet Pta Pellets'!$U$76</definedName>
    <definedName name="solver_rhs58" localSheetId="5" hidden="1">'Bal Fet Pta Pellets'!$U$70</definedName>
    <definedName name="solver_rhs59" localSheetId="5" hidden="1">'Bal Fet Pta Pellets'!$W$101</definedName>
    <definedName name="solver_rhs6" localSheetId="5" hidden="1">0</definedName>
    <definedName name="solver_rhs6" localSheetId="1" hidden="1">Utilidad!$U$51</definedName>
    <definedName name="solver_rhs60" localSheetId="5" hidden="1">'Bal Fet Pta Pellets'!$U$89</definedName>
    <definedName name="solver_rhs61" localSheetId="5" hidden="1">'Bal Fet Pta Pellets'!$U$99</definedName>
    <definedName name="solver_rhs62" localSheetId="5" hidden="1">'Bal Fet Pta Pellets'!$U$97</definedName>
    <definedName name="solver_rhs63" localSheetId="5" hidden="1">'Bal Fet Pta Pellets'!$U$86</definedName>
    <definedName name="solver_rhs64" localSheetId="5" hidden="1">'Bal Fet Pta Pellets'!$U$114</definedName>
    <definedName name="solver_rhs65" localSheetId="5" hidden="1">'Bal Fet Pta Pellets'!$U$111</definedName>
    <definedName name="solver_rhs66" localSheetId="5" hidden="1">'Bal Fet Pta Pellets'!$U$62</definedName>
    <definedName name="solver_rhs67" localSheetId="5" hidden="1">'Bal Fet Pta Pellets'!$U$71</definedName>
    <definedName name="solver_rhs68" localSheetId="5" hidden="1">'Bal Fet Pta Pellets'!$U$63</definedName>
    <definedName name="solver_rhs69" localSheetId="5" hidden="1">'Bal Fet Pta Pellets'!$U$68</definedName>
    <definedName name="solver_rhs7" localSheetId="5" hidden="1">0</definedName>
    <definedName name="solver_rhs7" localSheetId="1" hidden="1">Utilidad!$U$62</definedName>
    <definedName name="solver_rhs70" localSheetId="5" hidden="1">'Bal Fet Pta Pellets'!$N$103</definedName>
    <definedName name="solver_rhs71" localSheetId="5" hidden="1">'Bal Fet Pta Pellets'!$W$115</definedName>
    <definedName name="solver_rhs72" localSheetId="5" hidden="1">'Bal Fet Pta Pellets'!$W$111</definedName>
    <definedName name="solver_rhs73" localSheetId="5" hidden="1">'Bal Fet Pta Pellets'!$U$93</definedName>
    <definedName name="solver_rhs74" localSheetId="5" hidden="1">'Bal Fet Pta Pellets'!$W$62</definedName>
    <definedName name="solver_rhs75" localSheetId="5" hidden="1">'Bal Fet Pta Pellets'!$W$71</definedName>
    <definedName name="solver_rhs76" localSheetId="5" hidden="1">'Bal Fet Pta Pellets'!$W$116</definedName>
    <definedName name="solver_rhs77" localSheetId="5" hidden="1">'Bal Fet Pta Pellets'!$W$86</definedName>
    <definedName name="solver_rhs78" localSheetId="5" hidden="1">'Bal Fet Pta Pellets'!$Q$72</definedName>
    <definedName name="solver_rhs79" localSheetId="5" hidden="1">'Bal Fet Pta Pellets'!$W$92</definedName>
    <definedName name="solver_rhs8" localSheetId="5" hidden="1">0</definedName>
    <definedName name="solver_rhs8" localSheetId="1" hidden="1">Utilidad!$U$63</definedName>
    <definedName name="solver_rhs80" localSheetId="5" hidden="1">'Bal Fet Pta Pellets'!$W$92</definedName>
    <definedName name="solver_rhs9" localSheetId="5" hidden="1">0</definedName>
    <definedName name="solver_rhs9" localSheetId="1" hidden="1">Utilidad!$U$68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1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2</definedName>
    <definedName name="solver_typ" localSheetId="4" hidden="1">1</definedName>
    <definedName name="solver_typ" localSheetId="1" hidden="1">2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er" localSheetId="5" hidden="1">3</definedName>
    <definedName name="solver_ver" localSheetId="4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5" l="1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40" i="5"/>
  <c r="M5" i="21" l="1"/>
  <c r="N5" i="21"/>
  <c r="M6" i="21"/>
  <c r="N6" i="21"/>
  <c r="M7" i="21"/>
  <c r="N7" i="21"/>
  <c r="M8" i="21"/>
  <c r="N8" i="21"/>
  <c r="M9" i="21"/>
  <c r="N9" i="21"/>
  <c r="M10" i="21"/>
  <c r="N10" i="21"/>
  <c r="M11" i="21"/>
  <c r="N11" i="21"/>
  <c r="M12" i="21"/>
  <c r="N12" i="21"/>
  <c r="M13" i="21"/>
  <c r="N13" i="21"/>
  <c r="M14" i="21"/>
  <c r="N14" i="21"/>
  <c r="M15" i="21"/>
  <c r="N15" i="21"/>
  <c r="M16" i="21"/>
  <c r="N16" i="21"/>
  <c r="M17" i="21"/>
  <c r="N17" i="21"/>
  <c r="M18" i="21"/>
  <c r="N18" i="21"/>
  <c r="M19" i="21"/>
  <c r="N19" i="21"/>
  <c r="M20" i="21"/>
  <c r="N20" i="21"/>
  <c r="M21" i="21"/>
  <c r="N21" i="21"/>
  <c r="M22" i="21"/>
  <c r="N22" i="21"/>
  <c r="M23" i="21"/>
  <c r="N23" i="21"/>
  <c r="M24" i="21"/>
  <c r="N24" i="21"/>
  <c r="M25" i="21"/>
  <c r="N25" i="21"/>
  <c r="M26" i="21"/>
  <c r="N26" i="21"/>
  <c r="M27" i="21"/>
  <c r="N27" i="21"/>
  <c r="M28" i="21"/>
  <c r="N28" i="21"/>
  <c r="M29" i="21"/>
  <c r="N29" i="21"/>
  <c r="M30" i="21"/>
  <c r="N30" i="21"/>
  <c r="M31" i="21"/>
  <c r="N31" i="21"/>
  <c r="M32" i="21"/>
  <c r="N32" i="21"/>
  <c r="M33" i="21"/>
  <c r="N33" i="21"/>
  <c r="M34" i="21"/>
  <c r="N34" i="21"/>
  <c r="N4" i="21"/>
  <c r="K4" i="21"/>
  <c r="J4" i="21"/>
  <c r="G5" i="21"/>
  <c r="H5" i="21"/>
  <c r="G6" i="21"/>
  <c r="H6" i="21"/>
  <c r="G7" i="21"/>
  <c r="H7" i="21"/>
  <c r="G8" i="21"/>
  <c r="H8" i="21"/>
  <c r="G9" i="21"/>
  <c r="H9" i="21"/>
  <c r="G10" i="21"/>
  <c r="H10" i="21"/>
  <c r="G11" i="21"/>
  <c r="H11" i="21"/>
  <c r="G12" i="21"/>
  <c r="H12" i="21"/>
  <c r="G13" i="21"/>
  <c r="H13" i="21"/>
  <c r="G14" i="21"/>
  <c r="H14" i="21"/>
  <c r="G15" i="21"/>
  <c r="H15" i="21"/>
  <c r="G16" i="21"/>
  <c r="H16" i="21"/>
  <c r="G17" i="21"/>
  <c r="H17" i="21"/>
  <c r="G18" i="21"/>
  <c r="H18" i="21"/>
  <c r="G19" i="21"/>
  <c r="H19" i="21"/>
  <c r="G20" i="21"/>
  <c r="H20" i="21"/>
  <c r="G21" i="21"/>
  <c r="H21" i="21"/>
  <c r="G22" i="21"/>
  <c r="H22" i="21"/>
  <c r="G23" i="21"/>
  <c r="H23" i="21"/>
  <c r="G24" i="21"/>
  <c r="H24" i="21"/>
  <c r="G25" i="21"/>
  <c r="H25" i="21"/>
  <c r="G26" i="21"/>
  <c r="H26" i="21"/>
  <c r="G27" i="21"/>
  <c r="H27" i="21"/>
  <c r="G28" i="21"/>
  <c r="H28" i="21"/>
  <c r="G29" i="21"/>
  <c r="H29" i="21"/>
  <c r="G30" i="21"/>
  <c r="H30" i="21"/>
  <c r="G31" i="21"/>
  <c r="H31" i="21"/>
  <c r="G32" i="21"/>
  <c r="H32" i="21"/>
  <c r="G33" i="21"/>
  <c r="H33" i="21"/>
  <c r="G34" i="21"/>
  <c r="H34" i="21"/>
  <c r="G4" i="21"/>
  <c r="N12" i="17"/>
  <c r="Q11" i="17"/>
  <c r="P12" i="17"/>
  <c r="O12" i="17"/>
  <c r="Q12" i="17" s="1"/>
  <c r="H10" i="17"/>
  <c r="O10" i="17"/>
  <c r="N10" i="17" s="1"/>
  <c r="I22" i="17"/>
  <c r="I18" i="17"/>
  <c r="J19" i="17"/>
  <c r="J22" i="17"/>
  <c r="G16" i="17"/>
  <c r="H16" i="17"/>
  <c r="J16" i="17" s="1"/>
  <c r="I16" i="17"/>
  <c r="G17" i="17"/>
  <c r="H17" i="17"/>
  <c r="I17" i="17"/>
  <c r="J17" i="17" s="1"/>
  <c r="G18" i="17"/>
  <c r="H18" i="17"/>
  <c r="J18" i="17" s="1"/>
  <c r="G19" i="17"/>
  <c r="H19" i="17"/>
  <c r="I19" i="17"/>
  <c r="G20" i="17"/>
  <c r="H20" i="17"/>
  <c r="J20" i="17" s="1"/>
  <c r="I20" i="17"/>
  <c r="G21" i="17"/>
  <c r="I21" i="17" s="1"/>
  <c r="H21" i="17"/>
  <c r="G22" i="17"/>
  <c r="H22" i="17"/>
  <c r="H15" i="17"/>
  <c r="I15" i="17"/>
  <c r="J15" i="17" s="1"/>
  <c r="G15" i="17"/>
  <c r="J21" i="17" l="1"/>
  <c r="C5" i="21" l="1"/>
  <c r="D5" i="21"/>
  <c r="C6" i="21"/>
  <c r="D6" i="21"/>
  <c r="K6" i="21" s="1"/>
  <c r="C7" i="21"/>
  <c r="D7" i="21"/>
  <c r="C8" i="21"/>
  <c r="D8" i="21"/>
  <c r="K8" i="21" s="1"/>
  <c r="C9" i="21"/>
  <c r="D9" i="21"/>
  <c r="C10" i="21"/>
  <c r="D10" i="21"/>
  <c r="K10" i="21" s="1"/>
  <c r="C11" i="21"/>
  <c r="D11" i="21"/>
  <c r="C12" i="21"/>
  <c r="D12" i="21"/>
  <c r="K12" i="21" s="1"/>
  <c r="C13" i="21"/>
  <c r="D13" i="21"/>
  <c r="C14" i="21"/>
  <c r="D14" i="21"/>
  <c r="K14" i="21" s="1"/>
  <c r="C15" i="21"/>
  <c r="D15" i="21"/>
  <c r="C16" i="21"/>
  <c r="D16" i="21"/>
  <c r="K16" i="21" s="1"/>
  <c r="C17" i="21"/>
  <c r="D17" i="21"/>
  <c r="C18" i="21"/>
  <c r="D18" i="21"/>
  <c r="K18" i="21" s="1"/>
  <c r="C19" i="21"/>
  <c r="D19" i="21"/>
  <c r="C20" i="21"/>
  <c r="D20" i="21"/>
  <c r="K20" i="21" s="1"/>
  <c r="C21" i="21"/>
  <c r="D21" i="21"/>
  <c r="C22" i="21"/>
  <c r="D22" i="21"/>
  <c r="K22" i="21" s="1"/>
  <c r="C23" i="21"/>
  <c r="D23" i="21"/>
  <c r="C24" i="21"/>
  <c r="D24" i="21"/>
  <c r="K24" i="21" s="1"/>
  <c r="C25" i="21"/>
  <c r="D25" i="21"/>
  <c r="C26" i="21"/>
  <c r="D26" i="21"/>
  <c r="K26" i="21" s="1"/>
  <c r="C27" i="21"/>
  <c r="D27" i="21"/>
  <c r="C28" i="21"/>
  <c r="D28" i="21"/>
  <c r="K28" i="21" s="1"/>
  <c r="C29" i="21"/>
  <c r="D29" i="21"/>
  <c r="C30" i="21"/>
  <c r="D30" i="21"/>
  <c r="K30" i="21" s="1"/>
  <c r="C31" i="21"/>
  <c r="D31" i="21"/>
  <c r="C32" i="21"/>
  <c r="D32" i="21"/>
  <c r="K32" i="21" s="1"/>
  <c r="C33" i="21"/>
  <c r="D33" i="21"/>
  <c r="C34" i="21"/>
  <c r="D34" i="21"/>
  <c r="K34" i="21" s="1"/>
  <c r="C4" i="21"/>
  <c r="H4" i="21"/>
  <c r="D4" i="21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J5" i="21"/>
  <c r="K5" i="21"/>
  <c r="J6" i="21"/>
  <c r="J7" i="21"/>
  <c r="K7" i="21"/>
  <c r="J8" i="21"/>
  <c r="J9" i="21"/>
  <c r="K9" i="21"/>
  <c r="J10" i="21"/>
  <c r="J11" i="21"/>
  <c r="K11" i="21"/>
  <c r="J12" i="21"/>
  <c r="J13" i="21"/>
  <c r="K13" i="21"/>
  <c r="J14" i="21"/>
  <c r="J15" i="21"/>
  <c r="K15" i="21"/>
  <c r="J16" i="21"/>
  <c r="J17" i="21"/>
  <c r="K17" i="21"/>
  <c r="J18" i="21"/>
  <c r="J19" i="21"/>
  <c r="K19" i="21"/>
  <c r="J20" i="21"/>
  <c r="J21" i="21"/>
  <c r="K21" i="21"/>
  <c r="J22" i="21"/>
  <c r="J23" i="21"/>
  <c r="K23" i="21"/>
  <c r="J24" i="21"/>
  <c r="J25" i="21"/>
  <c r="K25" i="21"/>
  <c r="J26" i="21"/>
  <c r="J27" i="21"/>
  <c r="K27" i="21"/>
  <c r="J28" i="21"/>
  <c r="J29" i="21"/>
  <c r="K29" i="21"/>
  <c r="J30" i="21"/>
  <c r="J31" i="21"/>
  <c r="K31" i="21"/>
  <c r="J32" i="21"/>
  <c r="J33" i="21"/>
  <c r="K33" i="21"/>
  <c r="J34" i="21"/>
  <c r="M4" i="21" l="1"/>
  <c r="O44" i="5" l="1"/>
  <c r="O47" i="5"/>
  <c r="O48" i="5"/>
  <c r="O51" i="5"/>
  <c r="O52" i="5"/>
  <c r="O55" i="5"/>
  <c r="O59" i="5"/>
  <c r="O60" i="5"/>
  <c r="O40" i="5"/>
  <c r="O41" i="5"/>
  <c r="O42" i="5"/>
  <c r="O45" i="5"/>
  <c r="O46" i="5"/>
  <c r="O49" i="5"/>
  <c r="O50" i="5"/>
  <c r="O53" i="5"/>
  <c r="O54" i="5"/>
  <c r="O57" i="5"/>
  <c r="O58" i="5"/>
  <c r="O62" i="5"/>
  <c r="O63" i="5"/>
  <c r="O43" i="5" l="1"/>
  <c r="O56" i="5"/>
  <c r="J86" i="15" s="1"/>
  <c r="O61" i="5"/>
  <c r="J87" i="15" s="1"/>
  <c r="O64" i="5"/>
  <c r="O65" i="5"/>
  <c r="O66" i="5"/>
  <c r="O67" i="5"/>
  <c r="J88" i="15" s="1"/>
  <c r="O68" i="5"/>
  <c r="O69" i="5"/>
  <c r="O70" i="5"/>
  <c r="J85" i="15"/>
  <c r="J84" i="15"/>
  <c r="J83" i="15"/>
  <c r="J67" i="15" l="1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3" i="15" s="1"/>
  <c r="G10" i="17" s="1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10" i="17" l="1"/>
  <c r="I11" i="17"/>
  <c r="H11" i="17"/>
  <c r="I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G27" i="15" l="1"/>
  <c r="S25" i="15"/>
  <c r="N72" i="15"/>
  <c r="L30" i="15"/>
  <c r="L29" i="15" s="1"/>
  <c r="L31" i="15" s="1"/>
  <c r="Q54" i="15"/>
  <c r="D37" i="17" s="1"/>
  <c r="E7" i="15"/>
  <c r="S57" i="15"/>
  <c r="Q57" i="15"/>
  <c r="K34" i="15"/>
  <c r="K33" i="15" s="1"/>
  <c r="G11" i="17" s="1"/>
  <c r="O15" i="17"/>
  <c r="N15" i="17" s="1"/>
  <c r="N16" i="17" s="1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<sst xmlns="http://schemas.openxmlformats.org/spreadsheetml/2006/main" count="345" uniqueCount="208">
  <si>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</si>
  <si>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</si>
  <si>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</si>
  <si>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</si>
  <si>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</si>
  <si>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</si>
  <si>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</si>
  <si>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</si>
  <si>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</si>
  <si>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</si>
  <si>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</si>
  <si>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</si>
  <si>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</si>
  <si>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</si>
  <si>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</si>
  <si>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</si>
  <si>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</si>
  <si>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</si>
  <si>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</si>
  <si>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</si>
  <si>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</si>
  <si>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</si>
  <si>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</si>
  <si>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</si>
  <si>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</si>
  <si>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</si>
  <si>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</si>
  <si>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</si>
  <si>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</si>
  <si>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</si>
  <si>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</si>
  <si>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</si>
  <si>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</si>
  <si>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</si>
  <si>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</si>
  <si>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</si>
  <si>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</si>
  <si>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</si>
  <si>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</si>
  <si>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</si>
  <si>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</si>
  <si>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</si>
  <si>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</si>
  <si>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</si>
  <si>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</si>
  <si>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</si>
  <si>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</si>
  <si>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</si>
  <si>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</si>
  <si>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</si>
  <si>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</si>
  <si>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</si>
  <si>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</si>
  <si>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</si>
  <si>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</si>
  <si>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</si>
  <si>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</si>
  <si>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</si>
  <si>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</si>
  <si>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</si>
  <si>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</si>
  <si>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</si>
  <si>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</si>
  <si>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</si>
  <si>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</si>
  <si>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</si>
  <si>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</si>
  <si>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</si>
  <si>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</si>
  <si>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</si>
  <si>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</si>
  <si>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</si>
  <si>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</si>
  <si>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</si>
  <si>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</si>
  <si>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</si>
  <si>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</si>
  <si>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</si>
  <si>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</si>
  <si>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</si>
  <si>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</si>
  <si>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</si>
  <si>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</si>
  <si>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</si>
  <si>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</si>
  <si>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</si>
  <si>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</si>
  <si>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</si>
  <si>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</si>
  <si>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</si>
  <si>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</si>
  <si>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</si>
  <si>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</si>
  <si>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</si>
  <si>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</si>
  <si>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</si>
  <si>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</si>
  <si>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</si>
  <si>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</si>
  <si>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</si>
  <si>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</si>
  <si>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</si>
  <si>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</si>
  <si>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</si>
  <si>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</si>
  <si>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</si>
  <si>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</si>
  <si>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</si>
  <si>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</si>
  <si>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</si>
  <si>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</si>
  <si>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</si>
  <si>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</si>
  <si>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</si>
  <si>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</si>
  <si>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</si>
  <si>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</si>
  <si>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</si>
  <si>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</si>
  <si>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</si>
  <si>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</si>
  <si>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</si>
  <si>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</si>
  <si>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</si>
  <si>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</si>
  <si>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</si>
  <si>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</si>
  <si>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</si>
  <si>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</si>
  <si>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</si>
  <si>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</si>
  <si>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</si>
  <si>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</si>
  <si>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</si>
  <si>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</si>
  <si>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</si>
  <si>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</si>
  <si>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</si>
  <si>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</si>
  <si>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</si>
  <si>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</si>
  <si>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</si>
  <si>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</si>
  <si>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</si>
  <si>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</si>
  <si>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</si>
  <si>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</si>
  <si>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</si>
  <si>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</si>
  <si>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</si>
  <si>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</si>
  <si>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</si>
  <si>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</si>
  <si>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</si>
  <si>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</si>
  <si>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</si>
  <si>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</si>
  <si>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</si>
  <si>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</si>
  <si>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</si>
  <si>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</si>
  <si>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</si>
  <si>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</si>
  <si>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</si>
  <si>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</si>
  <si>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</si>
  <si>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</si>
  <si>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</si>
  <si>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</si>
  <si>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</si>
  <si>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</si>
  <si>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</si>
  <si>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</si>
  <si>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</si>
  <si>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</si>
  <si>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</si>
  <si>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</si>
  <si>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</si>
  <si>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</si>
  <si>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</si>
  <si>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</si>
  <si>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</si>
  <si>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</si>
  <si>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</si>
  <si>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</si>
  <si>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</si>
  <si>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</si>
  <si>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</si>
  <si>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</si>
  <si>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</si>
  <si>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</si>
  <si>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</si>
  <si>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</si>
  <si>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</si>
  <si>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</si>
  <si>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</si>
  <si>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</si>
  <si>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</si>
  <si>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</si>
  <si>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</si>
  <si>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</si>
  <si>
    <t>Mediciones</t>
  </si>
  <si>
    <t>Flujos</t>
  </si>
  <si>
    <t>Balance</t>
  </si>
  <si>
    <t>% Cambio relativo</t>
  </si>
  <si>
    <t>Max Var  FeT</t>
  </si>
  <si>
    <t>Planta Movil</t>
  </si>
  <si>
    <t xml:space="preserve">Alimentación Planta Rechazo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</si>
</sst>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5" formatCode="dd\ /\ mmmm\ /\ yyyy"/>
    <numFmt numFmtId="176" formatCode="#,##0.0000"/>
    <numFmt numFmtId="177" formatCode="#,##0.00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4" fillId="0" borderId="0" xfId="0" applyFont="1"/>
    <xf numFmtId="3" fontId="34" fillId="0" borderId="0" xfId="0" applyNumberFormat="1" applyFont="1" applyBorder="1" applyAlignment="1">
      <alignment horizontal="center"/>
    </xf>
    <xf numFmtId="10" fontId="34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5" fillId="0" borderId="0" xfId="0" applyNumberFormat="1" applyFont="1" applyAlignment="1">
      <alignment horizontal="left"/>
    </xf>
    <xf numFmtId="3" fontId="36" fillId="0" borderId="0" xfId="0" applyNumberFormat="1" applyFont="1" applyAlignment="1">
      <alignment horizontal="left" indent="1"/>
    </xf>
    <xf numFmtId="177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0" fontId="0" fillId="18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6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0" fontId="38" fillId="18" borderId="1" xfId="0" applyFont="1" applyFill="1" applyBorder="1"/>
    <xf numFmtId="0" fontId="38" fillId="19" borderId="1" xfId="0" applyFont="1" applyFill="1" applyBorder="1" applyAlignment="1">
      <alignment horizontal="center"/>
    </xf>
    <xf numFmtId="0" fontId="0" fillId="0" borderId="46" xfId="0" applyBorder="1"/>
    <xf numFmtId="10" fontId="0" fillId="0" borderId="46" xfId="0" applyNumberFormat="1" applyBorder="1"/>
    <xf numFmtId="1" fontId="0" fillId="0" borderId="46" xfId="0" applyNumberFormat="1" applyBorder="1"/>
    <xf numFmtId="1" fontId="38" fillId="19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10" fillId="0" borderId="44" xfId="2" applyFont="1" applyBorder="1" applyAlignment="1">
      <alignment wrapText="1"/>
    </xf>
    <xf numFmtId="0" fontId="10" fillId="11" borderId="1" xfId="0" applyFont="1" applyFill="1" applyBorder="1"/>
    <xf numFmtId="0" fontId="10" fillId="10" borderId="1" xfId="0" applyFont="1" applyFill="1" applyBorder="1" applyAlignment="1">
      <alignment wrapText="1"/>
    </xf>
    <xf numFmtId="0" fontId="18" fillId="2" borderId="1" xfId="2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10" fontId="10" fillId="6" borderId="1" xfId="0" applyNumberFormat="1" applyFont="1" applyFill="1" applyBorder="1"/>
    <xf numFmtId="166" fontId="18" fillId="0" borderId="1" xfId="0" applyNumberFormat="1" applyFont="1" applyBorder="1"/>
    <xf numFmtId="166" fontId="18" fillId="0" borderId="0" xfId="0" applyNumberFormat="1" applyFont="1"/>
    <xf numFmtId="10" fontId="18" fillId="0" borderId="1" xfId="0" applyNumberFormat="1" applyFont="1" applyBorder="1"/>
    <xf numFmtId="0" fontId="2" fillId="0" borderId="0" xfId="0" applyFont="1" applyFill="1" applyBorder="1"/>
    <xf numFmtId="0" fontId="0" fillId="0" borderId="0" xfId="0" applyFont="1" applyBorder="1"/>
    <xf numFmtId="10" fontId="23" fillId="0" borderId="1" xfId="5" applyNumberFormat="1" applyFont="1" applyBorder="1" applyAlignment="1">
      <alignment horizontal="center" vertical="center"/>
    </xf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14" borderId="0" xfId="0" applyFont="1" applyFill="1" applyAlignment="1">
      <alignment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14" borderId="0" xfId="0" applyFont="1" applyFill="1" applyAlignment="1">
      <alignment horizontal="left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4" borderId="27" xfId="4" applyFont="1" applyFill="1" applyBorder="1" applyAlignment="1">
      <alignment horizontal="left" vertical="center" wrapText="1"/>
    </xf>
    <xf numFmtId="0" fontId="24" fillId="4" borderId="28" xfId="4" applyFont="1" applyFill="1" applyBorder="1" applyAlignment="1">
      <alignment horizontal="left" vertical="center" wrapText="1"/>
    </xf>
    <xf numFmtId="0" fontId="25" fillId="0" borderId="0" xfId="4" applyFont="1" applyAlignment="1">
      <alignment horizontal="left" vertical="center" wrapText="1"/>
    </xf>
    <xf numFmtId="0" fontId="24" fillId="0" borderId="0" xfId="4" applyFont="1" applyAlignment="1">
      <alignment horizontal="left" vertical="center" wrapText="1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4" borderId="0" xfId="4" applyFont="1" applyFill="1" applyAlignment="1">
      <alignment horizontal="center" vertical="center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5" fillId="17" borderId="36" xfId="4" applyFont="1" applyFill="1" applyBorder="1" applyAlignment="1">
      <alignment horizontal="center" vertical="center"/>
    </xf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5" fontId="22" fillId="12" borderId="1" xfId="0" applyNumberFormat="1" applyFont="1" applyFill="1" applyBorder="1" applyAlignment="1">
      <alignment horizontal="center" vertical="center" wrapText="1"/>
    </xf>
    <xf numFmtId="175" fontId="22" fillId="12" borderId="5" xfId="0" applyNumberFormat="1" applyFont="1" applyFill="1" applyBorder="1" applyAlignment="1">
      <alignment horizontal="center" vertical="center" wrapText="1"/>
    </xf>
    <xf numFmtId="175" fontId="22" fillId="12" borderId="25" xfId="0" applyNumberFormat="1" applyFont="1" applyFill="1" applyBorder="1" applyAlignment="1">
      <alignment horizontal="center" vertical="center" wrapText="1"/>
    </xf>
    <xf numFmtId="175" fontId="22" fillId="12" borderId="26" xfId="0" applyNumberFormat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wrapText="1"/>
    </xf>
    <xf numFmtId="0" fontId="37" fillId="18" borderId="45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3" xfId="2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0" fillId="0" borderId="0" xfId="0" applyBorder="1" applyAlignment="1">
      <alignment horizontal="center"/>
    </xf>
    <xf numFmtId="0" fontId="7" fillId="14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/>
    </xf>
    <xf numFmtId="0" fontId="39" fillId="0" borderId="0" xfId="0" applyFont="1"/>
    <xf numFmtId="10" fontId="39" fillId="0" borderId="0" xfId="0" applyNumberFormat="1" applyFont="1"/>
    <xf numFmtId="0" fontId="40" fillId="0" borderId="0" xfId="0" applyFont="1"/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right"/>
    </xf>
    <xf numFmtId="0" fontId="39" fillId="0" borderId="0" xfId="0" applyFont="1" applyFill="1" applyBorder="1"/>
    <xf numFmtId="10" fontId="39" fillId="0" borderId="0" xfId="0" applyNumberFormat="1" applyFont="1" applyFill="1" applyBorder="1"/>
    <xf numFmtId="0" fontId="39" fillId="0" borderId="0" xfId="0" applyFont="1" applyFill="1" applyBorder="1" applyAlignment="1">
      <alignment horizontal="right"/>
    </xf>
    <xf numFmtId="0" fontId="41" fillId="0" borderId="0" xfId="0" applyFont="1" applyFill="1" applyBorder="1"/>
    <xf numFmtId="3" fontId="39" fillId="0" borderId="0" xfId="0" applyNumberFormat="1" applyFont="1" applyFill="1" applyBorder="1"/>
    <xf numFmtId="0" fontId="41" fillId="0" borderId="0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1" fontId="39" fillId="0" borderId="0" xfId="0" applyNumberFormat="1" applyFont="1" applyFill="1" applyBorder="1"/>
    <xf numFmtId="10" fontId="41" fillId="0" borderId="0" xfId="0" applyNumberFormat="1" applyFont="1" applyFill="1" applyBorder="1" applyAlignment="1">
      <alignment horizontal="center" vertical="center"/>
    </xf>
    <xf numFmtId="3" fontId="41" fillId="0" borderId="0" xfId="0" applyNumberFormat="1" applyFont="1" applyFill="1" applyBorder="1" applyAlignment="1">
      <alignment horizontal="center" vertical="center"/>
    </xf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20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abSelected="1" topLeftCell="K5" zoomScale="160" zoomScaleNormal="160" workbookViewId="0">
      <selection activeCell="N10" sqref="N10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302"/>
      <c r="E2" s="303"/>
      <c r="F2" s="308" t="s">
        <v>134</v>
      </c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9"/>
      <c r="R2" s="112"/>
    </row>
    <row r="3" spans="2:20" ht="14">
      <c r="B3" s="110"/>
      <c r="C3" s="111"/>
      <c r="D3" s="304"/>
      <c r="E3" s="305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1"/>
      <c r="R3" s="112"/>
    </row>
    <row r="4" spans="2:20" ht="14">
      <c r="B4" s="110"/>
      <c r="C4" s="111"/>
      <c r="D4" s="304"/>
      <c r="E4" s="305"/>
      <c r="F4" s="310" t="s">
        <v>135</v>
      </c>
      <c r="G4" s="310"/>
      <c r="H4" s="310"/>
      <c r="I4" s="310"/>
      <c r="J4" s="310"/>
      <c r="K4" s="310"/>
      <c r="L4" s="310"/>
      <c r="M4" s="310" t="s">
        <v>136</v>
      </c>
      <c r="N4" s="310"/>
      <c r="O4" s="310"/>
      <c r="P4" s="313">
        <v>44817</v>
      </c>
      <c r="Q4" s="314"/>
      <c r="R4" s="112"/>
    </row>
    <row r="5" spans="2:20" thickBot="1">
      <c r="B5" s="110"/>
      <c r="C5" s="111"/>
      <c r="D5" s="306"/>
      <c r="E5" s="307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5"/>
      <c r="Q5" s="316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94"/>
      <c r="E7" s="295"/>
      <c r="F7" s="295"/>
      <c r="G7" s="117" t="s">
        <v>137</v>
      </c>
      <c r="H7" s="117" t="s">
        <v>137</v>
      </c>
      <c r="I7" s="117" t="s">
        <v>138</v>
      </c>
      <c r="J7" s="118" t="s">
        <v>139</v>
      </c>
      <c r="K7" s="298"/>
      <c r="L7" s="299"/>
      <c r="M7" s="299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96"/>
      <c r="E8" s="297"/>
      <c r="F8" s="297"/>
      <c r="G8" s="119" t="s">
        <v>2</v>
      </c>
      <c r="H8" s="119" t="s">
        <v>60</v>
      </c>
      <c r="I8" s="119" t="s">
        <v>140</v>
      </c>
      <c r="J8" s="120" t="s">
        <v>4</v>
      </c>
      <c r="K8" s="300"/>
      <c r="L8" s="301"/>
      <c r="M8" s="301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80" t="s">
        <v>117</v>
      </c>
      <c r="E9" s="281"/>
      <c r="F9" s="281"/>
      <c r="G9" s="281"/>
      <c r="H9" s="281"/>
      <c r="I9" s="281"/>
      <c r="J9" s="282"/>
      <c r="K9" s="293" t="s">
        <v>141</v>
      </c>
      <c r="L9" s="281"/>
      <c r="M9" s="281"/>
      <c r="N9" s="281"/>
      <c r="O9" s="281"/>
      <c r="P9" s="281"/>
      <c r="Q9" s="282"/>
      <c r="R9" s="112"/>
    </row>
    <row r="10" spans="2:20" ht="14">
      <c r="B10" s="115"/>
      <c r="C10" s="116" t="s">
        <v>142</v>
      </c>
      <c r="D10" s="260" t="s">
        <v>198</v>
      </c>
      <c r="E10" s="261"/>
      <c r="F10" s="262"/>
      <c r="G10" s="121">
        <f>+'Diag Proc Los Colorados'!K3</f>
        <v>641388</v>
      </c>
      <c r="H10" s="121">
        <f>+Utilidad!M40</f>
        <v>635936.20200000005</v>
      </c>
      <c r="I10" s="122">
        <f>+Utilidad!N40</f>
        <v>0.53950295786000002</v>
      </c>
      <c r="J10" s="123">
        <f>+H10*I10</f>
        <v>343089.46198925452</v>
      </c>
      <c r="K10" s="261" t="s">
        <v>143</v>
      </c>
      <c r="L10" s="261"/>
      <c r="M10" s="261"/>
      <c r="N10" s="121">
        <f>O10/(1-'Datos Extra'!E11)</f>
        <v>524649.95812216052</v>
      </c>
      <c r="O10" s="121">
        <f>+Utilidad!M52</f>
        <v>519665.78352</v>
      </c>
      <c r="P10" s="129">
        <f>+Utilidad!N52</f>
        <v>0.60820495416999998</v>
      </c>
      <c r="Q10" s="123">
        <f>+O10*P10</f>
        <v>316063.30404949875</v>
      </c>
      <c r="R10" s="112"/>
      <c r="T10" s="109" t="s">
        <v>15</v>
      </c>
    </row>
    <row r="11" spans="2:20" ht="14">
      <c r="B11" s="115"/>
      <c r="C11" s="116"/>
      <c r="D11" s="260" t="s">
        <v>145</v>
      </c>
      <c r="E11" s="261"/>
      <c r="F11" s="262"/>
      <c r="G11" s="121">
        <f>+'Diag Proc Los Colorados'!K33</f>
        <v>155863.62185128985</v>
      </c>
      <c r="H11" s="121">
        <f>+Utilidad!M58</f>
        <v>154071.19020000001</v>
      </c>
      <c r="I11" s="122">
        <f>+Utilidad!N58</f>
        <v>0.19973110504</v>
      </c>
      <c r="J11" s="123">
        <f>+H11*I11</f>
        <v>30772.809073474022</v>
      </c>
      <c r="K11" s="261" t="s">
        <v>144</v>
      </c>
      <c r="L11" s="261"/>
      <c r="M11" s="261"/>
      <c r="N11" s="121">
        <v>0</v>
      </c>
      <c r="O11" s="121">
        <v>0</v>
      </c>
      <c r="P11" s="249">
        <v>0</v>
      </c>
      <c r="Q11" s="123">
        <f t="shared" ref="Q11:Q12" si="0">+O11*P11</f>
        <v>0</v>
      </c>
      <c r="R11" s="112"/>
    </row>
    <row r="12" spans="2:20" thickBot="1">
      <c r="B12" s="115"/>
      <c r="C12" s="116"/>
      <c r="D12" s="260"/>
      <c r="E12" s="261"/>
      <c r="F12" s="262"/>
      <c r="G12" s="121"/>
      <c r="H12" s="121"/>
      <c r="I12" s="122"/>
      <c r="J12" s="123"/>
      <c r="K12" s="261" t="s">
        <v>197</v>
      </c>
      <c r="L12" s="261"/>
      <c r="M12" s="261"/>
      <c r="N12" s="121">
        <f>O12/(1-'Datos Extra'!E12)</f>
        <v>24217.0854</v>
      </c>
      <c r="O12" s="121">
        <f>Utilidad!M60+'Datos Extra'!B10</f>
        <v>24217.0854</v>
      </c>
      <c r="P12" s="249">
        <f>Utilidad!N60</f>
        <v>0.48698399999999997</v>
      </c>
      <c r="Q12" s="123">
        <f t="shared" si="0"/>
        <v>11793.3331164336</v>
      </c>
      <c r="R12" s="112"/>
    </row>
    <row r="13" spans="2:20" thickBot="1">
      <c r="B13" s="115"/>
      <c r="C13" s="116" t="s">
        <v>146</v>
      </c>
      <c r="D13" s="276" t="s">
        <v>147</v>
      </c>
      <c r="E13" s="277"/>
      <c r="F13" s="277"/>
      <c r="G13" s="125"/>
      <c r="H13" s="126"/>
      <c r="I13" s="127"/>
      <c r="J13" s="128"/>
      <c r="K13" s="291" t="s">
        <v>147</v>
      </c>
      <c r="L13" s="292"/>
      <c r="M13" s="292"/>
      <c r="N13" s="126">
        <f>SUM(N10:N12)</f>
        <v>548867.0435221605</v>
      </c>
      <c r="O13" s="126">
        <f>SUM(O10:O12)</f>
        <v>543882.86892000004</v>
      </c>
      <c r="P13" s="194">
        <f>+Q13/O13</f>
        <v>0.6028074350217435</v>
      </c>
      <c r="Q13" s="126">
        <f>SUM(Q10:Q12)</f>
        <v>327856.63716593233</v>
      </c>
      <c r="R13" s="112"/>
    </row>
    <row r="14" spans="2:20" thickBot="1">
      <c r="B14" s="115"/>
      <c r="C14" s="116"/>
      <c r="D14" s="280" t="s">
        <v>148</v>
      </c>
      <c r="E14" s="281"/>
      <c r="F14" s="281"/>
      <c r="G14" s="281"/>
      <c r="H14" s="281"/>
      <c r="I14" s="281"/>
      <c r="J14" s="282"/>
      <c r="K14" s="284" t="s">
        <v>151</v>
      </c>
      <c r="L14" s="285"/>
      <c r="M14" s="285"/>
      <c r="N14" s="285"/>
      <c r="O14" s="285"/>
      <c r="P14" s="285"/>
      <c r="Q14" s="286"/>
      <c r="R14" s="112"/>
    </row>
    <row r="15" spans="2:20" thickBot="1">
      <c r="B15" s="115"/>
      <c r="C15" s="116"/>
      <c r="D15" s="260" t="s">
        <v>149</v>
      </c>
      <c r="E15" s="261"/>
      <c r="F15" s="262"/>
      <c r="G15" s="121">
        <f>'Datos Extra'!B1</f>
        <v>307100</v>
      </c>
      <c r="H15" s="121">
        <f>'Datos Extra'!C1</f>
        <v>304428.23</v>
      </c>
      <c r="I15" s="249">
        <f>'Datos Extra'!D1</f>
        <v>0.60199999999999998</v>
      </c>
      <c r="J15" s="172">
        <f>H15*I15</f>
        <v>183265.79445999998</v>
      </c>
      <c r="K15" s="287" t="s">
        <v>153</v>
      </c>
      <c r="L15" s="288"/>
      <c r="M15" s="289"/>
      <c r="N15" s="121">
        <f>O15/(1-'Datos Extra'!E9)</f>
        <v>131364.79999999999</v>
      </c>
      <c r="O15" s="121">
        <f>+'Diag Proc Los Colorados'!S28</f>
        <v>129854.1048</v>
      </c>
      <c r="P15" s="122">
        <f>+'Diag Proc Los Colorados'!S29</f>
        <v>0.14616000000000001</v>
      </c>
      <c r="Q15" s="123">
        <f>+'Diag Proc Los Colorados'!S30</f>
        <v>18979.475957568</v>
      </c>
      <c r="R15" s="112"/>
    </row>
    <row r="16" spans="2:20" thickBot="1">
      <c r="B16" s="115"/>
      <c r="C16" s="116"/>
      <c r="D16" s="260" t="s">
        <v>150</v>
      </c>
      <c r="E16" s="261"/>
      <c r="F16" s="262"/>
      <c r="G16" s="121">
        <f>'Datos Extra'!B2</f>
        <v>109994</v>
      </c>
      <c r="H16" s="121">
        <f>'Datos Extra'!C2</f>
        <v>109081.04980000001</v>
      </c>
      <c r="I16" s="249">
        <f>'Datos Extra'!D2</f>
        <v>0.63300000000000001</v>
      </c>
      <c r="J16" s="172">
        <f t="shared" ref="J16:J22" si="1">H16*I16</f>
        <v>69048.304523400002</v>
      </c>
      <c r="K16" s="276" t="s">
        <v>147</v>
      </c>
      <c r="L16" s="277"/>
      <c r="M16" s="277"/>
      <c r="N16" s="125">
        <f>SUM(N14:N15)</f>
        <v>131364.79999999999</v>
      </c>
      <c r="O16" s="125">
        <f>SUM(O15)</f>
        <v>129854.1048</v>
      </c>
      <c r="P16" s="191">
        <f>+P15</f>
        <v>0.14616000000000001</v>
      </c>
      <c r="Q16" s="125">
        <f>SUM(Q15)</f>
        <v>18979.475957568</v>
      </c>
      <c r="R16" s="112"/>
    </row>
    <row r="17" spans="2:19" ht="14">
      <c r="B17" s="115"/>
      <c r="C17" s="116"/>
      <c r="D17" s="260" t="s">
        <v>175</v>
      </c>
      <c r="E17" s="261"/>
      <c r="F17" s="262"/>
      <c r="G17" s="121">
        <f>'Datos Extra'!B3</f>
        <v>2148</v>
      </c>
      <c r="H17" s="121">
        <f>'Datos Extra'!C3</f>
        <v>2132.9639999999999</v>
      </c>
      <c r="I17" s="249">
        <f>'Datos Extra'!D3</f>
        <v>0.46800000000000003</v>
      </c>
      <c r="J17" s="172">
        <f t="shared" si="1"/>
        <v>998.22715200000005</v>
      </c>
      <c r="R17" s="112"/>
    </row>
    <row r="18" spans="2:19" ht="14">
      <c r="B18" s="115"/>
      <c r="C18" s="116"/>
      <c r="D18" s="260" t="s">
        <v>152</v>
      </c>
      <c r="E18" s="261"/>
      <c r="F18" s="262"/>
      <c r="G18" s="121">
        <f>'Datos Extra'!B4</f>
        <v>5474</v>
      </c>
      <c r="H18" s="121">
        <f>'Datos Extra'!C4</f>
        <v>5441.1559999999999</v>
      </c>
      <c r="I18" s="249">
        <f>'Datos Extra'!D4/G18</f>
        <v>0.59499999999999997</v>
      </c>
      <c r="J18" s="172">
        <f t="shared" si="1"/>
        <v>3237.4878199999998</v>
      </c>
      <c r="N18" s="216"/>
      <c r="R18" s="112"/>
    </row>
    <row r="19" spans="2:19" ht="14">
      <c r="B19" s="115"/>
      <c r="C19" s="116"/>
      <c r="D19" s="130" t="s">
        <v>154</v>
      </c>
      <c r="E19" s="131"/>
      <c r="F19" s="132"/>
      <c r="G19" s="121">
        <f>'Datos Extra'!B5</f>
        <v>30340</v>
      </c>
      <c r="H19" s="121">
        <f>'Datos Extra'!C5</f>
        <v>30157.96</v>
      </c>
      <c r="I19" s="249">
        <f>'Datos Extra'!D5</f>
        <v>0.62960000000000005</v>
      </c>
      <c r="J19" s="172">
        <f t="shared" si="1"/>
        <v>18987.451616000002</v>
      </c>
      <c r="N19" s="216"/>
      <c r="R19" s="112"/>
    </row>
    <row r="20" spans="2:19" ht="14">
      <c r="B20" s="115"/>
      <c r="C20" s="116"/>
      <c r="D20" s="260" t="s">
        <v>176</v>
      </c>
      <c r="E20" s="261"/>
      <c r="F20" s="262"/>
      <c r="G20" s="121">
        <f>'Datos Extra'!B6</f>
        <v>23467</v>
      </c>
      <c r="H20" s="121">
        <f>'Datos Extra'!C6</f>
        <v>23302.731</v>
      </c>
      <c r="I20" s="249">
        <f>'Datos Extra'!D6</f>
        <v>0.48899999999999999</v>
      </c>
      <c r="J20" s="172">
        <f t="shared" si="1"/>
        <v>11395.035458999999</v>
      </c>
      <c r="K20" s="290"/>
      <c r="L20" s="290"/>
      <c r="M20" s="290"/>
      <c r="N20" s="133"/>
      <c r="O20" s="134"/>
      <c r="P20" s="135"/>
      <c r="Q20" s="134"/>
      <c r="R20" s="112"/>
    </row>
    <row r="21" spans="2:19" ht="14">
      <c r="B21" s="115"/>
      <c r="C21" s="116"/>
      <c r="D21" s="260" t="s">
        <v>155</v>
      </c>
      <c r="E21" s="261"/>
      <c r="F21" s="262"/>
      <c r="G21" s="121">
        <f>'Datos Extra'!B7</f>
        <v>12195</v>
      </c>
      <c r="H21" s="121">
        <f>'Datos Extra'!C7</f>
        <v>12195</v>
      </c>
      <c r="I21" s="249">
        <f>'Datos Extra'!D7/G21</f>
        <v>0.59599999999999997</v>
      </c>
      <c r="J21" s="172">
        <f t="shared" si="1"/>
        <v>7268.2199999999993</v>
      </c>
      <c r="K21" s="136"/>
      <c r="L21" s="137">
        <v>24218.02472961368</v>
      </c>
      <c r="M21" s="137">
        <v>66344</v>
      </c>
      <c r="N21" s="136"/>
      <c r="O21" s="138">
        <v>2100.8662841167534</v>
      </c>
      <c r="P21" s="135"/>
      <c r="Q21" s="134"/>
      <c r="R21" s="112"/>
      <c r="S21" s="139"/>
    </row>
    <row r="22" spans="2:19" thickBot="1">
      <c r="B22" s="115"/>
      <c r="C22" s="116"/>
      <c r="D22" s="130" t="s">
        <v>156</v>
      </c>
      <c r="E22" s="131"/>
      <c r="F22" s="132"/>
      <c r="G22" s="121">
        <f>'Datos Extra'!B8</f>
        <v>21746</v>
      </c>
      <c r="H22" s="121">
        <f>'Datos Extra'!C8</f>
        <v>21580.7304</v>
      </c>
      <c r="I22" s="249">
        <f>'Datos Extra'!D8/G22</f>
        <v>0.63099999999999989</v>
      </c>
      <c r="J22" s="172">
        <f t="shared" si="1"/>
        <v>13617.440882399998</v>
      </c>
      <c r="K22" s="274"/>
      <c r="L22" s="275"/>
      <c r="M22" s="275"/>
      <c r="N22" s="140"/>
      <c r="O22" s="138">
        <v>2100.8662841167534</v>
      </c>
      <c r="P22" s="135"/>
      <c r="Q22" s="134"/>
      <c r="R22" s="112"/>
    </row>
    <row r="23" spans="2:19" thickBot="1">
      <c r="B23" s="115"/>
      <c r="C23" s="116"/>
      <c r="D23" s="276" t="s">
        <v>147</v>
      </c>
      <c r="E23" s="277"/>
      <c r="F23" s="277"/>
      <c r="G23" s="125">
        <f>+SUM(G15:G22)</f>
        <v>512464</v>
      </c>
      <c r="H23" s="125">
        <f>+SUM(H15:H22)</f>
        <v>508319.82120000001</v>
      </c>
      <c r="I23" s="191">
        <f>+J23/H23</f>
        <v>0.60555962816112185</v>
      </c>
      <c r="J23" s="125">
        <f>+SUM(J15:J22)</f>
        <v>307817.96191279998</v>
      </c>
      <c r="K23" s="278"/>
      <c r="L23" s="278"/>
      <c r="M23" s="278"/>
      <c r="N23" s="141">
        <v>471219.05500982143</v>
      </c>
      <c r="O23" s="138">
        <v>2100.8662841167534</v>
      </c>
      <c r="P23" s="142"/>
      <c r="Q23" s="143"/>
      <c r="R23" s="112"/>
      <c r="S23" s="144"/>
    </row>
    <row r="24" spans="2:19" thickBot="1">
      <c r="B24" s="115"/>
      <c r="C24" s="116"/>
      <c r="D24" s="279"/>
      <c r="E24" s="279"/>
      <c r="F24" s="279"/>
      <c r="G24" s="145"/>
      <c r="H24" s="143"/>
      <c r="I24" s="142"/>
      <c r="J24" s="143"/>
      <c r="K24" s="146"/>
      <c r="L24" s="146"/>
      <c r="M24" s="146"/>
      <c r="N24" s="146"/>
      <c r="O24" s="146"/>
      <c r="R24" s="112"/>
    </row>
    <row r="25" spans="2:19" hidden="1" thickBot="1">
      <c r="B25" s="115"/>
      <c r="C25" s="116"/>
      <c r="D25" s="280" t="s">
        <v>157</v>
      </c>
      <c r="E25" s="281"/>
      <c r="F25" s="281"/>
      <c r="G25" s="281"/>
      <c r="H25" s="281"/>
      <c r="I25" s="281"/>
      <c r="J25" s="282"/>
      <c r="K25" s="283"/>
      <c r="L25" s="283"/>
      <c r="M25" s="283"/>
      <c r="N25" s="283"/>
      <c r="O25" s="283"/>
      <c r="P25" s="283"/>
      <c r="Q25" s="283"/>
      <c r="R25" s="147"/>
    </row>
    <row r="26" spans="2:19" hidden="1" thickBot="1">
      <c r="B26" s="115"/>
      <c r="C26" s="116" t="s">
        <v>158</v>
      </c>
      <c r="D26" s="260" t="s">
        <v>159</v>
      </c>
      <c r="E26" s="261"/>
      <c r="F26" s="262"/>
      <c r="G26" s="148"/>
      <c r="H26" s="121"/>
      <c r="I26" s="124"/>
      <c r="J26" s="123"/>
      <c r="K26" s="263"/>
      <c r="L26" s="263"/>
      <c r="M26" s="263"/>
      <c r="N26" s="149"/>
      <c r="O26" s="150"/>
      <c r="P26" s="151"/>
      <c r="Q26" s="150"/>
      <c r="R26" s="112"/>
    </row>
    <row r="27" spans="2:19" hidden="1" thickBot="1">
      <c r="B27" s="115"/>
      <c r="C27" s="116"/>
      <c r="D27" s="260" t="s">
        <v>160</v>
      </c>
      <c r="E27" s="261"/>
      <c r="F27" s="262"/>
      <c r="G27" s="148"/>
      <c r="H27" s="121"/>
      <c r="I27" s="152"/>
      <c r="J27" s="123"/>
      <c r="K27" s="149"/>
      <c r="L27" s="149"/>
      <c r="M27" s="149"/>
      <c r="N27" s="149"/>
      <c r="O27" s="150"/>
      <c r="P27" s="151"/>
      <c r="Q27" s="150"/>
      <c r="R27" s="112"/>
    </row>
    <row r="28" spans="2:19" hidden="1" thickBot="1">
      <c r="B28" s="115"/>
      <c r="C28" s="116"/>
      <c r="D28" s="260" t="s">
        <v>161</v>
      </c>
      <c r="E28" s="261"/>
      <c r="F28" s="262"/>
      <c r="G28" s="148"/>
      <c r="H28" s="121"/>
      <c r="I28" s="152"/>
      <c r="J28" s="123"/>
      <c r="K28" s="263"/>
      <c r="L28" s="263"/>
      <c r="M28" s="263"/>
      <c r="N28" s="149"/>
      <c r="O28" s="150"/>
      <c r="P28" s="151"/>
      <c r="Q28" s="150"/>
      <c r="R28" s="112"/>
    </row>
    <row r="29" spans="2:19" hidden="1" thickBot="1">
      <c r="B29" s="115"/>
      <c r="C29" s="116"/>
      <c r="D29" s="256" t="s">
        <v>162</v>
      </c>
      <c r="E29" s="257"/>
      <c r="F29" s="258"/>
      <c r="G29" s="148"/>
      <c r="H29" s="121"/>
      <c r="I29" s="152"/>
      <c r="J29" s="123"/>
      <c r="K29" s="259"/>
      <c r="L29" s="259"/>
      <c r="M29" s="259"/>
      <c r="N29" s="153"/>
      <c r="O29" s="150"/>
      <c r="P29" s="151"/>
      <c r="Q29" s="150"/>
      <c r="R29" s="112"/>
    </row>
    <row r="30" spans="2:19" hidden="1" thickBot="1">
      <c r="B30" s="115"/>
      <c r="C30" s="116"/>
      <c r="D30" s="256" t="s">
        <v>163</v>
      </c>
      <c r="E30" s="257"/>
      <c r="F30" s="258"/>
      <c r="G30" s="148"/>
      <c r="H30" s="121"/>
      <c r="I30" s="152"/>
      <c r="J30" s="123"/>
      <c r="K30" s="259"/>
      <c r="L30" s="259"/>
      <c r="M30" s="259"/>
      <c r="N30" s="153"/>
      <c r="O30" s="150"/>
      <c r="P30" s="151"/>
      <c r="Q30" s="150"/>
      <c r="R30" s="112"/>
    </row>
    <row r="31" spans="2:19" hidden="1" thickBot="1">
      <c r="B31" s="115"/>
      <c r="C31" s="116"/>
      <c r="D31" s="260" t="s">
        <v>164</v>
      </c>
      <c r="E31" s="261"/>
      <c r="F31" s="262"/>
      <c r="G31" s="148"/>
      <c r="H31" s="154"/>
      <c r="I31" s="152"/>
      <c r="J31" s="123"/>
      <c r="K31" s="263"/>
      <c r="L31" s="263"/>
      <c r="M31" s="263"/>
      <c r="N31" s="149"/>
      <c r="O31" s="150"/>
      <c r="P31" s="151"/>
      <c r="Q31" s="150"/>
      <c r="R31" s="112"/>
    </row>
    <row r="32" spans="2:19" hidden="1" thickBot="1">
      <c r="B32" s="115"/>
      <c r="C32" s="116"/>
      <c r="D32" s="264" t="s">
        <v>147</v>
      </c>
      <c r="E32" s="265"/>
      <c r="F32" s="265"/>
      <c r="G32" s="125"/>
      <c r="H32" s="125"/>
      <c r="I32" s="155"/>
      <c r="J32" s="128"/>
      <c r="K32" s="266"/>
      <c r="L32" s="266"/>
      <c r="M32" s="266"/>
      <c r="N32" s="156"/>
      <c r="O32" s="157"/>
      <c r="P32" s="158"/>
      <c r="Q32" s="157"/>
      <c r="R32" s="112"/>
    </row>
    <row r="33" spans="2:18" hidden="1" thickBot="1">
      <c r="B33" s="115"/>
      <c r="D33" s="159"/>
      <c r="I33" s="160"/>
      <c r="J33" s="161"/>
      <c r="K33" s="160"/>
      <c r="L33" s="162"/>
      <c r="M33" s="160"/>
      <c r="N33" s="160"/>
      <c r="P33" s="163"/>
      <c r="R33" s="112"/>
    </row>
    <row r="34" spans="2:18" thickBot="1">
      <c r="B34" s="115"/>
      <c r="D34" s="267" t="s">
        <v>165</v>
      </c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9"/>
      <c r="R34" s="112"/>
    </row>
    <row r="35" spans="2:18" thickBot="1">
      <c r="B35" s="115"/>
      <c r="R35" s="112"/>
    </row>
    <row r="36" spans="2:18" thickBot="1">
      <c r="B36" s="115"/>
      <c r="D36" s="270" t="s">
        <v>166</v>
      </c>
      <c r="E36" s="271"/>
      <c r="F36" s="272"/>
      <c r="G36" s="164"/>
      <c r="H36" s="273"/>
      <c r="I36" s="273"/>
      <c r="K36" s="270" t="s">
        <v>167</v>
      </c>
      <c r="L36" s="271"/>
      <c r="M36" s="272"/>
      <c r="N36" s="164"/>
      <c r="O36" s="273"/>
      <c r="P36" s="273"/>
      <c r="R36" s="112"/>
    </row>
    <row r="37" spans="2:18" ht="14">
      <c r="B37" s="115"/>
      <c r="D37" s="250">
        <f>+'Diag Proc Los Colorados'!Q54</f>
        <v>0.82778572621212965</v>
      </c>
      <c r="E37" s="251"/>
      <c r="F37" s="252"/>
      <c r="G37" s="165"/>
      <c r="H37" s="166"/>
      <c r="I37" s="166"/>
      <c r="K37" s="250">
        <f>+'Diag Proc Los Colorados'!Q55</f>
        <v>0.93319855310983524</v>
      </c>
      <c r="L37" s="251"/>
      <c r="M37" s="252"/>
      <c r="N37" s="165"/>
      <c r="O37" s="166"/>
      <c r="P37" s="166"/>
      <c r="R37" s="112"/>
    </row>
    <row r="38" spans="2:18" thickBot="1">
      <c r="B38" s="115"/>
      <c r="D38" s="253"/>
      <c r="E38" s="254"/>
      <c r="F38" s="255"/>
      <c r="G38" s="165"/>
      <c r="H38" s="167"/>
      <c r="I38" s="168"/>
      <c r="K38" s="253"/>
      <c r="L38" s="254"/>
      <c r="M38" s="255"/>
      <c r="N38" s="165"/>
      <c r="O38" s="167"/>
      <c r="P38" s="168"/>
      <c r="R38" s="112"/>
    </row>
    <row r="39" spans="2:18" ht="14">
      <c r="B39" s="115"/>
      <c r="D39" s="169"/>
      <c r="E39" s="169"/>
      <c r="F39" s="169"/>
      <c r="G39" s="165"/>
      <c r="H39" s="167"/>
      <c r="I39" s="168"/>
      <c r="K39" s="169"/>
      <c r="L39" s="169"/>
      <c r="M39" s="169"/>
      <c r="N39" s="165"/>
      <c r="O39" s="167"/>
      <c r="P39" s="168"/>
      <c r="R39" s="112"/>
    </row>
    <row r="40" spans="2:18" thickBot="1">
      <c r="B40" s="170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71"/>
    </row>
  </sheetData>
  <mergeCells count="54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K11:M11"/>
    <mergeCell ref="D11:F11"/>
    <mergeCell ref="K12:M12"/>
    <mergeCell ref="D13:F13"/>
    <mergeCell ref="K13:M13"/>
    <mergeCell ref="D14:J14"/>
    <mergeCell ref="D12:F12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354"/>
  <sheetViews>
    <sheetView topLeftCell="N91" zoomScale="90" zoomScaleNormal="90" workbookViewId="0">
      <selection activeCell="O72" sqref="A1:O72"/>
    </sheetView>
  </sheetViews>
  <sheetFormatPr baseColWidth="10" defaultColWidth="24.83203125" defaultRowHeight="15" outlineLevelRow="1" outlineLevelCol="1"/>
  <cols>
    <col min="1" max="6" width="24.83203125" customWidth="1" outlineLevel="1"/>
    <col min="14" max="14" width="17.1640625" customWidth="1"/>
    <col min="15" max="15" width="13.1640625" customWidth="1"/>
  </cols>
  <sheetData>
    <row r="1" spans="1:71" outlineLevel="1">
      <c r="A1" s="347">
        <v>635936.20200000005</v>
      </c>
      <c r="B1" s="347">
        <v>635936.20200000005</v>
      </c>
      <c r="C1" s="348">
        <v>0.53950295786000002</v>
      </c>
      <c r="D1" s="348">
        <v>0.53950295786000002</v>
      </c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0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51525.062000000034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</row>
    <row r="2" spans="1:71" outlineLevel="1">
      <c r="A2" s="347">
        <v>0</v>
      </c>
      <c r="B2" s="347">
        <v>0</v>
      </c>
      <c r="C2" s="348">
        <v>0</v>
      </c>
      <c r="D2" s="348">
        <v>0</v>
      </c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71" s="2" customFormat="1" ht="51" customHeight="1" outlineLevel="1">
      <c r="A3" s="347">
        <v>21556.786400000001</v>
      </c>
      <c r="B3" s="347">
        <v>21556.786400000001</v>
      </c>
      <c r="C3" s="348">
        <v>0.63023373883</v>
      </c>
      <c r="D3" s="348">
        <v>0.63023373883</v>
      </c>
      <c r="E3" s="349"/>
      <c r="F3" s="349"/>
      <c r="G3" s="349"/>
      <c r="H3" s="349"/>
      <c r="I3" s="350"/>
      <c r="J3" s="351"/>
      <c r="K3" s="351"/>
      <c r="L3" s="351"/>
      <c r="M3" s="351"/>
      <c r="N3" s="351"/>
      <c r="O3" s="351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47"/>
      <c r="AW3" s="247"/>
    </row>
    <row r="4" spans="1:71" outlineLevel="1">
      <c r="A4" s="347">
        <v>-21556.786400000001</v>
      </c>
      <c r="B4" s="347">
        <v>-21556.786400000001</v>
      </c>
      <c r="C4" s="348">
        <v>0.63023373883</v>
      </c>
      <c r="D4" s="348">
        <v>0.63023373883</v>
      </c>
      <c r="E4" s="347"/>
      <c r="F4" s="347"/>
      <c r="G4" s="352"/>
      <c r="H4" s="347"/>
      <c r="I4" s="353"/>
      <c r="J4" s="353"/>
      <c r="K4" s="353"/>
      <c r="L4" s="353"/>
      <c r="M4" s="353"/>
      <c r="N4" s="353"/>
      <c r="O4" s="353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48"/>
      <c r="AY4" s="219"/>
      <c r="AZ4" s="219"/>
      <c r="BA4" s="25"/>
      <c r="BB4" s="25"/>
      <c r="BC4" s="25"/>
      <c r="BD4" s="25"/>
      <c r="BE4" s="25"/>
    </row>
    <row r="5" spans="1:71" outlineLevel="1">
      <c r="A5" s="347">
        <v>635936.20200000005</v>
      </c>
      <c r="B5" s="347">
        <v>635936.20200000005</v>
      </c>
      <c r="C5" s="348">
        <v>0.53950295786000002</v>
      </c>
      <c r="D5" s="348">
        <v>0.53950295786000002</v>
      </c>
      <c r="E5" s="347"/>
      <c r="F5" s="347"/>
      <c r="G5" s="352"/>
      <c r="H5" s="347"/>
      <c r="I5" s="353"/>
      <c r="J5" s="353"/>
      <c r="K5" s="353"/>
      <c r="L5" s="353"/>
      <c r="M5" s="353"/>
      <c r="N5" s="353"/>
      <c r="O5" s="353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48"/>
      <c r="AY5" s="219"/>
      <c r="AZ5" s="219"/>
      <c r="BA5" s="25"/>
      <c r="BB5" s="25"/>
      <c r="BC5" s="25"/>
      <c r="BD5" s="25"/>
      <c r="BE5" s="25"/>
    </row>
    <row r="6" spans="1:71" outlineLevel="1">
      <c r="A6" s="347">
        <v>0</v>
      </c>
      <c r="B6" s="347">
        <v>0</v>
      </c>
      <c r="C6" s="348">
        <v>0</v>
      </c>
      <c r="D6" s="348">
        <v>0</v>
      </c>
      <c r="E6" s="347"/>
      <c r="F6" s="347"/>
      <c r="G6" s="352"/>
      <c r="H6" s="347"/>
      <c r="I6" s="353"/>
      <c r="J6" s="353"/>
      <c r="K6" s="353"/>
      <c r="L6" s="353"/>
      <c r="M6" s="353"/>
      <c r="N6" s="353"/>
      <c r="O6" s="353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48"/>
      <c r="AY6" s="219"/>
      <c r="AZ6" s="219"/>
      <c r="BA6" s="25"/>
      <c r="BB6" s="25"/>
      <c r="BC6" s="25"/>
      <c r="BD6" s="25"/>
      <c r="BE6" s="25"/>
    </row>
    <row r="7" spans="1:71" outlineLevel="1">
      <c r="A7" s="347">
        <v>635936.20200000005</v>
      </c>
      <c r="B7" s="347">
        <v>635936.20200000005</v>
      </c>
      <c r="C7" s="348">
        <v>0.53950295786000002</v>
      </c>
      <c r="D7" s="348">
        <v>0.53950295786000002</v>
      </c>
      <c r="E7" s="347"/>
      <c r="F7" s="347"/>
      <c r="G7" s="352"/>
      <c r="H7" s="347"/>
      <c r="I7" s="353"/>
      <c r="J7" s="353"/>
      <c r="K7" s="353"/>
      <c r="L7" s="353"/>
      <c r="M7" s="353"/>
      <c r="N7" s="353"/>
      <c r="O7" s="353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48"/>
      <c r="AY7" s="219"/>
      <c r="AZ7" s="219"/>
      <c r="BA7" s="25"/>
      <c r="BB7" s="25"/>
      <c r="BC7" s="25"/>
      <c r="BD7" s="25"/>
      <c r="BE7" s="25"/>
    </row>
    <row r="8" spans="1:71" outlineLevel="1">
      <c r="A8" s="347">
        <v>8158.0619999999999</v>
      </c>
      <c r="B8" s="347">
        <v>8158.0619999999999</v>
      </c>
      <c r="C8" s="348">
        <v>0.53950295800000003</v>
      </c>
      <c r="D8" s="348">
        <v>0.53950295800000003</v>
      </c>
      <c r="E8" s="347"/>
      <c r="F8" s="347"/>
      <c r="G8" s="352"/>
      <c r="H8" s="347"/>
      <c r="I8" s="353"/>
      <c r="J8" s="353"/>
      <c r="K8" s="353"/>
      <c r="L8" s="353"/>
      <c r="M8" s="353"/>
      <c r="N8" s="353"/>
      <c r="O8" s="353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48"/>
      <c r="AY8" s="219"/>
      <c r="AZ8" s="219"/>
      <c r="BA8" s="25"/>
      <c r="BB8" s="25"/>
      <c r="BC8" s="25"/>
      <c r="BD8" s="25"/>
      <c r="BE8" s="25"/>
    </row>
    <row r="9" spans="1:71" outlineLevel="1">
      <c r="A9" s="347">
        <v>627778.14</v>
      </c>
      <c r="B9" s="347">
        <v>627778.14</v>
      </c>
      <c r="C9" s="348">
        <v>0.53950295786000002</v>
      </c>
      <c r="D9" s="348">
        <v>0.53950295786000002</v>
      </c>
      <c r="E9" s="347"/>
      <c r="F9" s="347"/>
      <c r="G9" s="352"/>
      <c r="H9" s="347"/>
      <c r="I9" s="353"/>
      <c r="J9" s="353"/>
      <c r="K9" s="353"/>
      <c r="L9" s="353"/>
      <c r="M9" s="353"/>
      <c r="N9" s="353"/>
      <c r="O9" s="353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48"/>
      <c r="AY9" s="219"/>
      <c r="AZ9" s="219"/>
      <c r="BA9" s="25"/>
      <c r="BB9" s="25"/>
      <c r="BC9" s="25"/>
      <c r="BD9" s="25"/>
      <c r="BE9" s="25"/>
    </row>
    <row r="10" spans="1:71" outlineLevel="1">
      <c r="A10" s="347">
        <v>0</v>
      </c>
      <c r="B10" s="347">
        <v>0</v>
      </c>
      <c r="C10" s="348">
        <v>0</v>
      </c>
      <c r="D10" s="348">
        <v>0</v>
      </c>
      <c r="E10" s="347"/>
      <c r="F10" s="347"/>
      <c r="G10" s="352"/>
      <c r="H10" s="347"/>
      <c r="I10" s="353"/>
      <c r="J10" s="353"/>
      <c r="K10" s="353"/>
      <c r="L10" s="353"/>
      <c r="M10" s="353"/>
      <c r="N10" s="353"/>
      <c r="O10" s="353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48"/>
      <c r="AY10" s="219"/>
      <c r="AZ10" s="219"/>
      <c r="BA10" s="25"/>
      <c r="BB10" s="25"/>
      <c r="BC10" s="25"/>
      <c r="BD10" s="25"/>
      <c r="BE10" s="25"/>
    </row>
    <row r="11" spans="1:71" outlineLevel="1">
      <c r="A11" s="347">
        <v>57468.221721000002</v>
      </c>
      <c r="B11" s="347">
        <v>57468.221721000002</v>
      </c>
      <c r="C11" s="348">
        <v>0.58591834491000006</v>
      </c>
      <c r="D11" s="348">
        <v>0.58591834491000006</v>
      </c>
      <c r="E11" s="347"/>
      <c r="F11" s="347"/>
      <c r="G11" s="352"/>
      <c r="H11" s="347"/>
      <c r="I11" s="353"/>
      <c r="J11" s="353"/>
      <c r="K11" s="353"/>
      <c r="L11" s="353"/>
      <c r="M11" s="353"/>
      <c r="N11" s="353"/>
      <c r="O11" s="353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48"/>
      <c r="AY11" s="219"/>
      <c r="AZ11" s="219"/>
      <c r="BA11" s="25"/>
      <c r="BB11" s="25"/>
      <c r="BC11" s="25"/>
      <c r="BD11" s="25"/>
      <c r="BE11" s="25"/>
    </row>
    <row r="12" spans="1:71" outlineLevel="1">
      <c r="A12" s="347">
        <v>52451.256800000003</v>
      </c>
      <c r="B12" s="347">
        <v>52451.256800000003</v>
      </c>
      <c r="C12" s="348">
        <v>0.61664549999999996</v>
      </c>
      <c r="D12" s="348">
        <v>0.61664549999999996</v>
      </c>
      <c r="E12" s="347"/>
      <c r="F12" s="347"/>
      <c r="G12" s="352"/>
      <c r="H12" s="347"/>
      <c r="I12" s="353"/>
      <c r="J12" s="353"/>
      <c r="K12" s="353"/>
      <c r="L12" s="353"/>
      <c r="M12" s="353"/>
      <c r="N12" s="353"/>
      <c r="O12" s="353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347">
        <v>519665.78352</v>
      </c>
      <c r="B13" s="347">
        <v>519665.78352</v>
      </c>
      <c r="C13" s="348">
        <v>0.60820495416999998</v>
      </c>
      <c r="D13" s="348">
        <v>0.60820495416999998</v>
      </c>
      <c r="E13" s="347"/>
      <c r="F13" s="347"/>
      <c r="G13" s="352"/>
      <c r="H13" s="347"/>
      <c r="I13" s="353"/>
      <c r="J13" s="353"/>
      <c r="K13" s="353"/>
      <c r="L13" s="353"/>
      <c r="M13" s="353"/>
      <c r="N13" s="353"/>
      <c r="O13" s="353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347">
        <v>108112.35648</v>
      </c>
      <c r="B14" s="347">
        <v>108112.35648</v>
      </c>
      <c r="C14" s="348">
        <v>0.20927172525000001</v>
      </c>
      <c r="D14" s="348">
        <v>0.20927172525000001</v>
      </c>
      <c r="E14" s="347"/>
      <c r="F14" s="347"/>
      <c r="G14" s="352"/>
      <c r="H14" s="347"/>
      <c r="I14" s="353"/>
      <c r="J14" s="353"/>
      <c r="K14" s="353"/>
      <c r="L14" s="353"/>
      <c r="M14" s="353"/>
      <c r="N14" s="353"/>
      <c r="O14" s="353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347">
        <v>19394.5455</v>
      </c>
      <c r="B15" s="347">
        <v>19394.5455</v>
      </c>
      <c r="C15" s="348">
        <v>0.19782955895000001</v>
      </c>
      <c r="D15" s="348">
        <v>0.19782955895000001</v>
      </c>
      <c r="E15" s="347"/>
      <c r="F15" s="347"/>
      <c r="G15" s="352"/>
      <c r="H15" s="347"/>
      <c r="I15" s="353"/>
      <c r="J15" s="353"/>
      <c r="K15" s="353"/>
      <c r="L15" s="353"/>
      <c r="M15" s="353"/>
      <c r="N15" s="353"/>
      <c r="O15" s="353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347">
        <v>88717.810979000002</v>
      </c>
      <c r="B16" s="347">
        <v>88717.810979000002</v>
      </c>
      <c r="C16" s="348">
        <v>0.21177309011000001</v>
      </c>
      <c r="D16" s="348">
        <v>0.21177309011000001</v>
      </c>
      <c r="E16" s="347"/>
      <c r="F16" s="347"/>
      <c r="G16" s="352"/>
      <c r="H16" s="347"/>
      <c r="I16" s="353"/>
      <c r="J16" s="353"/>
      <c r="K16" s="353"/>
      <c r="L16" s="353"/>
      <c r="M16" s="353"/>
      <c r="N16" s="353"/>
      <c r="O16" s="353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347">
        <v>-45958.833721000003</v>
      </c>
      <c r="B17" s="347">
        <v>-45958.833721000003</v>
      </c>
      <c r="C17" s="348">
        <v>0.177288</v>
      </c>
      <c r="D17" s="348">
        <v>0.177288</v>
      </c>
      <c r="E17" s="347"/>
      <c r="F17" s="347"/>
      <c r="G17" s="352"/>
      <c r="H17" s="347"/>
      <c r="I17" s="353"/>
      <c r="J17" s="353"/>
      <c r="K17" s="353"/>
      <c r="L17" s="353"/>
      <c r="M17" s="353"/>
      <c r="N17" s="353"/>
      <c r="O17" s="353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347">
        <v>65353.379221000003</v>
      </c>
      <c r="B18" s="347">
        <v>65353.379221000003</v>
      </c>
      <c r="C18" s="348">
        <v>0.18338399999999999</v>
      </c>
      <c r="D18" s="348">
        <v>0.18338399999999999</v>
      </c>
      <c r="E18" s="347"/>
      <c r="F18" s="347"/>
      <c r="G18" s="352"/>
      <c r="H18" s="347"/>
      <c r="I18" s="353"/>
      <c r="J18" s="353"/>
      <c r="K18" s="353"/>
      <c r="L18" s="353"/>
      <c r="M18" s="353"/>
      <c r="N18" s="353"/>
      <c r="O18" s="353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347">
        <v>154071.19020000001</v>
      </c>
      <c r="B19" s="347">
        <v>154071.19020000001</v>
      </c>
      <c r="C19" s="348">
        <v>0.19973110504</v>
      </c>
      <c r="D19" s="348">
        <v>0.19973110504</v>
      </c>
      <c r="E19" s="347"/>
      <c r="F19" s="347"/>
      <c r="G19" s="352"/>
      <c r="H19" s="347"/>
      <c r="I19" s="353"/>
      <c r="J19" s="353"/>
      <c r="K19" s="353"/>
      <c r="L19" s="353"/>
      <c r="M19" s="353"/>
      <c r="N19" s="353"/>
      <c r="O19" s="353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20"/>
      <c r="AH19" s="220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347">
        <v>129854.1048</v>
      </c>
      <c r="B20" s="347">
        <v>129854.1048</v>
      </c>
      <c r="C20" s="348">
        <v>0.14616000000000001</v>
      </c>
      <c r="D20" s="348">
        <v>0.14616000000000001</v>
      </c>
      <c r="E20" s="347"/>
      <c r="F20" s="347"/>
      <c r="G20" s="352"/>
      <c r="H20" s="347"/>
      <c r="I20" s="353"/>
      <c r="J20" s="353"/>
      <c r="K20" s="353"/>
      <c r="L20" s="353"/>
      <c r="M20" s="353"/>
      <c r="N20" s="353"/>
      <c r="O20" s="353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20"/>
      <c r="AH20" s="220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347">
        <v>24217.0854</v>
      </c>
      <c r="B21" s="347">
        <v>24217.0854</v>
      </c>
      <c r="C21" s="348">
        <v>0.48698399999999997</v>
      </c>
      <c r="D21" s="348">
        <v>0.48698399999999997</v>
      </c>
      <c r="E21" s="347"/>
      <c r="F21" s="347"/>
      <c r="G21" s="352"/>
      <c r="H21" s="347"/>
      <c r="I21" s="353"/>
      <c r="J21" s="353"/>
      <c r="K21" s="353"/>
      <c r="L21" s="353"/>
      <c r="M21" s="353"/>
      <c r="N21" s="353"/>
      <c r="O21" s="353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20"/>
      <c r="AH21" s="220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347">
        <v>-1218.6096</v>
      </c>
      <c r="B22" s="347">
        <v>-1218.6096</v>
      </c>
      <c r="C22" s="348">
        <v>0.49230655541000001</v>
      </c>
      <c r="D22" s="348">
        <v>0.49230655541000001</v>
      </c>
      <c r="E22" s="347"/>
      <c r="F22" s="347"/>
      <c r="G22" s="352"/>
      <c r="H22" s="347"/>
      <c r="I22" s="353"/>
      <c r="J22" s="353"/>
      <c r="K22" s="353"/>
      <c r="L22" s="353"/>
      <c r="M22" s="353"/>
      <c r="N22" s="353"/>
      <c r="O22" s="353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20"/>
      <c r="AH22" s="220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347">
        <v>25435.695</v>
      </c>
      <c r="B23" s="347">
        <v>25435.695</v>
      </c>
      <c r="C23" s="348">
        <v>0.48723900059000003</v>
      </c>
      <c r="D23" s="348">
        <v>0.48723900059000003</v>
      </c>
      <c r="E23" s="347"/>
      <c r="F23" s="347"/>
      <c r="G23" s="352"/>
      <c r="H23" s="347"/>
      <c r="I23" s="353"/>
      <c r="J23" s="353"/>
      <c r="K23" s="353"/>
      <c r="L23" s="353"/>
      <c r="M23" s="353"/>
      <c r="N23" s="353"/>
      <c r="O23" s="353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20"/>
      <c r="AH23" s="220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347">
        <v>409746.30499999999</v>
      </c>
      <c r="B24" s="347">
        <v>409746.30499999999</v>
      </c>
      <c r="C24" s="348">
        <v>0.61025025525999999</v>
      </c>
      <c r="D24" s="348">
        <v>0.61025025525999999</v>
      </c>
      <c r="E24" s="347"/>
      <c r="F24" s="347"/>
      <c r="G24" s="352"/>
      <c r="H24" s="347"/>
      <c r="I24" s="353"/>
      <c r="J24" s="353"/>
      <c r="K24" s="353"/>
      <c r="L24" s="353"/>
      <c r="M24" s="353"/>
      <c r="N24" s="353"/>
      <c r="O24" s="353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20"/>
      <c r="AH24" s="220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353">
        <v>0</v>
      </c>
      <c r="B25" s="353">
        <v>0</v>
      </c>
      <c r="C25" s="354">
        <v>0</v>
      </c>
      <c r="D25" s="354">
        <v>0</v>
      </c>
      <c r="E25" s="347"/>
      <c r="F25" s="347"/>
      <c r="G25" s="355"/>
      <c r="H25" s="353"/>
      <c r="I25" s="353"/>
      <c r="J25" s="353"/>
      <c r="K25" s="353"/>
      <c r="L25" s="353"/>
      <c r="M25" s="353"/>
      <c r="N25" s="353"/>
      <c r="O25" s="353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20"/>
      <c r="AH25" s="220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353">
        <v>0</v>
      </c>
      <c r="B26" s="353">
        <v>0</v>
      </c>
      <c r="C26" s="354">
        <v>0</v>
      </c>
      <c r="D26" s="354">
        <v>0</v>
      </c>
      <c r="E26" s="347"/>
      <c r="F26" s="347"/>
      <c r="G26" s="355"/>
      <c r="H26" s="353"/>
      <c r="I26" s="353"/>
      <c r="J26" s="353"/>
      <c r="K26" s="353"/>
      <c r="L26" s="353"/>
      <c r="M26" s="353"/>
      <c r="N26" s="353"/>
      <c r="O26" s="353"/>
      <c r="P26" s="219"/>
      <c r="Q26" s="219"/>
      <c r="R26" s="219"/>
      <c r="S26" s="219"/>
      <c r="T26" s="219"/>
      <c r="U26" s="219"/>
      <c r="V26" s="219"/>
      <c r="W26" s="219"/>
      <c r="X26" s="221"/>
      <c r="Y26" s="219"/>
      <c r="Z26" s="219"/>
      <c r="AA26" s="219"/>
      <c r="AB26" s="219"/>
      <c r="AC26" s="219"/>
      <c r="AD26" s="219"/>
      <c r="AE26" s="219"/>
      <c r="AF26" s="219"/>
      <c r="AG26" s="220"/>
      <c r="AH26" s="220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30"/>
      <c r="AY26" s="30"/>
      <c r="AZ26" s="30"/>
    </row>
    <row r="27" spans="1:71" outlineLevel="1">
      <c r="A27" s="353">
        <v>0</v>
      </c>
      <c r="B27" s="353">
        <v>0</v>
      </c>
      <c r="C27" s="354">
        <v>0</v>
      </c>
      <c r="D27" s="354">
        <v>0</v>
      </c>
      <c r="E27" s="347"/>
      <c r="F27" s="347"/>
      <c r="G27" s="355"/>
      <c r="H27" s="353"/>
      <c r="I27" s="356"/>
      <c r="J27" s="353"/>
      <c r="K27" s="353"/>
      <c r="L27" s="353"/>
      <c r="M27" s="353"/>
      <c r="N27" s="353"/>
      <c r="O27" s="353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20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30"/>
      <c r="AY27" s="30"/>
      <c r="AZ27" s="30"/>
    </row>
    <row r="28" spans="1:71" outlineLevel="1">
      <c r="A28" s="353">
        <v>0</v>
      </c>
      <c r="B28" s="353">
        <v>0</v>
      </c>
      <c r="C28" s="354">
        <v>0</v>
      </c>
      <c r="D28" s="354">
        <v>0</v>
      </c>
      <c r="E28" s="347"/>
      <c r="F28" s="347"/>
      <c r="G28" s="355"/>
      <c r="H28" s="353"/>
      <c r="I28" s="353"/>
      <c r="J28" s="353"/>
      <c r="K28" s="353"/>
      <c r="L28" s="353"/>
      <c r="M28" s="353"/>
      <c r="N28" s="353"/>
      <c r="O28" s="353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20"/>
      <c r="AH28" s="220"/>
      <c r="AI28" s="220"/>
      <c r="AJ28" s="220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30"/>
      <c r="AY28" s="30"/>
      <c r="AZ28" s="30"/>
    </row>
    <row r="29" spans="1:71" outlineLevel="1">
      <c r="A29" s="353">
        <v>0</v>
      </c>
      <c r="B29" s="353">
        <v>0</v>
      </c>
      <c r="C29" s="354">
        <v>0</v>
      </c>
      <c r="D29" s="354">
        <v>0</v>
      </c>
      <c r="E29" s="347"/>
      <c r="F29" s="347"/>
      <c r="G29" s="355"/>
      <c r="H29" s="353"/>
      <c r="I29" s="353"/>
      <c r="J29" s="353"/>
      <c r="K29" s="353"/>
      <c r="L29" s="353"/>
      <c r="M29" s="353"/>
      <c r="N29" s="353"/>
      <c r="O29" s="353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20"/>
      <c r="AH29" s="220"/>
      <c r="AI29" s="220"/>
      <c r="AJ29" s="220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30"/>
      <c r="AY29" s="30"/>
      <c r="AZ29" s="30"/>
    </row>
    <row r="30" spans="1:71" outlineLevel="1">
      <c r="A30" s="353">
        <v>0</v>
      </c>
      <c r="B30" s="353">
        <v>0</v>
      </c>
      <c r="C30" s="354">
        <v>0</v>
      </c>
      <c r="D30" s="354">
        <v>0</v>
      </c>
      <c r="E30" s="347"/>
      <c r="F30" s="347"/>
      <c r="G30" s="355"/>
      <c r="H30" s="353"/>
      <c r="I30" s="353"/>
      <c r="J30" s="353"/>
      <c r="K30" s="353"/>
      <c r="L30" s="353"/>
      <c r="M30" s="353"/>
      <c r="N30" s="353"/>
      <c r="O30" s="353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20"/>
      <c r="AH30" s="220"/>
      <c r="AI30" s="220"/>
      <c r="AJ30" s="220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30"/>
      <c r="AY30" s="30"/>
      <c r="AZ30" s="30"/>
    </row>
    <row r="31" spans="1:71" outlineLevel="1">
      <c r="A31" s="353">
        <v>0</v>
      </c>
      <c r="B31" s="353">
        <v>0</v>
      </c>
      <c r="C31" s="354">
        <v>0</v>
      </c>
      <c r="D31" s="354">
        <v>0</v>
      </c>
      <c r="E31" s="347"/>
      <c r="F31" s="347"/>
      <c r="G31" s="355"/>
      <c r="H31" s="353"/>
      <c r="I31" s="353"/>
      <c r="J31" s="353"/>
      <c r="K31" s="353"/>
      <c r="L31" s="353"/>
      <c r="M31" s="353"/>
      <c r="N31" s="353"/>
      <c r="O31" s="353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20"/>
      <c r="AH31" s="220"/>
      <c r="AI31" s="220"/>
      <c r="AJ31" s="220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30"/>
      <c r="AY31" s="30"/>
      <c r="AZ31" s="30"/>
    </row>
    <row r="32" spans="1:71" outlineLevel="1">
      <c r="A32" s="353"/>
      <c r="B32" s="354"/>
      <c r="C32" s="354"/>
      <c r="D32" s="347"/>
      <c r="E32" s="347"/>
      <c r="F32" s="347"/>
      <c r="G32" s="355"/>
      <c r="H32" s="353"/>
      <c r="I32" s="353"/>
      <c r="J32" s="353"/>
      <c r="K32" s="353"/>
      <c r="L32" s="353"/>
      <c r="M32" s="353"/>
      <c r="N32" s="353"/>
      <c r="O32" s="353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20"/>
      <c r="AH32" s="220"/>
      <c r="AI32" s="220"/>
      <c r="AJ32" s="220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30"/>
      <c r="AY32" s="30"/>
      <c r="AZ32" s="30"/>
    </row>
    <row r="33" spans="1:52" outlineLevel="1">
      <c r="A33" s="353"/>
      <c r="B33" s="354"/>
      <c r="C33" s="354"/>
      <c r="D33" s="347"/>
      <c r="E33" s="347"/>
      <c r="F33" s="347"/>
      <c r="G33" s="355"/>
      <c r="H33" s="353"/>
      <c r="I33" s="353"/>
      <c r="J33" s="353"/>
      <c r="K33" s="353"/>
      <c r="L33" s="353"/>
      <c r="M33" s="353"/>
      <c r="N33" s="353"/>
      <c r="O33" s="353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20"/>
      <c r="AH33" s="220"/>
      <c r="AI33" s="220"/>
      <c r="AJ33" s="220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30"/>
      <c r="AY33" s="30"/>
      <c r="AZ33" s="30"/>
    </row>
    <row r="34" spans="1:52" outlineLevel="1">
      <c r="A34" s="353"/>
      <c r="B34" s="354"/>
      <c r="C34" s="354"/>
      <c r="D34" s="347"/>
      <c r="E34" s="347"/>
      <c r="F34" s="347"/>
      <c r="G34" s="355"/>
      <c r="H34" s="353"/>
      <c r="I34" s="353"/>
      <c r="J34" s="353"/>
      <c r="K34" s="353"/>
      <c r="L34" s="353"/>
      <c r="M34" s="353"/>
      <c r="N34" s="353"/>
      <c r="O34" s="353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20"/>
      <c r="AH34" s="220"/>
      <c r="AI34" s="220"/>
      <c r="AJ34" s="220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30"/>
      <c r="AY34" s="30"/>
      <c r="AZ34" s="30"/>
    </row>
    <row r="35" spans="1:52" outlineLevel="1">
      <c r="A35" s="353"/>
      <c r="B35" s="354"/>
      <c r="C35" s="354"/>
      <c r="D35" s="347"/>
      <c r="E35" s="347"/>
      <c r="F35" s="347"/>
      <c r="G35" s="355"/>
      <c r="H35" s="353"/>
      <c r="I35" s="353"/>
      <c r="J35" s="353"/>
      <c r="K35" s="353"/>
      <c r="L35" s="353"/>
      <c r="M35" s="353"/>
      <c r="N35" s="353"/>
      <c r="O35" s="353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20"/>
      <c r="AI35" s="220"/>
      <c r="AJ35" s="220"/>
      <c r="AK35" s="219"/>
      <c r="AL35" s="219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outlineLevel="1">
      <c r="A36" s="353"/>
      <c r="B36" s="354"/>
      <c r="C36" s="354"/>
      <c r="D36" s="347"/>
      <c r="E36" s="347"/>
      <c r="F36" s="347"/>
      <c r="G36" s="355"/>
      <c r="H36" s="353"/>
      <c r="I36" s="353"/>
      <c r="J36" s="353"/>
      <c r="K36" s="353"/>
      <c r="L36" s="353"/>
      <c r="M36" s="357"/>
      <c r="N36" s="353"/>
      <c r="O36" s="353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20"/>
      <c r="AH36" s="220"/>
      <c r="AI36" s="220"/>
      <c r="AJ36" s="220"/>
      <c r="AK36" s="219"/>
      <c r="AL36" s="219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>
      <c r="A37" s="353"/>
      <c r="B37" s="354"/>
      <c r="C37" s="354"/>
      <c r="D37" s="347"/>
      <c r="E37" s="347"/>
      <c r="F37" s="347"/>
      <c r="G37" s="353"/>
      <c r="H37" s="353"/>
      <c r="I37" s="357"/>
      <c r="J37" s="353"/>
      <c r="K37" s="353"/>
      <c r="L37" s="353"/>
      <c r="M37" s="353"/>
      <c r="N37" s="353"/>
      <c r="O37" s="353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20"/>
      <c r="AH37" s="220"/>
      <c r="AI37" s="220"/>
      <c r="AJ37" s="220"/>
      <c r="AK37" s="219"/>
      <c r="AL37" s="219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32" customHeight="1">
      <c r="A38" s="353"/>
      <c r="B38" s="354"/>
      <c r="C38" s="354"/>
      <c r="D38" s="347"/>
      <c r="E38" s="347"/>
      <c r="F38" s="347"/>
      <c r="G38" s="353"/>
      <c r="H38" s="353"/>
      <c r="I38" s="353"/>
      <c r="J38" s="358"/>
      <c r="K38" s="358"/>
      <c r="L38" s="353"/>
      <c r="M38" s="359" t="s">
        <v>63</v>
      </c>
      <c r="N38" s="359"/>
      <c r="O38" s="359"/>
      <c r="P38" s="219"/>
      <c r="Q38" s="219"/>
      <c r="R38" s="317"/>
      <c r="S38" s="317"/>
      <c r="T38" s="219"/>
      <c r="U38" s="219"/>
      <c r="V38" s="223"/>
      <c r="W38" s="219"/>
      <c r="X38" s="219"/>
      <c r="Y38" s="219"/>
      <c r="Z38" s="219"/>
      <c r="AA38" s="219"/>
      <c r="AB38" s="219"/>
      <c r="AC38" s="219"/>
      <c r="AD38" s="219"/>
      <c r="AE38" s="224"/>
      <c r="AF38" s="219"/>
      <c r="AG38" s="220"/>
      <c r="AH38" s="220"/>
      <c r="AI38" s="220"/>
      <c r="AJ38" s="220"/>
      <c r="AK38" s="219"/>
      <c r="AL38" s="219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>
      <c r="A39" s="353"/>
      <c r="B39" s="354"/>
      <c r="C39" s="354"/>
      <c r="D39" s="347"/>
      <c r="E39" s="347"/>
      <c r="F39" s="347"/>
      <c r="G39" s="353"/>
      <c r="H39" s="353"/>
      <c r="I39" s="353"/>
      <c r="J39" s="360"/>
      <c r="K39" s="360"/>
      <c r="L39" s="353"/>
      <c r="M39" s="360" t="s">
        <v>60</v>
      </c>
      <c r="N39" s="360" t="s">
        <v>3</v>
      </c>
      <c r="O39" s="360" t="s">
        <v>64</v>
      </c>
      <c r="P39" s="219"/>
      <c r="Q39" s="219"/>
      <c r="R39" s="225"/>
      <c r="S39" s="225"/>
      <c r="T39" s="226"/>
      <c r="U39" s="219"/>
      <c r="V39" s="226"/>
      <c r="W39" s="219"/>
      <c r="X39" s="219"/>
      <c r="Y39" s="219"/>
      <c r="Z39" s="219"/>
      <c r="AA39" s="219"/>
      <c r="AB39" s="227"/>
      <c r="AC39" s="227"/>
      <c r="AD39" s="219"/>
      <c r="AE39" s="219"/>
      <c r="AF39" s="219"/>
      <c r="AG39" s="220"/>
      <c r="AH39" s="220"/>
      <c r="AI39" s="220"/>
      <c r="AJ39" s="220"/>
      <c r="AK39" s="219"/>
      <c r="AL39" s="219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>
      <c r="A40" s="353"/>
      <c r="B40" s="354"/>
      <c r="C40" s="354"/>
      <c r="D40" s="347"/>
      <c r="E40" s="347"/>
      <c r="F40" s="347"/>
      <c r="G40" s="355"/>
      <c r="H40" s="353"/>
      <c r="I40" s="353"/>
      <c r="J40" s="357"/>
      <c r="K40" s="354"/>
      <c r="L40" s="353"/>
      <c r="M40" s="353">
        <f>B1</f>
        <v>635936.20200000005</v>
      </c>
      <c r="N40" s="354">
        <f>IF(D1&gt;1,D1/100,D1)</f>
        <v>0.53950295786000002</v>
      </c>
      <c r="O40" s="361">
        <f>M40*N40</f>
        <v>343089.46198925452</v>
      </c>
      <c r="P40" s="219"/>
      <c r="Q40" s="219"/>
      <c r="R40" s="228"/>
      <c r="S40" s="228"/>
      <c r="T40" s="228"/>
      <c r="U40" s="226"/>
      <c r="V40" s="228"/>
      <c r="W40" s="226"/>
      <c r="X40" s="219"/>
      <c r="Y40" s="219"/>
      <c r="Z40" s="219"/>
      <c r="AA40" s="219"/>
      <c r="AB40" s="227"/>
      <c r="AC40" s="227"/>
      <c r="AD40" s="219"/>
      <c r="AE40" s="219"/>
      <c r="AF40" s="219"/>
      <c r="AG40" s="220"/>
      <c r="AH40" s="220"/>
      <c r="AI40" s="220"/>
      <c r="AJ40" s="220"/>
      <c r="AK40" s="219"/>
      <c r="AL40" s="219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>
      <c r="A41" s="353"/>
      <c r="B41" s="354"/>
      <c r="C41" s="354"/>
      <c r="D41" s="347"/>
      <c r="E41" s="347"/>
      <c r="F41" s="347"/>
      <c r="G41" s="355"/>
      <c r="H41" s="353"/>
      <c r="I41" s="353"/>
      <c r="J41" s="357"/>
      <c r="K41" s="354"/>
      <c r="L41" s="353"/>
      <c r="M41" s="353">
        <f t="shared" ref="M41:M70" si="0">B2</f>
        <v>0</v>
      </c>
      <c r="N41" s="354">
        <f t="shared" ref="N41:N70" si="1">IF(D2&gt;1,D2/100,D2)</f>
        <v>0</v>
      </c>
      <c r="O41" s="361">
        <f t="shared" ref="O41:O70" si="2">M41*N41</f>
        <v>0</v>
      </c>
      <c r="P41" s="219"/>
      <c r="Q41" s="219"/>
      <c r="R41" s="229"/>
      <c r="S41" s="229"/>
      <c r="T41" s="228"/>
      <c r="U41" s="226"/>
      <c r="V41" s="228"/>
      <c r="W41" s="226"/>
      <c r="X41" s="219"/>
      <c r="Y41" s="219"/>
      <c r="Z41" s="219"/>
      <c r="AA41" s="219"/>
      <c r="AB41" s="227"/>
      <c r="AC41" s="227"/>
      <c r="AD41" s="219"/>
      <c r="AE41" s="219"/>
      <c r="AF41" s="219"/>
      <c r="AG41" s="220"/>
      <c r="AH41" s="220"/>
      <c r="AI41" s="220"/>
      <c r="AJ41" s="220"/>
      <c r="AK41" s="219"/>
      <c r="AL41" s="219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>
      <c r="A42" s="353"/>
      <c r="B42" s="354"/>
      <c r="C42" s="354"/>
      <c r="D42" s="347"/>
      <c r="E42" s="347"/>
      <c r="F42" s="347"/>
      <c r="G42" s="355"/>
      <c r="H42" s="353"/>
      <c r="I42" s="356"/>
      <c r="J42" s="357"/>
      <c r="K42" s="354"/>
      <c r="L42" s="353"/>
      <c r="M42" s="353">
        <f t="shared" si="0"/>
        <v>21556.786400000001</v>
      </c>
      <c r="N42" s="354">
        <f t="shared" si="1"/>
        <v>0.63023373883</v>
      </c>
      <c r="O42" s="361">
        <f t="shared" si="2"/>
        <v>13585.814090031696</v>
      </c>
      <c r="P42" s="219"/>
      <c r="Q42" s="219"/>
      <c r="R42" s="229"/>
      <c r="S42" s="229"/>
      <c r="T42" s="228"/>
      <c r="U42" s="226"/>
      <c r="V42" s="228"/>
      <c r="W42" s="226"/>
      <c r="X42" s="219"/>
      <c r="Y42" s="219"/>
      <c r="Z42" s="219"/>
      <c r="AA42" s="219"/>
      <c r="AB42" s="227"/>
      <c r="AC42" s="227"/>
      <c r="AD42" s="219"/>
      <c r="AE42" s="219"/>
      <c r="AF42" s="219"/>
      <c r="AG42" s="220"/>
      <c r="AH42" s="220"/>
      <c r="AI42" s="220"/>
      <c r="AJ42" s="220"/>
      <c r="AK42" s="219"/>
      <c r="AL42" s="219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>
      <c r="A43" s="353"/>
      <c r="B43" s="354"/>
      <c r="C43" s="354"/>
      <c r="D43" s="347"/>
      <c r="E43" s="347"/>
      <c r="F43" s="347"/>
      <c r="G43" s="353"/>
      <c r="H43" s="353"/>
      <c r="I43" s="353"/>
      <c r="J43" s="357"/>
      <c r="K43" s="354"/>
      <c r="L43" s="353"/>
      <c r="M43" s="353">
        <f t="shared" si="0"/>
        <v>-21556.786400000001</v>
      </c>
      <c r="N43" s="354">
        <f t="shared" si="1"/>
        <v>0.63023373883</v>
      </c>
      <c r="O43" s="361">
        <f t="shared" si="2"/>
        <v>-13585.814090031696</v>
      </c>
      <c r="P43" s="219"/>
      <c r="Q43" s="221"/>
      <c r="R43" s="229"/>
      <c r="S43" s="229"/>
      <c r="T43" s="228"/>
      <c r="U43" s="226"/>
      <c r="V43" s="228"/>
      <c r="W43" s="226"/>
      <c r="X43" s="219"/>
      <c r="Y43" s="219"/>
      <c r="Z43" s="219"/>
      <c r="AA43" s="219"/>
      <c r="AB43" s="227"/>
      <c r="AC43" s="227"/>
      <c r="AD43" s="219"/>
      <c r="AE43" s="219"/>
      <c r="AF43" s="219"/>
      <c r="AG43" s="220"/>
      <c r="AH43" s="220"/>
      <c r="AI43" s="220"/>
      <c r="AJ43" s="220"/>
      <c r="AK43" s="219"/>
      <c r="AL43" s="219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>
      <c r="A44" s="353"/>
      <c r="B44" s="354"/>
      <c r="C44" s="354"/>
      <c r="D44" s="347"/>
      <c r="E44" s="347"/>
      <c r="F44" s="347"/>
      <c r="G44" s="355"/>
      <c r="H44" s="353"/>
      <c r="I44" s="353"/>
      <c r="J44" s="357"/>
      <c r="K44" s="354"/>
      <c r="L44" s="353"/>
      <c r="M44" s="353">
        <f t="shared" si="0"/>
        <v>635936.20200000005</v>
      </c>
      <c r="N44" s="354">
        <f t="shared" si="1"/>
        <v>0.53950295786000002</v>
      </c>
      <c r="O44" s="361">
        <f t="shared" si="2"/>
        <v>343089.46198925452</v>
      </c>
      <c r="P44" s="219"/>
      <c r="Q44" s="219"/>
      <c r="R44" s="229"/>
      <c r="S44" s="229"/>
      <c r="T44" s="228"/>
      <c r="U44" s="226"/>
      <c r="V44" s="228"/>
      <c r="W44" s="226"/>
      <c r="X44" s="219"/>
      <c r="Y44" s="219"/>
      <c r="Z44" s="219"/>
      <c r="AA44" s="219"/>
      <c r="AB44" s="227"/>
      <c r="AC44" s="227"/>
      <c r="AD44" s="219"/>
      <c r="AE44" s="219"/>
      <c r="AF44" s="219"/>
      <c r="AG44" s="220"/>
      <c r="AH44" s="220"/>
      <c r="AI44" s="220"/>
      <c r="AJ44" s="220"/>
      <c r="AK44" s="219"/>
      <c r="AL44" s="219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>
      <c r="A45" s="353"/>
      <c r="B45" s="354"/>
      <c r="C45" s="354"/>
      <c r="D45" s="347"/>
      <c r="E45" s="347"/>
      <c r="F45" s="347"/>
      <c r="G45" s="355"/>
      <c r="H45" s="353"/>
      <c r="I45" s="353"/>
      <c r="J45" s="357"/>
      <c r="K45" s="354"/>
      <c r="L45" s="353"/>
      <c r="M45" s="353">
        <f t="shared" si="0"/>
        <v>0</v>
      </c>
      <c r="N45" s="354">
        <f t="shared" si="1"/>
        <v>0</v>
      </c>
      <c r="O45" s="361">
        <f t="shared" si="2"/>
        <v>0</v>
      </c>
      <c r="P45" s="219"/>
      <c r="Q45" s="219"/>
      <c r="R45" s="229"/>
      <c r="S45" s="229"/>
      <c r="T45" s="228"/>
      <c r="U45" s="226"/>
      <c r="V45" s="228"/>
      <c r="W45" s="226"/>
      <c r="X45" s="219"/>
      <c r="Y45" s="219"/>
      <c r="Z45" s="219"/>
      <c r="AA45" s="219"/>
      <c r="AB45" s="227"/>
      <c r="AC45" s="227"/>
      <c r="AD45" s="219"/>
      <c r="AE45" s="219"/>
      <c r="AF45" s="219"/>
      <c r="AG45" s="220"/>
      <c r="AH45" s="220"/>
      <c r="AI45" s="220"/>
      <c r="AJ45" s="220"/>
      <c r="AK45" s="219"/>
      <c r="AL45" s="219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>
      <c r="A46" s="353"/>
      <c r="B46" s="354"/>
      <c r="C46" s="354"/>
      <c r="D46" s="347"/>
      <c r="E46" s="347"/>
      <c r="F46" s="347"/>
      <c r="G46" s="355"/>
      <c r="H46" s="353"/>
      <c r="I46" s="353"/>
      <c r="J46" s="357"/>
      <c r="K46" s="354"/>
      <c r="L46" s="353"/>
      <c r="M46" s="353">
        <f t="shared" si="0"/>
        <v>635936.20200000005</v>
      </c>
      <c r="N46" s="354">
        <f t="shared" si="1"/>
        <v>0.53950295786000002</v>
      </c>
      <c r="O46" s="361">
        <f t="shared" si="2"/>
        <v>343089.46198925452</v>
      </c>
      <c r="P46" s="219"/>
      <c r="Q46" s="219"/>
      <c r="R46" s="229"/>
      <c r="S46" s="229"/>
      <c r="T46" s="228"/>
      <c r="U46" s="226"/>
      <c r="V46" s="228"/>
      <c r="W46" s="226"/>
      <c r="X46" s="219"/>
      <c r="Y46" s="219"/>
      <c r="Z46" s="219"/>
      <c r="AA46" s="219"/>
      <c r="AB46" s="227"/>
      <c r="AC46" s="227"/>
      <c r="AD46" s="219"/>
      <c r="AE46" s="219"/>
      <c r="AF46" s="219"/>
      <c r="AG46" s="220"/>
      <c r="AH46" s="220"/>
      <c r="AI46" s="220"/>
      <c r="AJ46" s="220"/>
      <c r="AK46" s="219"/>
      <c r="AL46" s="219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>
      <c r="A47" s="357"/>
      <c r="B47" s="362"/>
      <c r="C47" s="354"/>
      <c r="D47" s="347"/>
      <c r="E47" s="347"/>
      <c r="F47" s="347"/>
      <c r="G47" s="353"/>
      <c r="H47" s="353"/>
      <c r="I47" s="353"/>
      <c r="J47" s="357"/>
      <c r="K47" s="354"/>
      <c r="L47" s="353"/>
      <c r="M47" s="353">
        <f t="shared" si="0"/>
        <v>8158.0619999999999</v>
      </c>
      <c r="N47" s="354">
        <f t="shared" si="1"/>
        <v>0.53950295800000003</v>
      </c>
      <c r="O47" s="361">
        <f t="shared" si="2"/>
        <v>4401.2985805473963</v>
      </c>
      <c r="P47" s="219"/>
      <c r="Q47" s="221"/>
      <c r="R47" s="229"/>
      <c r="S47" s="229"/>
      <c r="T47" s="228"/>
      <c r="U47" s="226"/>
      <c r="V47" s="228"/>
      <c r="W47" s="226"/>
      <c r="X47" s="219"/>
      <c r="Y47" s="219"/>
      <c r="Z47" s="219"/>
      <c r="AA47" s="219"/>
      <c r="AB47" s="227"/>
      <c r="AC47" s="227"/>
      <c r="AD47" s="219"/>
      <c r="AE47" s="219"/>
      <c r="AF47" s="219"/>
      <c r="AG47" s="220"/>
      <c r="AH47" s="220"/>
      <c r="AI47" s="220"/>
      <c r="AJ47" s="220"/>
      <c r="AK47" s="219"/>
      <c r="AL47" s="219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>
      <c r="A48" s="353"/>
      <c r="B48" s="354"/>
      <c r="C48" s="354"/>
      <c r="D48" s="347"/>
      <c r="E48" s="347"/>
      <c r="F48" s="347"/>
      <c r="G48" s="355"/>
      <c r="H48" s="353"/>
      <c r="I48" s="353"/>
      <c r="J48" s="357"/>
      <c r="K48" s="354"/>
      <c r="L48" s="353"/>
      <c r="M48" s="353">
        <f t="shared" si="0"/>
        <v>627778.14</v>
      </c>
      <c r="N48" s="354">
        <f t="shared" si="1"/>
        <v>0.53950295786000002</v>
      </c>
      <c r="O48" s="361">
        <f t="shared" si="2"/>
        <v>338688.16340984922</v>
      </c>
      <c r="P48" s="219"/>
      <c r="Q48" s="219"/>
      <c r="R48" s="229"/>
      <c r="S48" s="229"/>
      <c r="T48" s="228"/>
      <c r="U48" s="226"/>
      <c r="V48" s="228"/>
      <c r="W48" s="226"/>
      <c r="X48" s="219"/>
      <c r="Y48" s="219"/>
      <c r="Z48" s="219"/>
      <c r="AA48" s="219"/>
      <c r="AB48" s="227"/>
      <c r="AC48" s="227"/>
      <c r="AD48" s="219"/>
      <c r="AE48" s="219"/>
      <c r="AF48" s="219"/>
      <c r="AG48" s="220"/>
      <c r="AH48" s="220"/>
      <c r="AI48" s="220"/>
      <c r="AJ48" s="220"/>
      <c r="AK48" s="219"/>
      <c r="AL48" s="219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>
      <c r="A49" s="347"/>
      <c r="B49" s="347"/>
      <c r="C49" s="347"/>
      <c r="D49" s="353"/>
      <c r="E49" s="353"/>
      <c r="F49" s="353"/>
      <c r="G49" s="355"/>
      <c r="H49" s="353"/>
      <c r="I49" s="353"/>
      <c r="J49" s="357"/>
      <c r="K49" s="354"/>
      <c r="L49" s="353"/>
      <c r="M49" s="353">
        <f t="shared" si="0"/>
        <v>0</v>
      </c>
      <c r="N49" s="354">
        <f t="shared" si="1"/>
        <v>0</v>
      </c>
      <c r="O49" s="361">
        <f t="shared" si="2"/>
        <v>0</v>
      </c>
      <c r="P49" s="219"/>
      <c r="Q49" s="219"/>
      <c r="R49" s="229"/>
      <c r="S49" s="229"/>
      <c r="T49" s="228"/>
      <c r="U49" s="226"/>
      <c r="V49" s="228"/>
      <c r="W49" s="226"/>
      <c r="X49" s="219"/>
      <c r="Y49" s="219"/>
      <c r="Z49" s="219"/>
      <c r="AA49" s="219"/>
      <c r="AB49" s="227"/>
      <c r="AC49" s="227"/>
      <c r="AD49" s="219"/>
      <c r="AE49" s="219"/>
      <c r="AF49" s="219"/>
      <c r="AG49" s="220"/>
      <c r="AH49" s="220"/>
      <c r="AI49" s="220"/>
      <c r="AJ49" s="220"/>
      <c r="AK49" s="219"/>
      <c r="AL49" s="219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>
      <c r="A50" s="347"/>
      <c r="B50" s="347"/>
      <c r="C50" s="347"/>
      <c r="D50" s="357"/>
      <c r="E50" s="363"/>
      <c r="F50" s="354"/>
      <c r="G50" s="353"/>
      <c r="H50" s="353"/>
      <c r="I50" s="353"/>
      <c r="J50" s="357"/>
      <c r="K50" s="354"/>
      <c r="L50" s="353"/>
      <c r="M50" s="353">
        <f t="shared" si="0"/>
        <v>57468.221721000002</v>
      </c>
      <c r="N50" s="354">
        <f t="shared" si="1"/>
        <v>0.58591834491000006</v>
      </c>
      <c r="O50" s="361">
        <f t="shared" si="2"/>
        <v>33671.685355689238</v>
      </c>
      <c r="P50" s="219"/>
      <c r="Q50" s="221"/>
      <c r="R50" s="229"/>
      <c r="S50" s="229"/>
      <c r="T50" s="228"/>
      <c r="U50" s="226"/>
      <c r="V50" s="228"/>
      <c r="W50" s="226"/>
      <c r="X50" s="219"/>
      <c r="Y50" s="219"/>
      <c r="Z50" s="219"/>
      <c r="AA50" s="219"/>
      <c r="AB50" s="227"/>
      <c r="AC50" s="227"/>
      <c r="AD50" s="219"/>
      <c r="AE50" s="219"/>
      <c r="AF50" s="219"/>
      <c r="AG50" s="220"/>
      <c r="AH50" s="220"/>
      <c r="AI50" s="220"/>
      <c r="AJ50" s="220"/>
      <c r="AK50" s="219"/>
      <c r="AL50" s="219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>
      <c r="A51" s="347"/>
      <c r="B51" s="347"/>
      <c r="C51" s="347"/>
      <c r="D51" s="353"/>
      <c r="E51" s="353"/>
      <c r="F51" s="353"/>
      <c r="G51" s="355"/>
      <c r="H51" s="353"/>
      <c r="I51" s="356"/>
      <c r="J51" s="357"/>
      <c r="K51" s="354"/>
      <c r="L51" s="353"/>
      <c r="M51" s="353">
        <f t="shared" si="0"/>
        <v>52451.256800000003</v>
      </c>
      <c r="N51" s="354">
        <f t="shared" si="1"/>
        <v>0.61664549999999996</v>
      </c>
      <c r="O51" s="361">
        <f t="shared" si="2"/>
        <v>32343.831475064399</v>
      </c>
      <c r="P51" s="219"/>
      <c r="Q51" s="219"/>
      <c r="R51" s="229"/>
      <c r="S51" s="229"/>
      <c r="T51" s="228"/>
      <c r="U51" s="226"/>
      <c r="V51" s="228"/>
      <c r="W51" s="226"/>
      <c r="X51" s="219"/>
      <c r="Y51" s="219"/>
      <c r="Z51" s="219"/>
      <c r="AA51" s="219"/>
      <c r="AB51" s="227"/>
      <c r="AC51" s="227"/>
      <c r="AD51" s="219"/>
      <c r="AE51" s="219"/>
      <c r="AF51" s="219"/>
      <c r="AG51" s="220"/>
      <c r="AH51" s="220"/>
      <c r="AI51" s="220"/>
      <c r="AJ51" s="220"/>
      <c r="AK51" s="219"/>
      <c r="AL51" s="219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>
      <c r="A52" s="347"/>
      <c r="B52" s="347"/>
      <c r="C52" s="347"/>
      <c r="D52" s="353"/>
      <c r="E52" s="353"/>
      <c r="F52" s="353"/>
      <c r="G52" s="355"/>
      <c r="H52" s="353"/>
      <c r="I52" s="353"/>
      <c r="J52" s="357"/>
      <c r="K52" s="354"/>
      <c r="L52" s="353"/>
      <c r="M52" s="353">
        <f t="shared" si="0"/>
        <v>519665.78352</v>
      </c>
      <c r="N52" s="354">
        <f t="shared" si="1"/>
        <v>0.60820495416999998</v>
      </c>
      <c r="O52" s="361">
        <f t="shared" si="2"/>
        <v>316063.30404949875</v>
      </c>
      <c r="P52" s="219"/>
      <c r="Q52" s="219"/>
      <c r="R52" s="229"/>
      <c r="S52" s="229"/>
      <c r="T52" s="228"/>
      <c r="U52" s="226"/>
      <c r="V52" s="228"/>
      <c r="W52" s="226"/>
      <c r="X52" s="219"/>
      <c r="Y52" s="219"/>
      <c r="Z52" s="219"/>
      <c r="AA52" s="219"/>
      <c r="AB52" s="227"/>
      <c r="AC52" s="227"/>
      <c r="AD52" s="219"/>
      <c r="AE52" s="219"/>
      <c r="AF52" s="219"/>
      <c r="AG52" s="219"/>
      <c r="AH52" s="219"/>
      <c r="AI52" s="220"/>
      <c r="AJ52" s="220"/>
      <c r="AK52" s="219"/>
      <c r="AL52" s="219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>
      <c r="A53" s="347"/>
      <c r="B53" s="347"/>
      <c r="C53" s="347"/>
      <c r="D53" s="353"/>
      <c r="E53" s="353"/>
      <c r="F53" s="353"/>
      <c r="G53" s="355"/>
      <c r="H53" s="353"/>
      <c r="I53" s="353"/>
      <c r="J53" s="357"/>
      <c r="K53" s="354"/>
      <c r="L53" s="353"/>
      <c r="M53" s="353">
        <f t="shared" si="0"/>
        <v>108112.35648</v>
      </c>
      <c r="N53" s="354">
        <f t="shared" si="1"/>
        <v>0.20927172525000001</v>
      </c>
      <c r="O53" s="361">
        <f t="shared" si="2"/>
        <v>22624.859361412618</v>
      </c>
      <c r="P53" s="219"/>
      <c r="Q53" s="219"/>
      <c r="R53" s="229"/>
      <c r="S53" s="229"/>
      <c r="T53" s="228"/>
      <c r="U53" s="226"/>
      <c r="V53" s="228"/>
      <c r="W53" s="226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>
      <c r="A54" s="347"/>
      <c r="B54" s="347"/>
      <c r="C54" s="347"/>
      <c r="D54" s="353"/>
      <c r="E54" s="353"/>
      <c r="F54" s="353"/>
      <c r="G54" s="355"/>
      <c r="H54" s="353"/>
      <c r="I54" s="353"/>
      <c r="J54" s="357"/>
      <c r="K54" s="354"/>
      <c r="L54" s="353"/>
      <c r="M54" s="353">
        <f t="shared" si="0"/>
        <v>19394.5455</v>
      </c>
      <c r="N54" s="354">
        <f t="shared" si="1"/>
        <v>0.19782955895000001</v>
      </c>
      <c r="O54" s="361">
        <f t="shared" si="2"/>
        <v>3836.8143823007076</v>
      </c>
      <c r="P54" s="219"/>
      <c r="Q54" s="219"/>
      <c r="R54" s="229"/>
      <c r="S54" s="229"/>
      <c r="T54" s="228"/>
      <c r="U54" s="226"/>
      <c r="V54" s="228"/>
      <c r="W54" s="226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>
      <c r="A55" s="347"/>
      <c r="B55" s="347"/>
      <c r="C55" s="347"/>
      <c r="D55" s="353"/>
      <c r="E55" s="353"/>
      <c r="F55" s="353"/>
      <c r="G55" s="355"/>
      <c r="H55" s="353"/>
      <c r="I55" s="353"/>
      <c r="J55" s="357"/>
      <c r="K55" s="354"/>
      <c r="L55" s="353"/>
      <c r="M55" s="353">
        <f t="shared" si="0"/>
        <v>88717.810979000002</v>
      </c>
      <c r="N55" s="354">
        <f t="shared" si="1"/>
        <v>0.21177309011000001</v>
      </c>
      <c r="O55" s="361">
        <f t="shared" si="2"/>
        <v>18788.044978817714</v>
      </c>
      <c r="P55" s="219"/>
      <c r="Q55" s="219"/>
      <c r="R55" s="229"/>
      <c r="S55" s="229"/>
      <c r="T55" s="228"/>
      <c r="U55" s="226"/>
      <c r="V55" s="228"/>
      <c r="W55" s="226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>
      <c r="A56" s="347"/>
      <c r="B56" s="347"/>
      <c r="C56" s="347"/>
      <c r="D56" s="357"/>
      <c r="E56" s="363"/>
      <c r="F56" s="354"/>
      <c r="G56" s="353"/>
      <c r="H56" s="353"/>
      <c r="I56" s="353"/>
      <c r="J56" s="357"/>
      <c r="K56" s="354"/>
      <c r="L56" s="353"/>
      <c r="M56" s="353">
        <f t="shared" si="0"/>
        <v>-45958.833721000003</v>
      </c>
      <c r="N56" s="354">
        <f t="shared" si="1"/>
        <v>0.177288</v>
      </c>
      <c r="O56" s="361">
        <f t="shared" si="2"/>
        <v>-8147.9497127286486</v>
      </c>
      <c r="P56" s="221"/>
      <c r="Q56" s="221"/>
      <c r="R56" s="229"/>
      <c r="S56" s="229"/>
      <c r="T56" s="228"/>
      <c r="U56" s="226"/>
      <c r="V56" s="228"/>
      <c r="W56" s="226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>
      <c r="A57" s="347"/>
      <c r="B57" s="347"/>
      <c r="C57" s="347"/>
      <c r="D57" s="353"/>
      <c r="E57" s="353"/>
      <c r="F57" s="353"/>
      <c r="G57" s="355"/>
      <c r="H57" s="353"/>
      <c r="I57" s="353"/>
      <c r="J57" s="357"/>
      <c r="K57" s="354"/>
      <c r="L57" s="353"/>
      <c r="M57" s="353">
        <f t="shared" si="0"/>
        <v>65353.379221000003</v>
      </c>
      <c r="N57" s="354">
        <f t="shared" si="1"/>
        <v>0.18338399999999999</v>
      </c>
      <c r="O57" s="361">
        <f t="shared" si="2"/>
        <v>11984.764095063863</v>
      </c>
      <c r="P57" s="221"/>
      <c r="Q57" s="219"/>
      <c r="R57" s="229"/>
      <c r="S57" s="229"/>
      <c r="T57" s="228"/>
      <c r="U57" s="226"/>
      <c r="V57" s="228"/>
      <c r="W57" s="226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>
      <c r="A58" s="347"/>
      <c r="B58" s="347"/>
      <c r="C58" s="347"/>
      <c r="D58" s="353"/>
      <c r="E58" s="353"/>
      <c r="F58" s="353"/>
      <c r="G58" s="355"/>
      <c r="H58" s="353"/>
      <c r="I58" s="353"/>
      <c r="J58" s="357"/>
      <c r="K58" s="354"/>
      <c r="L58" s="357"/>
      <c r="M58" s="353">
        <f t="shared" si="0"/>
        <v>154071.19020000001</v>
      </c>
      <c r="N58" s="354">
        <f t="shared" si="1"/>
        <v>0.19973110504</v>
      </c>
      <c r="O58" s="361">
        <f t="shared" si="2"/>
        <v>30772.809073474022</v>
      </c>
      <c r="P58" s="219"/>
      <c r="Q58" s="219"/>
      <c r="R58" s="229"/>
      <c r="S58" s="229"/>
      <c r="T58" s="228"/>
      <c r="U58" s="226"/>
      <c r="V58" s="228"/>
      <c r="W58" s="226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>
      <c r="A59" s="347"/>
      <c r="B59" s="347"/>
      <c r="C59" s="347"/>
      <c r="D59" s="353"/>
      <c r="E59" s="353"/>
      <c r="F59" s="353"/>
      <c r="G59" s="355"/>
      <c r="H59" s="353"/>
      <c r="I59" s="356"/>
      <c r="J59" s="357"/>
      <c r="K59" s="354"/>
      <c r="L59" s="353"/>
      <c r="M59" s="353">
        <f t="shared" si="0"/>
        <v>129854.1048</v>
      </c>
      <c r="N59" s="354">
        <f t="shared" si="1"/>
        <v>0.14616000000000001</v>
      </c>
      <c r="O59" s="361">
        <f t="shared" si="2"/>
        <v>18979.475957568</v>
      </c>
      <c r="P59" s="219"/>
      <c r="Q59" s="219"/>
      <c r="R59" s="229"/>
      <c r="S59" s="229"/>
      <c r="T59" s="228"/>
      <c r="U59" s="226"/>
      <c r="V59" s="228"/>
      <c r="W59" s="226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>
      <c r="A60" s="347"/>
      <c r="B60" s="347"/>
      <c r="C60" s="347"/>
      <c r="D60" s="353"/>
      <c r="E60" s="353"/>
      <c r="F60" s="353"/>
      <c r="G60" s="355"/>
      <c r="H60" s="353"/>
      <c r="I60" s="353"/>
      <c r="J60" s="357"/>
      <c r="K60" s="354"/>
      <c r="L60" s="353"/>
      <c r="M60" s="353">
        <f t="shared" si="0"/>
        <v>24217.0854</v>
      </c>
      <c r="N60" s="354">
        <f t="shared" si="1"/>
        <v>0.48698399999999997</v>
      </c>
      <c r="O60" s="361">
        <f t="shared" si="2"/>
        <v>11793.3331164336</v>
      </c>
      <c r="P60" s="219"/>
      <c r="Q60" s="219"/>
      <c r="R60" s="229"/>
      <c r="S60" s="229"/>
      <c r="T60" s="228"/>
      <c r="U60" s="226"/>
      <c r="V60" s="228"/>
      <c r="W60" s="226"/>
      <c r="X60" s="219"/>
      <c r="Y60" s="219"/>
      <c r="Z60" s="219"/>
      <c r="AA60" s="221"/>
      <c r="AB60" s="221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>
      <c r="A61" s="347"/>
      <c r="B61" s="347"/>
      <c r="C61" s="347"/>
      <c r="D61" s="357"/>
      <c r="E61" s="357"/>
      <c r="F61" s="354"/>
      <c r="G61" s="353"/>
      <c r="H61" s="353"/>
      <c r="I61" s="353"/>
      <c r="J61" s="357"/>
      <c r="K61" s="354"/>
      <c r="L61" s="353"/>
      <c r="M61" s="353">
        <f t="shared" si="0"/>
        <v>-1218.6096</v>
      </c>
      <c r="N61" s="354">
        <f t="shared" si="1"/>
        <v>0.49230655541000001</v>
      </c>
      <c r="O61" s="361">
        <f t="shared" si="2"/>
        <v>-599.929494565558</v>
      </c>
      <c r="P61" s="219"/>
      <c r="Q61" s="221"/>
      <c r="R61" s="229"/>
      <c r="S61" s="229"/>
      <c r="T61" s="228"/>
      <c r="U61" s="226"/>
      <c r="V61" s="228"/>
      <c r="W61" s="226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>
      <c r="A62" s="347"/>
      <c r="B62" s="347"/>
      <c r="C62" s="347"/>
      <c r="D62" s="353"/>
      <c r="E62" s="353"/>
      <c r="F62" s="353"/>
      <c r="G62" s="355"/>
      <c r="H62" s="353"/>
      <c r="I62" s="356"/>
      <c r="J62" s="357"/>
      <c r="K62" s="354"/>
      <c r="L62" s="353"/>
      <c r="M62" s="353">
        <f t="shared" si="0"/>
        <v>25435.695</v>
      </c>
      <c r="N62" s="354">
        <f t="shared" si="1"/>
        <v>0.48723900059000003</v>
      </c>
      <c r="O62" s="361">
        <f t="shared" si="2"/>
        <v>12393.262611112061</v>
      </c>
      <c r="P62" s="219"/>
      <c r="Q62" s="219"/>
      <c r="R62" s="229"/>
      <c r="S62" s="229"/>
      <c r="T62" s="228"/>
      <c r="U62" s="226"/>
      <c r="V62" s="228"/>
      <c r="W62" s="226"/>
      <c r="X62" s="219"/>
      <c r="Y62" s="219"/>
      <c r="Z62" s="219"/>
      <c r="AA62" s="221"/>
      <c r="AB62" s="221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>
      <c r="A63" s="347"/>
      <c r="B63" s="347"/>
      <c r="C63" s="347"/>
      <c r="D63" s="353"/>
      <c r="E63" s="353"/>
      <c r="F63" s="353"/>
      <c r="G63" s="355"/>
      <c r="H63" s="353"/>
      <c r="I63" s="353"/>
      <c r="J63" s="357"/>
      <c r="K63" s="354"/>
      <c r="L63" s="353"/>
      <c r="M63" s="353">
        <f t="shared" si="0"/>
        <v>409746.30499999999</v>
      </c>
      <c r="N63" s="354">
        <f t="shared" si="1"/>
        <v>0.61025025525999999</v>
      </c>
      <c r="O63" s="361">
        <f t="shared" si="2"/>
        <v>250047.78721809181</v>
      </c>
      <c r="P63" s="221"/>
      <c r="Q63" s="219"/>
      <c r="R63" s="229"/>
      <c r="S63" s="229"/>
      <c r="T63" s="228"/>
      <c r="U63" s="226"/>
      <c r="V63" s="228"/>
      <c r="W63" s="226"/>
      <c r="X63" s="219"/>
      <c r="Y63" s="219"/>
      <c r="Z63" s="219"/>
      <c r="AA63" s="228"/>
      <c r="AB63" s="221"/>
      <c r="AC63" s="221"/>
      <c r="AD63" s="219"/>
      <c r="AE63" s="219"/>
      <c r="AF63" s="219"/>
      <c r="AG63" s="219"/>
      <c r="AH63" s="219"/>
      <c r="AI63" s="219"/>
      <c r="AJ63" s="219"/>
      <c r="AK63" s="219"/>
      <c r="AL63" s="219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>
      <c r="A64" s="347"/>
      <c r="B64" s="347"/>
      <c r="C64" s="347"/>
      <c r="D64" s="353"/>
      <c r="E64" s="353"/>
      <c r="F64" s="353"/>
      <c r="G64" s="353"/>
      <c r="H64" s="353"/>
      <c r="I64" s="353"/>
      <c r="J64" s="357"/>
      <c r="K64" s="354"/>
      <c r="L64" s="353"/>
      <c r="M64" s="353">
        <f t="shared" si="0"/>
        <v>0</v>
      </c>
      <c r="N64" s="354">
        <f t="shared" si="1"/>
        <v>0</v>
      </c>
      <c r="O64" s="361">
        <f t="shared" si="2"/>
        <v>0</v>
      </c>
      <c r="P64" s="219"/>
      <c r="Q64" s="219"/>
      <c r="R64" s="229"/>
      <c r="S64" s="229"/>
      <c r="T64" s="228"/>
      <c r="U64" s="226"/>
      <c r="V64" s="228"/>
      <c r="W64" s="226"/>
      <c r="X64" s="219"/>
      <c r="Y64" s="219"/>
      <c r="Z64" s="219"/>
      <c r="AA64" s="228"/>
      <c r="AB64" s="221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s="184" customFormat="1">
      <c r="A65" s="347"/>
      <c r="B65" s="347"/>
      <c r="C65" s="347"/>
      <c r="D65" s="353"/>
      <c r="E65" s="353"/>
      <c r="F65" s="353"/>
      <c r="G65" s="353"/>
      <c r="H65" s="353"/>
      <c r="I65" s="353"/>
      <c r="J65" s="357"/>
      <c r="K65" s="354"/>
      <c r="L65" s="353"/>
      <c r="M65" s="353">
        <f t="shared" si="0"/>
        <v>0</v>
      </c>
      <c r="N65" s="354">
        <f t="shared" si="1"/>
        <v>0</v>
      </c>
      <c r="O65" s="361">
        <f t="shared" si="2"/>
        <v>0</v>
      </c>
      <c r="P65" s="219"/>
      <c r="Q65" s="219"/>
      <c r="R65" s="229"/>
      <c r="S65" s="229"/>
      <c r="T65" s="228"/>
      <c r="U65" s="226"/>
      <c r="V65" s="228"/>
      <c r="W65" s="226"/>
      <c r="X65" s="219"/>
      <c r="Y65" s="219"/>
      <c r="Z65" s="219"/>
      <c r="AA65" s="228"/>
      <c r="AB65" s="221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s="184" customFormat="1">
      <c r="A66" s="347"/>
      <c r="B66" s="347"/>
      <c r="C66" s="347"/>
      <c r="D66" s="353"/>
      <c r="E66" s="353"/>
      <c r="F66" s="353"/>
      <c r="G66" s="353"/>
      <c r="H66" s="353"/>
      <c r="I66" s="353"/>
      <c r="J66" s="357"/>
      <c r="K66" s="354"/>
      <c r="L66" s="353"/>
      <c r="M66" s="353">
        <f t="shared" si="0"/>
        <v>0</v>
      </c>
      <c r="N66" s="354">
        <f t="shared" si="1"/>
        <v>0</v>
      </c>
      <c r="O66" s="361">
        <f t="shared" si="2"/>
        <v>0</v>
      </c>
      <c r="P66" s="219"/>
      <c r="Q66" s="219"/>
      <c r="R66" s="229"/>
      <c r="S66" s="229"/>
      <c r="T66" s="228"/>
      <c r="U66" s="226"/>
      <c r="V66" s="228"/>
      <c r="W66" s="226"/>
      <c r="X66" s="219"/>
      <c r="Y66" s="219"/>
      <c r="Z66" s="219"/>
      <c r="AA66" s="228"/>
      <c r="AB66" s="221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s="184" customFormat="1">
      <c r="A67" s="347"/>
      <c r="B67" s="347"/>
      <c r="C67" s="347"/>
      <c r="D67" s="357"/>
      <c r="E67" s="357"/>
      <c r="F67" s="354"/>
      <c r="G67" s="353"/>
      <c r="H67" s="353"/>
      <c r="I67" s="353"/>
      <c r="J67" s="357"/>
      <c r="K67" s="354"/>
      <c r="L67" s="353"/>
      <c r="M67" s="353">
        <f t="shared" si="0"/>
        <v>0</v>
      </c>
      <c r="N67" s="354">
        <f t="shared" si="1"/>
        <v>0</v>
      </c>
      <c r="O67" s="361">
        <f t="shared" si="2"/>
        <v>0</v>
      </c>
      <c r="P67" s="219"/>
      <c r="Q67" s="219"/>
      <c r="R67" s="229"/>
      <c r="S67" s="229"/>
      <c r="T67" s="228"/>
      <c r="U67" s="226"/>
      <c r="V67" s="228"/>
      <c r="W67" s="226"/>
      <c r="X67" s="219"/>
      <c r="Y67" s="219"/>
      <c r="Z67" s="219"/>
      <c r="AA67" s="228"/>
      <c r="AB67" s="221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s="184" customFormat="1">
      <c r="A68" s="347"/>
      <c r="B68" s="347"/>
      <c r="C68" s="347"/>
      <c r="D68" s="353"/>
      <c r="E68" s="353"/>
      <c r="F68" s="353"/>
      <c r="G68" s="353"/>
      <c r="H68" s="353"/>
      <c r="I68" s="353"/>
      <c r="J68" s="357"/>
      <c r="K68" s="354"/>
      <c r="L68" s="353"/>
      <c r="M68" s="353">
        <f t="shared" si="0"/>
        <v>0</v>
      </c>
      <c r="N68" s="354">
        <f t="shared" si="1"/>
        <v>0</v>
      </c>
      <c r="O68" s="361">
        <f t="shared" si="2"/>
        <v>0</v>
      </c>
      <c r="P68" s="219"/>
      <c r="Q68" s="219"/>
      <c r="R68" s="229"/>
      <c r="S68" s="229"/>
      <c r="T68" s="228"/>
      <c r="U68" s="226"/>
      <c r="V68" s="228"/>
      <c r="W68" s="226"/>
      <c r="X68" s="219"/>
      <c r="Y68" s="219"/>
      <c r="Z68" s="219"/>
      <c r="AA68" s="228"/>
      <c r="AB68" s="221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s="184" customFormat="1">
      <c r="A69" s="347"/>
      <c r="B69" s="347"/>
      <c r="C69" s="347"/>
      <c r="D69" s="353"/>
      <c r="E69" s="353"/>
      <c r="F69" s="353"/>
      <c r="G69" s="353"/>
      <c r="H69" s="353"/>
      <c r="I69" s="353"/>
      <c r="J69" s="357"/>
      <c r="K69" s="354"/>
      <c r="L69" s="353"/>
      <c r="M69" s="353">
        <f t="shared" si="0"/>
        <v>0</v>
      </c>
      <c r="N69" s="354">
        <f t="shared" si="1"/>
        <v>0</v>
      </c>
      <c r="O69" s="361">
        <f t="shared" si="2"/>
        <v>0</v>
      </c>
      <c r="P69" s="219"/>
      <c r="Q69" s="219"/>
      <c r="R69" s="229"/>
      <c r="S69" s="229"/>
      <c r="T69" s="228"/>
      <c r="U69" s="226"/>
      <c r="V69" s="228"/>
      <c r="W69" s="226"/>
      <c r="X69" s="219"/>
      <c r="Y69" s="219"/>
      <c r="Z69" s="219"/>
      <c r="AA69" s="228"/>
      <c r="AB69" s="221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s="184" customFormat="1">
      <c r="A70" s="347"/>
      <c r="B70" s="347"/>
      <c r="C70" s="347"/>
      <c r="D70" s="353"/>
      <c r="E70" s="353"/>
      <c r="F70" s="353"/>
      <c r="G70" s="353"/>
      <c r="H70" s="353"/>
      <c r="I70" s="353"/>
      <c r="J70" s="357"/>
      <c r="K70" s="354"/>
      <c r="L70" s="353"/>
      <c r="M70" s="353">
        <f t="shared" si="0"/>
        <v>0</v>
      </c>
      <c r="N70" s="354">
        <f t="shared" si="1"/>
        <v>0</v>
      </c>
      <c r="O70" s="361">
        <f t="shared" si="2"/>
        <v>0</v>
      </c>
      <c r="P70" s="219"/>
      <c r="Q70" s="219"/>
      <c r="R70" s="229"/>
      <c r="S70" s="229"/>
      <c r="T70" s="228"/>
      <c r="U70" s="226"/>
      <c r="V70" s="228"/>
      <c r="W70" s="226"/>
      <c r="X70" s="219"/>
      <c r="Y70" s="219"/>
      <c r="Z70" s="219"/>
      <c r="AA70" s="228"/>
      <c r="AB70" s="221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s="184" customFormat="1">
      <c r="A71" s="347"/>
      <c r="B71" s="347"/>
      <c r="C71" s="347"/>
      <c r="D71" s="353"/>
      <c r="E71" s="353"/>
      <c r="F71" s="353"/>
      <c r="G71" s="353"/>
      <c r="H71" s="353"/>
      <c r="I71" s="353"/>
      <c r="J71" s="353"/>
      <c r="K71" s="353"/>
      <c r="L71" s="353"/>
      <c r="M71" s="353"/>
      <c r="N71" s="353"/>
      <c r="O71" s="353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28"/>
      <c r="AB71" s="221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s="184" customFormat="1">
      <c r="A72" s="347"/>
      <c r="B72" s="347"/>
      <c r="C72" s="347"/>
      <c r="D72" s="353"/>
      <c r="E72" s="353"/>
      <c r="F72" s="353"/>
      <c r="G72" s="353"/>
      <c r="H72" s="353"/>
      <c r="I72" s="353"/>
      <c r="J72" s="353"/>
      <c r="K72" s="353"/>
      <c r="L72" s="353"/>
      <c r="M72" s="353"/>
      <c r="N72" s="353"/>
      <c r="O72" s="353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28"/>
      <c r="AB72" s="221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>
      <c r="A73" s="30"/>
      <c r="B73" s="30"/>
      <c r="C73" s="30"/>
      <c r="D73" s="219"/>
      <c r="E73" s="219"/>
      <c r="F73" s="219"/>
      <c r="G73" s="219"/>
      <c r="H73" s="219"/>
      <c r="I73" s="219"/>
      <c r="J73" s="346"/>
      <c r="K73" s="346"/>
      <c r="L73" s="219"/>
      <c r="M73" s="225"/>
      <c r="N73" s="225"/>
      <c r="O73" s="219"/>
      <c r="P73" s="219"/>
      <c r="Q73" s="219"/>
      <c r="R73" s="228"/>
      <c r="S73" s="219"/>
      <c r="T73" s="219"/>
      <c r="U73" s="219"/>
      <c r="V73" s="221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>
      <c r="A74" s="30"/>
      <c r="B74" s="30"/>
      <c r="C74" s="30"/>
      <c r="D74" s="219"/>
      <c r="E74" s="219"/>
      <c r="F74" s="219"/>
      <c r="G74" s="219"/>
      <c r="H74" s="219"/>
      <c r="I74" s="219"/>
      <c r="J74" s="225"/>
      <c r="K74" s="225"/>
      <c r="L74" s="219"/>
      <c r="M74" s="225"/>
      <c r="N74" s="225"/>
      <c r="O74" s="219"/>
      <c r="P74" s="221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>
      <c r="A75" s="30"/>
      <c r="B75" s="30"/>
      <c r="C75" s="30"/>
      <c r="D75" s="219"/>
      <c r="E75" s="219"/>
      <c r="F75" s="219"/>
      <c r="G75" s="219"/>
      <c r="H75" s="219"/>
      <c r="I75" s="219"/>
      <c r="J75" s="219"/>
      <c r="K75" s="219"/>
      <c r="L75" s="219"/>
      <c r="M75" s="221"/>
      <c r="N75" s="228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>
      <c r="A76" s="30"/>
      <c r="B76" s="30"/>
      <c r="C76" s="30"/>
      <c r="D76" s="219"/>
      <c r="E76" s="219"/>
      <c r="F76" s="219"/>
      <c r="G76" s="219"/>
      <c r="H76" s="219"/>
      <c r="I76" s="219"/>
      <c r="J76" s="219"/>
      <c r="K76" s="219"/>
      <c r="L76" s="219"/>
      <c r="M76" s="221"/>
      <c r="N76" s="228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>
      <c r="A77" s="30"/>
      <c r="B77" s="30"/>
      <c r="C77" s="30"/>
      <c r="D77" s="219"/>
      <c r="E77" s="219"/>
      <c r="F77" s="219"/>
      <c r="G77" s="219"/>
      <c r="H77" s="219"/>
      <c r="I77" s="222"/>
      <c r="J77" s="222"/>
      <c r="K77" s="222"/>
      <c r="L77" s="219"/>
      <c r="M77" s="221"/>
      <c r="N77" s="228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>
      <c r="A78" s="30"/>
      <c r="B78" s="30"/>
      <c r="C78" s="30"/>
      <c r="D78" s="219"/>
      <c r="E78" s="219"/>
      <c r="F78" s="219"/>
      <c r="G78" s="219"/>
      <c r="H78" s="219"/>
      <c r="I78" s="219"/>
      <c r="J78" s="219"/>
      <c r="K78" s="219"/>
      <c r="L78" s="219"/>
      <c r="M78" s="221"/>
      <c r="N78" s="228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>
      <c r="A79" s="30"/>
      <c r="B79" s="30"/>
      <c r="C79" s="30"/>
      <c r="D79" s="219"/>
      <c r="E79" s="219"/>
      <c r="F79" s="219"/>
      <c r="G79" s="219"/>
      <c r="H79" s="219"/>
      <c r="I79" s="219"/>
      <c r="J79" s="219"/>
      <c r="K79" s="219"/>
      <c r="L79" s="219"/>
      <c r="M79" s="221"/>
      <c r="N79" s="228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>
      <c r="A80" s="30"/>
      <c r="B80" s="30"/>
      <c r="C80" s="30"/>
      <c r="D80" s="219"/>
      <c r="E80" s="219"/>
      <c r="F80" s="219"/>
      <c r="G80" s="219"/>
      <c r="H80" s="219"/>
      <c r="I80" s="219"/>
      <c r="J80" s="219"/>
      <c r="K80" s="219"/>
      <c r="L80" s="219"/>
      <c r="M80" s="221"/>
      <c r="N80" s="228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>
      <c r="A81" s="30"/>
      <c r="B81" s="30"/>
      <c r="C81" s="30"/>
      <c r="D81" s="219"/>
      <c r="E81" s="219"/>
      <c r="F81" s="219"/>
      <c r="G81" s="219"/>
      <c r="H81" s="219"/>
      <c r="I81" s="219"/>
      <c r="J81" s="219"/>
      <c r="K81" s="219"/>
      <c r="L81" s="219"/>
      <c r="M81" s="221"/>
      <c r="N81" s="228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>
      <c r="A82" s="30"/>
      <c r="B82" s="30"/>
      <c r="C82" s="30"/>
      <c r="D82" s="219"/>
      <c r="E82" s="219"/>
      <c r="F82" s="219"/>
      <c r="G82" s="219"/>
      <c r="H82" s="219"/>
      <c r="I82" s="219"/>
      <c r="J82" s="219"/>
      <c r="K82" s="219"/>
      <c r="L82" s="219"/>
      <c r="M82" s="221"/>
      <c r="N82" s="228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>
      <c r="A83" s="30"/>
      <c r="B83" s="30"/>
      <c r="C83" s="30"/>
      <c r="D83" s="219"/>
      <c r="E83" s="219"/>
      <c r="F83" s="219"/>
      <c r="G83" s="219"/>
      <c r="H83" s="219"/>
      <c r="I83" s="219"/>
      <c r="J83" s="219"/>
      <c r="K83" s="219"/>
      <c r="L83" s="219"/>
      <c r="M83" s="221"/>
      <c r="N83" s="228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>
      <c r="A84" s="30"/>
      <c r="B84" s="30"/>
      <c r="C84" s="30"/>
      <c r="D84" s="219"/>
      <c r="E84" s="219"/>
      <c r="F84" s="219"/>
      <c r="G84" s="219"/>
      <c r="H84" s="219"/>
      <c r="I84" s="219"/>
      <c r="J84" s="219"/>
      <c r="K84" s="219"/>
      <c r="L84" s="219"/>
      <c r="M84" s="221"/>
      <c r="N84" s="228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>
      <c r="A85" s="30"/>
      <c r="B85" s="30"/>
      <c r="C85" s="30"/>
      <c r="D85" s="219"/>
      <c r="E85" s="219"/>
      <c r="F85" s="219"/>
      <c r="G85" s="219"/>
      <c r="H85" s="219"/>
      <c r="I85" s="219"/>
      <c r="J85" s="219"/>
      <c r="K85" s="219"/>
      <c r="L85" s="219"/>
      <c r="M85" s="221"/>
      <c r="N85" s="228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>
      <c r="A86" s="30"/>
      <c r="B86" s="30"/>
      <c r="C86" s="30"/>
      <c r="D86" s="219"/>
      <c r="E86" s="219"/>
      <c r="F86" s="219"/>
      <c r="G86" s="219"/>
      <c r="H86" s="219"/>
      <c r="I86" s="222"/>
      <c r="J86" s="222"/>
      <c r="K86" s="222"/>
      <c r="L86" s="219"/>
      <c r="M86" s="221"/>
      <c r="N86" s="228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>
      <c r="A87" s="30"/>
      <c r="B87" s="30"/>
      <c r="C87" s="30"/>
      <c r="D87" s="219"/>
      <c r="E87" s="219"/>
      <c r="F87" s="219"/>
      <c r="G87" s="219"/>
      <c r="H87" s="219"/>
      <c r="I87" s="219"/>
      <c r="J87" s="219"/>
      <c r="K87" s="219"/>
      <c r="L87" s="219"/>
      <c r="M87" s="221"/>
      <c r="N87" s="228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>
      <c r="A88" s="30"/>
      <c r="B88" s="30"/>
      <c r="C88" s="30"/>
      <c r="D88" s="219"/>
      <c r="E88" s="219"/>
      <c r="F88" s="219"/>
      <c r="G88" s="219"/>
      <c r="H88" s="219"/>
      <c r="I88" s="219"/>
      <c r="J88" s="219"/>
      <c r="K88" s="219"/>
      <c r="L88" s="219"/>
      <c r="M88" s="221"/>
      <c r="N88" s="228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>
      <c r="A89" s="30"/>
      <c r="B89" s="30"/>
      <c r="C89" s="30"/>
      <c r="D89" s="219"/>
      <c r="E89" s="219"/>
      <c r="F89" s="219"/>
      <c r="G89" s="219"/>
      <c r="H89" s="219"/>
      <c r="I89" s="219"/>
      <c r="J89" s="219"/>
      <c r="K89" s="219"/>
      <c r="L89" s="219"/>
      <c r="M89" s="221"/>
      <c r="N89" s="228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>
      <c r="A90" s="30"/>
      <c r="B90" s="30"/>
      <c r="C90" s="30"/>
      <c r="D90" s="219"/>
      <c r="E90" s="219"/>
      <c r="F90" s="219"/>
      <c r="G90" s="219"/>
      <c r="H90" s="219"/>
      <c r="I90" s="219"/>
      <c r="J90" s="219"/>
      <c r="K90" s="219"/>
      <c r="L90" s="219"/>
      <c r="M90" s="221"/>
      <c r="N90" s="228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>
      <c r="A91" s="30"/>
      <c r="B91" s="30"/>
      <c r="C91" s="30"/>
      <c r="D91" s="219"/>
      <c r="E91" s="219"/>
      <c r="F91" s="219"/>
      <c r="G91" s="219"/>
      <c r="H91" s="219"/>
      <c r="I91" s="219"/>
      <c r="J91" s="219"/>
      <c r="K91" s="219"/>
      <c r="L91" s="219"/>
      <c r="M91" s="221"/>
      <c r="N91" s="228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>
      <c r="A92" s="30"/>
      <c r="B92" s="30"/>
      <c r="C92" s="30"/>
      <c r="D92" s="219"/>
      <c r="E92" s="219"/>
      <c r="F92" s="219"/>
      <c r="G92" s="219"/>
      <c r="H92" s="219"/>
      <c r="I92" s="219"/>
      <c r="J92" s="219"/>
      <c r="K92" s="219"/>
      <c r="L92" s="219"/>
      <c r="M92" s="221"/>
      <c r="N92" s="228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>
      <c r="A93" s="30"/>
      <c r="B93" s="30"/>
      <c r="C93" s="30"/>
      <c r="D93" s="219"/>
      <c r="E93" s="219"/>
      <c r="F93" s="219"/>
      <c r="G93" s="219"/>
      <c r="H93" s="219"/>
      <c r="I93" s="219"/>
      <c r="J93" s="219"/>
      <c r="K93" s="219"/>
      <c r="L93" s="219"/>
      <c r="M93" s="221"/>
      <c r="N93" s="228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>
      <c r="A94" s="30"/>
      <c r="B94" s="30"/>
      <c r="C94" s="30"/>
      <c r="D94" s="219"/>
      <c r="E94" s="219"/>
      <c r="F94" s="219"/>
      <c r="G94" s="219"/>
      <c r="H94" s="219"/>
      <c r="I94" s="219"/>
      <c r="J94" s="222"/>
      <c r="K94" s="219"/>
      <c r="L94" s="219"/>
      <c r="M94" s="221"/>
      <c r="N94" s="228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>
      <c r="A95" s="30"/>
      <c r="B95" s="30"/>
      <c r="C95" s="30"/>
      <c r="D95" s="219"/>
      <c r="E95" s="219"/>
      <c r="F95" s="219"/>
      <c r="G95" s="219"/>
      <c r="H95" s="219"/>
      <c r="I95" s="219"/>
      <c r="J95" s="222"/>
      <c r="K95" s="219"/>
      <c r="L95" s="219"/>
      <c r="M95" s="221"/>
      <c r="N95" s="228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>
      <c r="A96" s="30"/>
      <c r="B96" s="30"/>
      <c r="C96" s="30"/>
      <c r="D96" s="219"/>
      <c r="E96" s="219"/>
      <c r="F96" s="219"/>
      <c r="G96" s="219"/>
      <c r="H96" s="219"/>
      <c r="I96" s="219"/>
      <c r="J96" s="222"/>
      <c r="K96" s="219"/>
      <c r="L96" s="219"/>
      <c r="M96" s="221"/>
      <c r="N96" s="228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>
      <c r="A97" s="30"/>
      <c r="B97" s="30"/>
      <c r="C97" s="30"/>
      <c r="D97" s="219"/>
      <c r="E97" s="219"/>
      <c r="F97" s="219"/>
      <c r="G97" s="219"/>
      <c r="H97" s="219"/>
      <c r="I97" s="222"/>
      <c r="J97" s="222"/>
      <c r="K97" s="219"/>
      <c r="L97" s="219"/>
      <c r="M97" s="221"/>
      <c r="N97" s="228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>
      <c r="A98" s="30"/>
      <c r="B98" s="30"/>
      <c r="C98" s="30"/>
      <c r="D98" s="219"/>
      <c r="E98" s="219"/>
      <c r="F98" s="219"/>
      <c r="G98" s="219"/>
      <c r="H98" s="219"/>
      <c r="I98" s="219"/>
      <c r="J98" s="219"/>
      <c r="K98" s="219"/>
      <c r="L98" s="219"/>
      <c r="M98" s="221"/>
      <c r="N98" s="228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>
      <c r="A99" s="30"/>
      <c r="B99" s="30"/>
      <c r="C99" s="30"/>
      <c r="D99" s="219"/>
      <c r="E99" s="219"/>
      <c r="F99" s="219"/>
      <c r="G99" s="219"/>
      <c r="H99" s="219"/>
      <c r="I99" s="219"/>
      <c r="J99" s="219"/>
      <c r="K99" s="219"/>
      <c r="L99" s="219"/>
      <c r="M99" s="221"/>
      <c r="N99" s="228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s="184" customFormat="1">
      <c r="A100" s="30"/>
      <c r="B100" s="30"/>
      <c r="C100" s="30"/>
      <c r="D100" s="219"/>
      <c r="E100" s="219"/>
      <c r="F100" s="219"/>
      <c r="G100" s="219"/>
      <c r="H100" s="219"/>
      <c r="I100" s="219"/>
      <c r="J100" s="219"/>
      <c r="K100" s="219"/>
      <c r="L100" s="219"/>
      <c r="M100" s="221"/>
      <c r="N100" s="228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s="184" customFormat="1">
      <c r="A101" s="30"/>
      <c r="B101" s="30"/>
      <c r="C101" s="30"/>
      <c r="D101" s="219"/>
      <c r="E101" s="219"/>
      <c r="F101" s="219"/>
      <c r="G101" s="219"/>
      <c r="H101" s="219"/>
      <c r="I101" s="219"/>
      <c r="J101" s="219"/>
      <c r="K101" s="219"/>
      <c r="L101" s="219"/>
      <c r="M101" s="221"/>
      <c r="N101" s="228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s="184" customFormat="1">
      <c r="A102" s="30"/>
      <c r="B102" s="30"/>
      <c r="C102" s="30"/>
      <c r="D102" s="219"/>
      <c r="E102" s="219"/>
      <c r="F102" s="219"/>
      <c r="G102" s="219"/>
      <c r="H102" s="219"/>
      <c r="I102" s="219"/>
      <c r="J102" s="219"/>
      <c r="K102" s="219"/>
      <c r="L102" s="219"/>
      <c r="M102" s="221"/>
      <c r="N102" s="228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s="184" customFormat="1">
      <c r="A103" s="30"/>
      <c r="B103" s="30"/>
      <c r="C103" s="30"/>
      <c r="D103" s="219"/>
      <c r="E103" s="219"/>
      <c r="F103" s="219"/>
      <c r="G103" s="219"/>
      <c r="H103" s="219"/>
      <c r="I103" s="219"/>
      <c r="J103" s="219"/>
      <c r="K103" s="219"/>
      <c r="L103" s="219"/>
      <c r="M103" s="221"/>
      <c r="N103" s="228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s="184" customFormat="1">
      <c r="A104" s="30"/>
      <c r="B104" s="30"/>
      <c r="C104" s="30"/>
      <c r="D104" s="219"/>
      <c r="E104" s="219"/>
      <c r="F104" s="219"/>
      <c r="G104" s="219"/>
      <c r="H104" s="219"/>
      <c r="I104" s="219"/>
      <c r="J104" s="219"/>
      <c r="K104" s="219"/>
      <c r="L104" s="219"/>
      <c r="M104" s="221"/>
      <c r="N104" s="228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s="184" customFormat="1">
      <c r="A105" s="30"/>
      <c r="B105" s="30"/>
      <c r="C105" s="30"/>
      <c r="D105" s="219"/>
      <c r="E105" s="219"/>
      <c r="F105" s="219"/>
      <c r="G105" s="219"/>
      <c r="H105" s="219"/>
      <c r="I105" s="219"/>
      <c r="J105" s="219"/>
      <c r="K105" s="219"/>
      <c r="L105" s="219"/>
      <c r="M105" s="221"/>
      <c r="N105" s="228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s="184" customFormat="1">
      <c r="A106" s="30"/>
      <c r="B106" s="30"/>
      <c r="C106" s="30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s="184" customFormat="1">
      <c r="A107" s="30"/>
      <c r="B107" s="30"/>
      <c r="C107" s="30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s="184" customFormat="1">
      <c r="A108" s="30"/>
      <c r="B108" s="30"/>
      <c r="C108" s="30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>
      <c r="A109" s="30"/>
      <c r="B109" s="30"/>
      <c r="C109" s="30"/>
      <c r="D109" s="219"/>
      <c r="E109" s="219"/>
      <c r="F109" s="219"/>
      <c r="G109" s="219"/>
      <c r="H109" s="219"/>
      <c r="I109" s="219"/>
      <c r="J109" s="225"/>
      <c r="K109" s="225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>
      <c r="A110" s="30"/>
      <c r="B110" s="30"/>
      <c r="C110" s="30"/>
      <c r="D110" s="219"/>
      <c r="E110" s="219"/>
      <c r="F110" s="219"/>
      <c r="G110" s="219"/>
      <c r="H110" s="219"/>
      <c r="I110" s="219"/>
      <c r="J110" s="225"/>
      <c r="K110" s="225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>
      <c r="A111" s="30"/>
      <c r="B111" s="30"/>
      <c r="C111" s="30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>
      <c r="A112" s="30"/>
      <c r="B112" s="30"/>
      <c r="C112" s="30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>
      <c r="A113" s="30"/>
      <c r="B113" s="30"/>
      <c r="C113" s="30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>
      <c r="A114" s="30"/>
      <c r="B114" s="30"/>
      <c r="C114" s="30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>
      <c r="A115" s="30"/>
      <c r="B115" s="30"/>
      <c r="C115" s="30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>
      <c r="A116" s="30"/>
      <c r="B116" s="30"/>
      <c r="C116" s="30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>
      <c r="A117" s="30"/>
      <c r="B117" s="30"/>
      <c r="C117" s="30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>
      <c r="A118" s="30"/>
      <c r="B118" s="30"/>
      <c r="C118" s="30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>
      <c r="A119" s="30"/>
      <c r="B119" s="30"/>
      <c r="C119" s="30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>
      <c r="A120" s="30"/>
      <c r="B120" s="30"/>
      <c r="C120" s="30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>
      <c r="A121" s="30"/>
      <c r="B121" s="30"/>
      <c r="C121" s="30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>
      <c r="A122" s="30"/>
      <c r="B122" s="30"/>
      <c r="C122" s="30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>
      <c r="A123" s="30"/>
      <c r="B123" s="30"/>
      <c r="C123" s="30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>
      <c r="A124" s="30"/>
      <c r="B124" s="30"/>
      <c r="C124" s="30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>
      <c r="A125" s="30"/>
      <c r="B125" s="30"/>
      <c r="C125" s="30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>
      <c r="A126" s="30"/>
      <c r="B126" s="30"/>
      <c r="C126" s="30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>
      <c r="A127" s="30"/>
      <c r="B127" s="30"/>
      <c r="C127" s="30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>
      <c r="A128" s="30"/>
      <c r="B128" s="30"/>
      <c r="C128" s="30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>
      <c r="A129" s="30"/>
      <c r="B129" s="30"/>
      <c r="C129" s="30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>
      <c r="A130" s="30"/>
      <c r="B130" s="30"/>
      <c r="C130" s="30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>
      <c r="A131" s="30"/>
      <c r="B131" s="30"/>
      <c r="C131" s="30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>
      <c r="A132" s="30"/>
      <c r="B132" s="30"/>
      <c r="C132" s="30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>
      <c r="A133" s="30"/>
      <c r="B133" s="30"/>
      <c r="C133" s="30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>
      <c r="A134" s="30"/>
      <c r="B134" s="30"/>
      <c r="C134" s="30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>
      <c r="A135" s="30"/>
      <c r="B135" s="30"/>
      <c r="C135" s="30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>
      <c r="A136" s="30"/>
      <c r="B136" s="30"/>
      <c r="C136" s="30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>
      <c r="A137" s="30"/>
      <c r="B137" s="30"/>
      <c r="C137" s="30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>
      <c r="A138" s="30"/>
      <c r="B138" s="30"/>
      <c r="C138" s="30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>
      <c r="A139" s="30"/>
      <c r="B139" s="30"/>
      <c r="C139" s="30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>
      <c r="A140" s="30"/>
      <c r="B140" s="30"/>
      <c r="C140" s="30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>
      <c r="A141" s="30"/>
      <c r="B141" s="30"/>
      <c r="C141" s="30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>
      <c r="A142" s="30"/>
      <c r="B142" s="30"/>
      <c r="C142" s="30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>
      <c r="A143" s="30"/>
      <c r="B143" s="30"/>
      <c r="C143" s="3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>
      <c r="A144" s="30"/>
      <c r="B144" s="30"/>
      <c r="C144" s="30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>
      <c r="A145" s="30"/>
      <c r="B145" s="30"/>
      <c r="C145" s="30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>
      <c r="A146" s="30"/>
      <c r="B146" s="30"/>
      <c r="C146" s="30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>
      <c r="A147" s="30"/>
      <c r="B147" s="30"/>
      <c r="C147" s="30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>
      <c r="A148" s="30"/>
      <c r="B148" s="30"/>
      <c r="C148" s="30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>
      <c r="A149" s="30"/>
      <c r="B149" s="30"/>
      <c r="C149" s="30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>
      <c r="A150" s="30"/>
      <c r="B150" s="30"/>
      <c r="C150" s="30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>
      <c r="A151" s="30"/>
      <c r="B151" s="30"/>
      <c r="C151" s="30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>
      <c r="A152" s="30"/>
      <c r="B152" s="30"/>
      <c r="C152" s="30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>
      <c r="A153" s="30"/>
      <c r="B153" s="30"/>
      <c r="C153" s="30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>
      <c r="A154" s="30"/>
      <c r="B154" s="30"/>
      <c r="C154" s="30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>
      <c r="A155" s="30"/>
      <c r="B155" s="30"/>
      <c r="C155" s="30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>
      <c r="A156" s="30"/>
      <c r="B156" s="30"/>
      <c r="C156" s="30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>
      <c r="A157" s="30"/>
      <c r="B157" s="30"/>
      <c r="C157" s="30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>
      <c r="A158" s="30"/>
      <c r="B158" s="30"/>
      <c r="C158" s="30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>
      <c r="A159" s="30"/>
      <c r="B159" s="30"/>
      <c r="C159" s="30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</sheetData>
  <sheetProtection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9" priority="16">
      <formula>J4&lt;&gt;0</formula>
    </cfRule>
  </conditionalFormatting>
  <conditionalFormatting sqref="V40:V63 R40:T70">
    <cfRule type="expression" dxfId="18" priority="13">
      <formula>ABS(R40)&gt;=10%</formula>
    </cfRule>
  </conditionalFormatting>
  <conditionalFormatting sqref="J28:W34 U4:W34">
    <cfRule type="expression" dxfId="17" priority="8">
      <formula>J4&lt;&gt;0</formula>
    </cfRule>
  </conditionalFormatting>
  <conditionalFormatting sqref="V64:V70">
    <cfRule type="expression" dxfId="16" priority="7">
      <formula>ABS(V64)&gt;=10%</formula>
    </cfRule>
  </conditionalFormatting>
  <conditionalFormatting sqref="AB39:AC39">
    <cfRule type="cellIs" dxfId="15" priority="6" operator="greaterThan">
      <formula>0.001</formula>
    </cfRule>
  </conditionalFormatting>
  <conditionalFormatting sqref="AB39:AC39">
    <cfRule type="cellIs" dxfId="14" priority="5" operator="lessThan">
      <formula>-0.001</formula>
    </cfRule>
  </conditionalFormatting>
  <conditionalFormatting sqref="AB40:AC52">
    <cfRule type="cellIs" dxfId="13" priority="4" operator="greaterThan">
      <formula>0.001</formula>
    </cfRule>
  </conditionalFormatting>
  <conditionalFormatting sqref="AB40:AC52">
    <cfRule type="cellIs" dxfId="12" priority="3" operator="lessThan">
      <formula>-0.001</formula>
    </cfRule>
  </conditionalFormatting>
  <conditionalFormatting sqref="AA4:AX14 AY11:BE12">
    <cfRule type="expression" dxfId="11" priority="2">
      <formula>AA4&lt;&gt;0</formula>
    </cfRule>
  </conditionalFormatting>
  <conditionalFormatting sqref="AY4:BE17 AA15:AX17">
    <cfRule type="expression" dxfId="10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2F3-D02A-9D44-BAA0-5F329E2E8528}">
  <sheetPr>
    <tabColor theme="5" tint="0.59999389629810485"/>
  </sheetPr>
  <dimension ref="A1:E14"/>
  <sheetViews>
    <sheetView workbookViewId="0">
      <selection activeCell="E18" sqref="E18"/>
    </sheetView>
  </sheetViews>
  <sheetFormatPr baseColWidth="10" defaultRowHeight="15"/>
  <cols>
    <col min="1" max="1" width="26.5" customWidth="1"/>
  </cols>
  <sheetData>
    <row r="1" spans="1:5">
      <c r="A1" t="s">
        <v>149</v>
      </c>
      <c r="B1">
        <v>307100</v>
      </c>
      <c r="C1">
        <v>304428.23</v>
      </c>
      <c r="D1">
        <v>0.60199999999999998</v>
      </c>
      <c r="E1">
        <v>0</v>
      </c>
    </row>
    <row r="2" spans="1:5">
      <c r="A2" t="s">
        <v>150</v>
      </c>
      <c r="B2">
        <v>109994</v>
      </c>
      <c r="C2">
        <v>109081.04980000001</v>
      </c>
      <c r="D2">
        <v>0.63300000000000001</v>
      </c>
      <c r="E2">
        <v>0</v>
      </c>
    </row>
    <row r="3" spans="1:5">
      <c r="A3" t="s">
        <v>175</v>
      </c>
      <c r="B3">
        <v>2148</v>
      </c>
      <c r="C3">
        <v>2132.9639999999999</v>
      </c>
      <c r="D3">
        <v>0.46800000000000003</v>
      </c>
      <c r="E3">
        <v>0</v>
      </c>
    </row>
    <row r="4" spans="1:5">
      <c r="A4" t="s">
        <v>152</v>
      </c>
      <c r="B4">
        <v>5474</v>
      </c>
      <c r="C4">
        <v>5441.1559999999999</v>
      </c>
      <c r="D4">
        <v>3257.0299999999997</v>
      </c>
      <c r="E4">
        <v>0</v>
      </c>
    </row>
    <row r="5" spans="1:5">
      <c r="A5" t="s">
        <v>154</v>
      </c>
      <c r="B5">
        <v>30340</v>
      </c>
      <c r="C5">
        <v>30157.96</v>
      </c>
      <c r="D5">
        <v>0.62960000000000005</v>
      </c>
      <c r="E5">
        <v>0</v>
      </c>
    </row>
    <row r="6" spans="1:5">
      <c r="A6" t="s">
        <v>176</v>
      </c>
      <c r="B6">
        <v>23467</v>
      </c>
      <c r="C6">
        <v>23302.731</v>
      </c>
      <c r="D6">
        <v>0.48899999999999999</v>
      </c>
      <c r="E6">
        <v>0</v>
      </c>
    </row>
    <row r="7" spans="1:5">
      <c r="A7" t="s">
        <v>155</v>
      </c>
      <c r="B7">
        <v>12195</v>
      </c>
      <c r="C7">
        <v>12195</v>
      </c>
      <c r="D7">
        <v>7268.2199999999993</v>
      </c>
      <c r="E7">
        <v>0</v>
      </c>
    </row>
    <row r="8" spans="1:5">
      <c r="A8" t="s">
        <v>156</v>
      </c>
      <c r="B8">
        <v>21746</v>
      </c>
      <c r="C8">
        <v>21580.7304</v>
      </c>
      <c r="D8">
        <v>13721.725999999999</v>
      </c>
      <c r="E8">
        <v>0</v>
      </c>
    </row>
    <row r="9" spans="1:5">
      <c r="A9" t="s">
        <v>153</v>
      </c>
      <c r="B9">
        <v>0</v>
      </c>
      <c r="C9">
        <v>0</v>
      </c>
      <c r="D9">
        <v>0</v>
      </c>
      <c r="E9">
        <v>1.15E-2</v>
      </c>
    </row>
    <row r="10" spans="1:5">
      <c r="A10" t="s">
        <v>206</v>
      </c>
      <c r="B10">
        <v>0</v>
      </c>
      <c r="C10">
        <v>0</v>
      </c>
      <c r="D10">
        <v>0</v>
      </c>
      <c r="E10">
        <v>0</v>
      </c>
    </row>
    <row r="11" spans="1:5">
      <c r="A11" t="s">
        <v>143</v>
      </c>
      <c r="B11">
        <v>0</v>
      </c>
      <c r="C11">
        <v>0</v>
      </c>
      <c r="D11">
        <v>0</v>
      </c>
      <c r="E11">
        <v>9.4999999999999998E-3</v>
      </c>
    </row>
    <row r="12" spans="1:5">
      <c r="A12" t="s">
        <v>197</v>
      </c>
      <c r="B12">
        <v>0</v>
      </c>
      <c r="C12">
        <v>0</v>
      </c>
      <c r="D12">
        <v>0</v>
      </c>
      <c r="E12">
        <v>0</v>
      </c>
    </row>
    <row r="13" spans="1:5">
      <c r="A13" t="s">
        <v>28</v>
      </c>
      <c r="B13">
        <v>0</v>
      </c>
      <c r="C13">
        <v>0</v>
      </c>
      <c r="D13">
        <v>0</v>
      </c>
      <c r="E13">
        <v>8.5000000000000006E-3</v>
      </c>
    </row>
    <row r="14" spans="1:5">
      <c r="A14" t="s">
        <v>207</v>
      </c>
      <c r="B14">
        <v>0</v>
      </c>
      <c r="C14">
        <v>0</v>
      </c>
      <c r="D14">
        <v>0</v>
      </c>
      <c r="E14">
        <v>1.15E-2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B1:N34"/>
  <sheetViews>
    <sheetView workbookViewId="0">
      <selection activeCell="N16" sqref="N16"/>
    </sheetView>
  </sheetViews>
  <sheetFormatPr baseColWidth="10" defaultRowHeight="15"/>
  <cols>
    <col min="1" max="1" width="15.83203125" customWidth="1"/>
    <col min="2" max="2" width="41.1640625" customWidth="1"/>
    <col min="3" max="3" width="10.83203125" style="237"/>
    <col min="6" max="6" width="32.33203125" customWidth="1"/>
    <col min="7" max="7" width="10.83203125" style="237"/>
    <col min="14" max="14" width="19" customWidth="1"/>
  </cols>
  <sheetData>
    <row r="1" spans="2:14">
      <c r="B1" s="232"/>
      <c r="C1" s="234"/>
      <c r="D1" s="233"/>
    </row>
    <row r="2" spans="2:14" ht="24">
      <c r="B2" s="318" t="s">
        <v>201</v>
      </c>
      <c r="C2" s="318"/>
      <c r="D2" s="318"/>
      <c r="F2" s="319" t="s">
        <v>203</v>
      </c>
      <c r="G2" s="319"/>
      <c r="H2" s="319"/>
      <c r="J2" s="320" t="s">
        <v>204</v>
      </c>
      <c r="K2" s="321"/>
      <c r="L2" s="238"/>
      <c r="M2" s="239" t="s">
        <v>87</v>
      </c>
      <c r="N2" s="240" t="s">
        <v>205</v>
      </c>
    </row>
    <row r="3" spans="2:14" ht="24">
      <c r="B3" s="230" t="s">
        <v>202</v>
      </c>
      <c r="C3" s="235" t="s">
        <v>60</v>
      </c>
      <c r="D3" s="231" t="s">
        <v>3</v>
      </c>
      <c r="F3" s="230" t="s">
        <v>202</v>
      </c>
      <c r="G3" s="235" t="s">
        <v>60</v>
      </c>
      <c r="H3" s="231" t="s">
        <v>3</v>
      </c>
      <c r="J3" s="241" t="s">
        <v>66</v>
      </c>
      <c r="K3" s="241" t="s">
        <v>61</v>
      </c>
      <c r="L3" s="242"/>
      <c r="M3" s="243"/>
      <c r="N3" s="243"/>
    </row>
    <row r="4" spans="2:14" ht="19">
      <c r="B4" s="217" t="s">
        <v>28</v>
      </c>
      <c r="C4" s="236">
        <f>Utilidad!A1</f>
        <v>635936.20200000005</v>
      </c>
      <c r="D4" s="26">
        <f>IF(Utilidad!C1&gt;1,Utilidad!C1/100,Utilidad!C1)</f>
        <v>0.53950295786000002</v>
      </c>
      <c r="F4" s="217" t="s">
        <v>28</v>
      </c>
      <c r="G4" s="236">
        <f>Utilidad!B1</f>
        <v>635936.20200000005</v>
      </c>
      <c r="H4" s="26">
        <f>IF(Utilidad!D1&gt;1,Utilidad!D1/100,Utilidad!D1)</f>
        <v>0.53950295786000002</v>
      </c>
      <c r="J4" s="244">
        <f>+IF(C4&lt;&gt;0,(G4-C4)/C4,ABS(G4-C4))</f>
        <v>0</v>
      </c>
      <c r="K4" s="244">
        <f>+IF(D4&lt;&gt;0,(H4-D4)/D4,0)</f>
        <v>0</v>
      </c>
      <c r="L4" s="245"/>
      <c r="M4" s="246">
        <f>+IF(J4&lt;&gt;"",ABS(J4),0)</f>
        <v>0</v>
      </c>
      <c r="N4" s="246">
        <f>+IF(J4&lt;&gt;"",ABS(K4),0)</f>
        <v>0</v>
      </c>
    </row>
    <row r="5" spans="2:14" ht="19">
      <c r="B5" s="217" t="s">
        <v>69</v>
      </c>
      <c r="C5" s="236">
        <f>Utilidad!A2</f>
        <v>0</v>
      </c>
      <c r="D5" s="26">
        <f>IF(Utilidad!C2&gt;1,Utilidad!C2/100,Utilidad!C2)</f>
        <v>0</v>
      </c>
      <c r="F5" s="217" t="s">
        <v>69</v>
      </c>
      <c r="G5" s="236">
        <f>Utilidad!B2</f>
        <v>0</v>
      </c>
      <c r="H5" s="26">
        <f>IF(Utilidad!D2&gt;1,Utilidad!D2/100,Utilidad!D2)</f>
        <v>0</v>
      </c>
      <c r="J5" s="244">
        <f t="shared" ref="J5:J34" si="0">+IF(C5&lt;&gt;0,(G5-C5)/C5,ABS(G5-C5))</f>
        <v>0</v>
      </c>
      <c r="K5" s="244">
        <f t="shared" ref="K5:K34" si="1">+IF(D5&lt;&gt;0,(H5-D5)/D5,0)</f>
        <v>0</v>
      </c>
      <c r="L5" s="245"/>
      <c r="M5" s="246">
        <f t="shared" ref="M5:M34" si="2">+IF(J5&lt;&gt;"",ABS(J5),0)</f>
        <v>0</v>
      </c>
      <c r="N5" s="246">
        <f t="shared" ref="N5:N34" si="3">+IF(J5&lt;&gt;"",ABS(K5),0)</f>
        <v>0</v>
      </c>
    </row>
    <row r="6" spans="2:14" ht="19">
      <c r="B6" s="217" t="s">
        <v>29</v>
      </c>
      <c r="C6" s="236">
        <f>Utilidad!A3</f>
        <v>21556.786400000001</v>
      </c>
      <c r="D6" s="26">
        <f>IF(Utilidad!C3&gt;1,Utilidad!C3/100,Utilidad!C3)</f>
        <v>0.63023373883</v>
      </c>
      <c r="F6" s="217" t="s">
        <v>29</v>
      </c>
      <c r="G6" s="236">
        <f>Utilidad!B3</f>
        <v>21556.786400000001</v>
      </c>
      <c r="H6" s="26">
        <f>IF(Utilidad!D3&gt;1,Utilidad!D3/100,Utilidad!D3)</f>
        <v>0.63023373883</v>
      </c>
      <c r="J6" s="244">
        <f t="shared" si="0"/>
        <v>0</v>
      </c>
      <c r="K6" s="244">
        <f t="shared" si="1"/>
        <v>0</v>
      </c>
      <c r="L6" s="245"/>
      <c r="M6" s="246">
        <f t="shared" si="2"/>
        <v>0</v>
      </c>
      <c r="N6" s="246">
        <f t="shared" si="3"/>
        <v>0</v>
      </c>
    </row>
    <row r="7" spans="2:14" ht="19">
      <c r="B7" s="217" t="s">
        <v>33</v>
      </c>
      <c r="C7" s="236">
        <f>Utilidad!A4</f>
        <v>-21556.786400000001</v>
      </c>
      <c r="D7" s="26">
        <f>IF(Utilidad!C4&gt;1,Utilidad!C4/100,Utilidad!C4)</f>
        <v>0.63023373883</v>
      </c>
      <c r="F7" s="217" t="s">
        <v>33</v>
      </c>
      <c r="G7" s="236">
        <f>Utilidad!B4</f>
        <v>-21556.786400000001</v>
      </c>
      <c r="H7" s="26">
        <f>IF(Utilidad!D4&gt;1,Utilidad!D4/100,Utilidad!D4)</f>
        <v>0.63023373883</v>
      </c>
      <c r="J7" s="244">
        <f t="shared" si="0"/>
        <v>0</v>
      </c>
      <c r="K7" s="244">
        <f t="shared" si="1"/>
        <v>0</v>
      </c>
      <c r="L7" s="245"/>
      <c r="M7" s="246">
        <f t="shared" si="2"/>
        <v>0</v>
      </c>
      <c r="N7" s="246">
        <f t="shared" si="3"/>
        <v>0</v>
      </c>
    </row>
    <row r="8" spans="2:14" ht="19">
      <c r="B8" s="217" t="s">
        <v>30</v>
      </c>
      <c r="C8" s="236">
        <f>Utilidad!A5</f>
        <v>635936.20200000005</v>
      </c>
      <c r="D8" s="26">
        <f>IF(Utilidad!C5&gt;1,Utilidad!C5/100,Utilidad!C5)</f>
        <v>0.53950295786000002</v>
      </c>
      <c r="F8" s="217" t="s">
        <v>30</v>
      </c>
      <c r="G8" s="236">
        <f>Utilidad!B5</f>
        <v>635936.20200000005</v>
      </c>
      <c r="H8" s="26">
        <f>IF(Utilidad!D5&gt;1,Utilidad!D5/100,Utilidad!D5)</f>
        <v>0.53950295786000002</v>
      </c>
      <c r="J8" s="244">
        <f t="shared" si="0"/>
        <v>0</v>
      </c>
      <c r="K8" s="244">
        <f t="shared" si="1"/>
        <v>0</v>
      </c>
      <c r="L8" s="245"/>
      <c r="M8" s="246">
        <f t="shared" si="2"/>
        <v>0</v>
      </c>
      <c r="N8" s="246">
        <f t="shared" si="3"/>
        <v>0</v>
      </c>
    </row>
    <row r="9" spans="2:14" ht="19">
      <c r="B9" s="217" t="s">
        <v>31</v>
      </c>
      <c r="C9" s="236">
        <f>Utilidad!A6</f>
        <v>0</v>
      </c>
      <c r="D9" s="26">
        <f>IF(Utilidad!C6&gt;1,Utilidad!C6/100,Utilidad!C6)</f>
        <v>0</v>
      </c>
      <c r="F9" s="217" t="s">
        <v>31</v>
      </c>
      <c r="G9" s="236">
        <f>Utilidad!B6</f>
        <v>0</v>
      </c>
      <c r="H9" s="26">
        <f>IF(Utilidad!D6&gt;1,Utilidad!D6/100,Utilidad!D6)</f>
        <v>0</v>
      </c>
      <c r="J9" s="244">
        <f t="shared" si="0"/>
        <v>0</v>
      </c>
      <c r="K9" s="244">
        <f t="shared" si="1"/>
        <v>0</v>
      </c>
      <c r="L9" s="245"/>
      <c r="M9" s="246">
        <f t="shared" si="2"/>
        <v>0</v>
      </c>
      <c r="N9" s="246">
        <f t="shared" si="3"/>
        <v>0</v>
      </c>
    </row>
    <row r="10" spans="2:14" ht="19">
      <c r="B10" s="217" t="s">
        <v>32</v>
      </c>
      <c r="C10" s="236">
        <f>Utilidad!A7</f>
        <v>635936.20200000005</v>
      </c>
      <c r="D10" s="26">
        <f>IF(Utilidad!C7&gt;1,Utilidad!C7/100,Utilidad!C7)</f>
        <v>0.53950295786000002</v>
      </c>
      <c r="F10" s="217" t="s">
        <v>32</v>
      </c>
      <c r="G10" s="236">
        <f>Utilidad!B7</f>
        <v>635936.20200000005</v>
      </c>
      <c r="H10" s="26">
        <f>IF(Utilidad!D7&gt;1,Utilidad!D7/100,Utilidad!D7)</f>
        <v>0.53950295786000002</v>
      </c>
      <c r="J10" s="244">
        <f t="shared" si="0"/>
        <v>0</v>
      </c>
      <c r="K10" s="244">
        <f t="shared" si="1"/>
        <v>0</v>
      </c>
      <c r="L10" s="245"/>
      <c r="M10" s="246">
        <f t="shared" si="2"/>
        <v>0</v>
      </c>
      <c r="N10" s="246">
        <f t="shared" si="3"/>
        <v>0</v>
      </c>
    </row>
    <row r="11" spans="2:14" ht="19">
      <c r="B11" s="217" t="s">
        <v>34</v>
      </c>
      <c r="C11" s="236">
        <f>Utilidad!A8</f>
        <v>8158.0619999999999</v>
      </c>
      <c r="D11" s="26">
        <f>IF(Utilidad!C8&gt;1,Utilidad!C8/100,Utilidad!C8)</f>
        <v>0.53950295800000003</v>
      </c>
      <c r="F11" s="217" t="s">
        <v>34</v>
      </c>
      <c r="G11" s="236">
        <f>Utilidad!B8</f>
        <v>8158.0619999999999</v>
      </c>
      <c r="H11" s="26">
        <f>IF(Utilidad!D8&gt;1,Utilidad!D8/100,Utilidad!D8)</f>
        <v>0.53950295800000003</v>
      </c>
      <c r="J11" s="244">
        <f t="shared" si="0"/>
        <v>0</v>
      </c>
      <c r="K11" s="244">
        <f t="shared" si="1"/>
        <v>0</v>
      </c>
      <c r="L11" s="245"/>
      <c r="M11" s="246">
        <f t="shared" si="2"/>
        <v>0</v>
      </c>
      <c r="N11" s="246">
        <f t="shared" si="3"/>
        <v>0</v>
      </c>
    </row>
    <row r="12" spans="2:14" ht="19">
      <c r="B12" s="217" t="s">
        <v>70</v>
      </c>
      <c r="C12" s="236">
        <f>Utilidad!A9</f>
        <v>627778.14</v>
      </c>
      <c r="D12" s="26">
        <f>IF(Utilidad!C9&gt;1,Utilidad!C9/100,Utilidad!C9)</f>
        <v>0.53950295786000002</v>
      </c>
      <c r="F12" s="217" t="s">
        <v>70</v>
      </c>
      <c r="G12" s="236">
        <f>Utilidad!B9</f>
        <v>627778.14</v>
      </c>
      <c r="H12" s="26">
        <f>IF(Utilidad!D9&gt;1,Utilidad!D9/100,Utilidad!D9)</f>
        <v>0.53950295786000002</v>
      </c>
      <c r="J12" s="244">
        <f t="shared" si="0"/>
        <v>0</v>
      </c>
      <c r="K12" s="244">
        <f t="shared" si="1"/>
        <v>0</v>
      </c>
      <c r="L12" s="245"/>
      <c r="M12" s="246">
        <f t="shared" si="2"/>
        <v>0</v>
      </c>
      <c r="N12" s="246">
        <f t="shared" si="3"/>
        <v>0</v>
      </c>
    </row>
    <row r="13" spans="2:14" ht="19">
      <c r="B13" s="217" t="s">
        <v>172</v>
      </c>
      <c r="C13" s="236">
        <f>Utilidad!A10</f>
        <v>0</v>
      </c>
      <c r="D13" s="26">
        <f>IF(Utilidad!C10&gt;1,Utilidad!C10/100,Utilidad!C10)</f>
        <v>0</v>
      </c>
      <c r="F13" s="217" t="s">
        <v>172</v>
      </c>
      <c r="G13" s="236">
        <f>Utilidad!B10</f>
        <v>0</v>
      </c>
      <c r="H13" s="26">
        <f>IF(Utilidad!D10&gt;1,Utilidad!D10/100,Utilidad!D10)</f>
        <v>0</v>
      </c>
      <c r="J13" s="244">
        <f t="shared" si="0"/>
        <v>0</v>
      </c>
      <c r="K13" s="244">
        <f t="shared" si="1"/>
        <v>0</v>
      </c>
      <c r="L13" s="245"/>
      <c r="M13" s="246">
        <f t="shared" si="2"/>
        <v>0</v>
      </c>
      <c r="N13" s="246">
        <f t="shared" si="3"/>
        <v>0</v>
      </c>
    </row>
    <row r="14" spans="2:14" ht="19">
      <c r="B14" s="217" t="s">
        <v>35</v>
      </c>
      <c r="C14" s="236">
        <f>Utilidad!A11</f>
        <v>57468.221721000002</v>
      </c>
      <c r="D14" s="26">
        <f>IF(Utilidad!C11&gt;1,Utilidad!C11/100,Utilidad!C11)</f>
        <v>0.58591834491000006</v>
      </c>
      <c r="F14" s="217" t="s">
        <v>35</v>
      </c>
      <c r="G14" s="236">
        <f>Utilidad!B11</f>
        <v>57468.221721000002</v>
      </c>
      <c r="H14" s="26">
        <f>IF(Utilidad!D11&gt;1,Utilidad!D11/100,Utilidad!D11)</f>
        <v>0.58591834491000006</v>
      </c>
      <c r="J14" s="244">
        <f t="shared" si="0"/>
        <v>0</v>
      </c>
      <c r="K14" s="244">
        <f t="shared" si="1"/>
        <v>0</v>
      </c>
      <c r="L14" s="245"/>
      <c r="M14" s="246">
        <f t="shared" si="2"/>
        <v>0</v>
      </c>
      <c r="N14" s="246">
        <f t="shared" si="3"/>
        <v>0</v>
      </c>
    </row>
    <row r="15" spans="2:14" ht="19">
      <c r="B15" s="217" t="s">
        <v>72</v>
      </c>
      <c r="C15" s="236">
        <f>Utilidad!A12</f>
        <v>52451.256800000003</v>
      </c>
      <c r="D15" s="26">
        <f>IF(Utilidad!C12&gt;1,Utilidad!C12/100,Utilidad!C12)</f>
        <v>0.61664549999999996</v>
      </c>
      <c r="F15" s="217" t="s">
        <v>72</v>
      </c>
      <c r="G15" s="236">
        <f>Utilidad!B12</f>
        <v>52451.256800000003</v>
      </c>
      <c r="H15" s="26">
        <f>IF(Utilidad!D12&gt;1,Utilidad!D12/100,Utilidad!D12)</f>
        <v>0.61664549999999996</v>
      </c>
      <c r="J15" s="244">
        <f t="shared" si="0"/>
        <v>0</v>
      </c>
      <c r="K15" s="244">
        <f t="shared" si="1"/>
        <v>0</v>
      </c>
      <c r="L15" s="245"/>
      <c r="M15" s="246">
        <f t="shared" si="2"/>
        <v>0</v>
      </c>
      <c r="N15" s="246">
        <f t="shared" si="3"/>
        <v>0</v>
      </c>
    </row>
    <row r="16" spans="2:14" ht="19">
      <c r="B16" s="217" t="s">
        <v>71</v>
      </c>
      <c r="C16" s="236">
        <f>Utilidad!A13</f>
        <v>519665.78352</v>
      </c>
      <c r="D16" s="26">
        <f>IF(Utilidad!C13&gt;1,Utilidad!C13/100,Utilidad!C13)</f>
        <v>0.60820495416999998</v>
      </c>
      <c r="F16" s="217" t="s">
        <v>71</v>
      </c>
      <c r="G16" s="236">
        <f>Utilidad!B13</f>
        <v>519665.78352</v>
      </c>
      <c r="H16" s="26">
        <f>IF(Utilidad!D13&gt;1,Utilidad!D13/100,Utilidad!D13)</f>
        <v>0.60820495416999998</v>
      </c>
      <c r="J16" s="244">
        <f t="shared" si="0"/>
        <v>0</v>
      </c>
      <c r="K16" s="244">
        <f t="shared" si="1"/>
        <v>0</v>
      </c>
      <c r="L16" s="245"/>
      <c r="M16" s="246">
        <f t="shared" si="2"/>
        <v>0</v>
      </c>
      <c r="N16" s="246">
        <f t="shared" si="3"/>
        <v>0</v>
      </c>
    </row>
    <row r="17" spans="2:14" ht="19">
      <c r="B17" s="217" t="s">
        <v>86</v>
      </c>
      <c r="C17" s="236">
        <f>Utilidad!A14</f>
        <v>108112.35648</v>
      </c>
      <c r="D17" s="26">
        <f>IF(Utilidad!C14&gt;1,Utilidad!C14/100,Utilidad!C14)</f>
        <v>0.20927172525000001</v>
      </c>
      <c r="F17" s="217" t="s">
        <v>86</v>
      </c>
      <c r="G17" s="236">
        <f>Utilidad!B14</f>
        <v>108112.35648</v>
      </c>
      <c r="H17" s="26">
        <f>IF(Utilidad!D14&gt;1,Utilidad!D14/100,Utilidad!D14)</f>
        <v>0.20927172525000001</v>
      </c>
      <c r="J17" s="244">
        <f t="shared" si="0"/>
        <v>0</v>
      </c>
      <c r="K17" s="244">
        <f t="shared" si="1"/>
        <v>0</v>
      </c>
      <c r="L17" s="245"/>
      <c r="M17" s="246">
        <f t="shared" si="2"/>
        <v>0</v>
      </c>
      <c r="N17" s="246">
        <f t="shared" si="3"/>
        <v>0</v>
      </c>
    </row>
    <row r="18" spans="2:14" ht="19">
      <c r="B18" s="217" t="s">
        <v>73</v>
      </c>
      <c r="C18" s="236">
        <f>Utilidad!A15</f>
        <v>19394.5455</v>
      </c>
      <c r="D18" s="26">
        <f>IF(Utilidad!C15&gt;1,Utilidad!C15/100,Utilidad!C15)</f>
        <v>0.19782955895000001</v>
      </c>
      <c r="F18" s="217" t="s">
        <v>73</v>
      </c>
      <c r="G18" s="236">
        <f>Utilidad!B15</f>
        <v>19394.5455</v>
      </c>
      <c r="H18" s="26">
        <f>IF(Utilidad!D15&gt;1,Utilidad!D15/100,Utilidad!D15)</f>
        <v>0.19782955895000001</v>
      </c>
      <c r="J18" s="244">
        <f t="shared" si="0"/>
        <v>0</v>
      </c>
      <c r="K18" s="244">
        <f t="shared" si="1"/>
        <v>0</v>
      </c>
      <c r="L18" s="245"/>
      <c r="M18" s="246">
        <f t="shared" si="2"/>
        <v>0</v>
      </c>
      <c r="N18" s="246">
        <f t="shared" si="3"/>
        <v>0</v>
      </c>
    </row>
    <row r="19" spans="2:14" ht="19">
      <c r="B19" s="217" t="s">
        <v>200</v>
      </c>
      <c r="C19" s="236">
        <f>Utilidad!A16</f>
        <v>88717.810979000002</v>
      </c>
      <c r="D19" s="26">
        <f>IF(Utilidad!C16&gt;1,Utilidad!C16/100,Utilidad!C16)</f>
        <v>0.21177309011000001</v>
      </c>
      <c r="F19" s="217" t="s">
        <v>200</v>
      </c>
      <c r="G19" s="236">
        <f>Utilidad!B16</f>
        <v>88717.810979000002</v>
      </c>
      <c r="H19" s="26">
        <f>IF(Utilidad!D16&gt;1,Utilidad!D16/100,Utilidad!D16)</f>
        <v>0.21177309011000001</v>
      </c>
      <c r="J19" s="244">
        <f t="shared" si="0"/>
        <v>0</v>
      </c>
      <c r="K19" s="244">
        <f t="shared" si="1"/>
        <v>0</v>
      </c>
      <c r="L19" s="245"/>
      <c r="M19" s="246">
        <f t="shared" si="2"/>
        <v>0</v>
      </c>
      <c r="N19" s="246">
        <f t="shared" si="3"/>
        <v>0</v>
      </c>
    </row>
    <row r="20" spans="2:14" ht="19">
      <c r="B20" s="217" t="s">
        <v>37</v>
      </c>
      <c r="C20" s="236">
        <f>Utilidad!A17</f>
        <v>-45958.833721000003</v>
      </c>
      <c r="D20" s="26">
        <f>IF(Utilidad!C17&gt;1,Utilidad!C17/100,Utilidad!C17)</f>
        <v>0.177288</v>
      </c>
      <c r="F20" s="217" t="s">
        <v>37</v>
      </c>
      <c r="G20" s="236">
        <f>Utilidad!B17</f>
        <v>-45958.833721000003</v>
      </c>
      <c r="H20" s="26">
        <f>IF(Utilidad!D17&gt;1,Utilidad!D17/100,Utilidad!D17)</f>
        <v>0.177288</v>
      </c>
      <c r="J20" s="244">
        <f t="shared" si="0"/>
        <v>0</v>
      </c>
      <c r="K20" s="244">
        <f t="shared" si="1"/>
        <v>0</v>
      </c>
      <c r="L20" s="245"/>
      <c r="M20" s="246">
        <f t="shared" si="2"/>
        <v>0</v>
      </c>
      <c r="N20" s="246">
        <f t="shared" si="3"/>
        <v>0</v>
      </c>
    </row>
    <row r="21" spans="2:14" ht="19">
      <c r="B21" s="217" t="s">
        <v>131</v>
      </c>
      <c r="C21" s="236">
        <f>Utilidad!A18</f>
        <v>65353.379221000003</v>
      </c>
      <c r="D21" s="26">
        <f>IF(Utilidad!C18&gt;1,Utilidad!C18/100,Utilidad!C18)</f>
        <v>0.18338399999999999</v>
      </c>
      <c r="F21" s="217" t="s">
        <v>131</v>
      </c>
      <c r="G21" s="236">
        <f>Utilidad!B18</f>
        <v>65353.379221000003</v>
      </c>
      <c r="H21" s="26">
        <f>IF(Utilidad!D18&gt;1,Utilidad!D18/100,Utilidad!D18)</f>
        <v>0.18338399999999999</v>
      </c>
      <c r="J21" s="244">
        <f t="shared" si="0"/>
        <v>0</v>
      </c>
      <c r="K21" s="244">
        <f t="shared" si="1"/>
        <v>0</v>
      </c>
      <c r="L21" s="245"/>
      <c r="M21" s="246">
        <f t="shared" si="2"/>
        <v>0</v>
      </c>
      <c r="N21" s="246">
        <f t="shared" si="3"/>
        <v>0</v>
      </c>
    </row>
    <row r="22" spans="2:14" ht="19">
      <c r="B22" s="217" t="s">
        <v>74</v>
      </c>
      <c r="C22" s="236">
        <f>Utilidad!A19</f>
        <v>154071.19020000001</v>
      </c>
      <c r="D22" s="26">
        <f>IF(Utilidad!C19&gt;1,Utilidad!C19/100,Utilidad!C19)</f>
        <v>0.19973110504</v>
      </c>
      <c r="F22" s="217" t="s">
        <v>74</v>
      </c>
      <c r="G22" s="236">
        <f>Utilidad!B19</f>
        <v>154071.19020000001</v>
      </c>
      <c r="H22" s="26">
        <f>IF(Utilidad!D19&gt;1,Utilidad!D19/100,Utilidad!D19)</f>
        <v>0.19973110504</v>
      </c>
      <c r="J22" s="244">
        <f t="shared" si="0"/>
        <v>0</v>
      </c>
      <c r="K22" s="244">
        <f t="shared" si="1"/>
        <v>0</v>
      </c>
      <c r="L22" s="245"/>
      <c r="M22" s="246">
        <f t="shared" si="2"/>
        <v>0</v>
      </c>
      <c r="N22" s="246">
        <f t="shared" si="3"/>
        <v>0</v>
      </c>
    </row>
    <row r="23" spans="2:14" ht="19">
      <c r="B23" s="217" t="s">
        <v>38</v>
      </c>
      <c r="C23" s="236">
        <f>Utilidad!A20</f>
        <v>129854.1048</v>
      </c>
      <c r="D23" s="26">
        <f>IF(Utilidad!C20&gt;1,Utilidad!C20/100,Utilidad!C20)</f>
        <v>0.14616000000000001</v>
      </c>
      <c r="F23" s="217" t="s">
        <v>38</v>
      </c>
      <c r="G23" s="236">
        <f>Utilidad!B20</f>
        <v>129854.1048</v>
      </c>
      <c r="H23" s="26">
        <f>IF(Utilidad!D20&gt;1,Utilidad!D20/100,Utilidad!D20)</f>
        <v>0.14616000000000001</v>
      </c>
      <c r="J23" s="244">
        <f t="shared" si="0"/>
        <v>0</v>
      </c>
      <c r="K23" s="244">
        <f t="shared" si="1"/>
        <v>0</v>
      </c>
      <c r="L23" s="245"/>
      <c r="M23" s="246">
        <f t="shared" si="2"/>
        <v>0</v>
      </c>
      <c r="N23" s="246">
        <f t="shared" si="3"/>
        <v>0</v>
      </c>
    </row>
    <row r="24" spans="2:14" ht="19">
      <c r="B24" s="217" t="s">
        <v>132</v>
      </c>
      <c r="C24" s="236">
        <f>Utilidad!A21</f>
        <v>24217.0854</v>
      </c>
      <c r="D24" s="26">
        <f>IF(Utilidad!C21&gt;1,Utilidad!C21/100,Utilidad!C21)</f>
        <v>0.48698399999999997</v>
      </c>
      <c r="F24" s="217" t="s">
        <v>132</v>
      </c>
      <c r="G24" s="236">
        <f>Utilidad!B21</f>
        <v>24217.0854</v>
      </c>
      <c r="H24" s="26">
        <f>IF(Utilidad!D21&gt;1,Utilidad!D21/100,Utilidad!D21)</f>
        <v>0.48698399999999997</v>
      </c>
      <c r="J24" s="244">
        <f t="shared" si="0"/>
        <v>0</v>
      </c>
      <c r="K24" s="244">
        <f t="shared" si="1"/>
        <v>0</v>
      </c>
      <c r="L24" s="245"/>
      <c r="M24" s="246">
        <f t="shared" si="2"/>
        <v>0</v>
      </c>
      <c r="N24" s="246">
        <f t="shared" si="3"/>
        <v>0</v>
      </c>
    </row>
    <row r="25" spans="2:14" ht="19">
      <c r="B25" s="217" t="s">
        <v>5</v>
      </c>
      <c r="C25" s="236">
        <f>Utilidad!A22</f>
        <v>-1218.6096</v>
      </c>
      <c r="D25" s="26">
        <f>IF(Utilidad!C22&gt;1,Utilidad!C22/100,Utilidad!C22)</f>
        <v>0.49230655541000001</v>
      </c>
      <c r="F25" s="217" t="s">
        <v>5</v>
      </c>
      <c r="G25" s="236">
        <f>Utilidad!B22</f>
        <v>-1218.6096</v>
      </c>
      <c r="H25" s="26">
        <f>IF(Utilidad!D22&gt;1,Utilidad!D22/100,Utilidad!D22)</f>
        <v>0.49230655541000001</v>
      </c>
      <c r="J25" s="244">
        <f t="shared" si="0"/>
        <v>0</v>
      </c>
      <c r="K25" s="244">
        <f t="shared" si="1"/>
        <v>0</v>
      </c>
      <c r="L25" s="245"/>
      <c r="M25" s="246">
        <f t="shared" si="2"/>
        <v>0</v>
      </c>
      <c r="N25" s="246">
        <f t="shared" si="3"/>
        <v>0</v>
      </c>
    </row>
    <row r="26" spans="2:14" ht="19">
      <c r="B26" s="217" t="s">
        <v>39</v>
      </c>
      <c r="C26" s="236">
        <f>Utilidad!A23</f>
        <v>25435.695</v>
      </c>
      <c r="D26" s="26">
        <f>IF(Utilidad!C23&gt;1,Utilidad!C23/100,Utilidad!C23)</f>
        <v>0.48723900059000003</v>
      </c>
      <c r="F26" s="217" t="s">
        <v>39</v>
      </c>
      <c r="G26" s="236">
        <f>Utilidad!B23</f>
        <v>25435.695</v>
      </c>
      <c r="H26" s="26">
        <f>IF(Utilidad!D23&gt;1,Utilidad!D23/100,Utilidad!D23)</f>
        <v>0.48723900059000003</v>
      </c>
      <c r="J26" s="244">
        <f t="shared" si="0"/>
        <v>0</v>
      </c>
      <c r="K26" s="244">
        <f t="shared" si="1"/>
        <v>0</v>
      </c>
      <c r="L26" s="245"/>
      <c r="M26" s="246">
        <f t="shared" si="2"/>
        <v>0</v>
      </c>
      <c r="N26" s="246">
        <f t="shared" si="3"/>
        <v>0</v>
      </c>
    </row>
    <row r="27" spans="2:14" ht="19">
      <c r="B27" s="217" t="s">
        <v>40</v>
      </c>
      <c r="C27" s="236">
        <f>Utilidad!A24</f>
        <v>409746.30499999999</v>
      </c>
      <c r="D27" s="26">
        <f>IF(Utilidad!C24&gt;1,Utilidad!C24/100,Utilidad!C24)</f>
        <v>0.61025025525999999</v>
      </c>
      <c r="F27" s="217" t="s">
        <v>40</v>
      </c>
      <c r="G27" s="236">
        <f>Utilidad!B24</f>
        <v>409746.30499999999</v>
      </c>
      <c r="H27" s="26">
        <f>IF(Utilidad!D24&gt;1,Utilidad!D24/100,Utilidad!D24)</f>
        <v>0.61025025525999999</v>
      </c>
      <c r="J27" s="244">
        <f t="shared" si="0"/>
        <v>0</v>
      </c>
      <c r="K27" s="244">
        <f t="shared" si="1"/>
        <v>0</v>
      </c>
      <c r="L27" s="245"/>
      <c r="M27" s="246">
        <f t="shared" si="2"/>
        <v>0</v>
      </c>
      <c r="N27" s="246">
        <f t="shared" si="3"/>
        <v>0</v>
      </c>
    </row>
    <row r="28" spans="2:14" ht="19">
      <c r="B28" s="217" t="s">
        <v>177</v>
      </c>
      <c r="C28" s="236">
        <f>Utilidad!A25</f>
        <v>0</v>
      </c>
      <c r="D28" s="26">
        <f>IF(Utilidad!C25&gt;1,Utilidad!C25/100,Utilidad!C25)</f>
        <v>0</v>
      </c>
      <c r="F28" s="217" t="s">
        <v>177</v>
      </c>
      <c r="G28" s="236">
        <f>Utilidad!B25</f>
        <v>0</v>
      </c>
      <c r="H28" s="26">
        <f>IF(Utilidad!D25&gt;1,Utilidad!D25/100,Utilidad!D25)</f>
        <v>0</v>
      </c>
      <c r="J28" s="244">
        <f t="shared" si="0"/>
        <v>0</v>
      </c>
      <c r="K28" s="244">
        <f t="shared" si="1"/>
        <v>0</v>
      </c>
      <c r="L28" s="245"/>
      <c r="M28" s="246">
        <f t="shared" si="2"/>
        <v>0</v>
      </c>
      <c r="N28" s="246">
        <f t="shared" si="3"/>
        <v>0</v>
      </c>
    </row>
    <row r="29" spans="2:14" ht="19">
      <c r="B29" s="217" t="s">
        <v>178</v>
      </c>
      <c r="C29" s="236">
        <f>Utilidad!A26</f>
        <v>0</v>
      </c>
      <c r="D29" s="26">
        <f>IF(Utilidad!C26&gt;1,Utilidad!C26/100,Utilidad!C26)</f>
        <v>0</v>
      </c>
      <c r="F29" s="217" t="s">
        <v>178</v>
      </c>
      <c r="G29" s="236">
        <f>Utilidad!B26</f>
        <v>0</v>
      </c>
      <c r="H29" s="26">
        <f>IF(Utilidad!D26&gt;1,Utilidad!D26/100,Utilidad!D26)</f>
        <v>0</v>
      </c>
      <c r="J29" s="244">
        <f t="shared" si="0"/>
        <v>0</v>
      </c>
      <c r="K29" s="244">
        <f t="shared" si="1"/>
        <v>0</v>
      </c>
      <c r="L29" s="245"/>
      <c r="M29" s="246">
        <f t="shared" si="2"/>
        <v>0</v>
      </c>
      <c r="N29" s="246">
        <f t="shared" si="3"/>
        <v>0</v>
      </c>
    </row>
    <row r="30" spans="2:14" ht="19">
      <c r="B30" s="217" t="s">
        <v>179</v>
      </c>
      <c r="C30" s="236">
        <f>Utilidad!A27</f>
        <v>0</v>
      </c>
      <c r="D30" s="26">
        <f>IF(Utilidad!C27&gt;1,Utilidad!C27/100,Utilidad!C27)</f>
        <v>0</v>
      </c>
      <c r="F30" s="217" t="s">
        <v>179</v>
      </c>
      <c r="G30" s="236">
        <f>Utilidad!B27</f>
        <v>0</v>
      </c>
      <c r="H30" s="26">
        <f>IF(Utilidad!D27&gt;1,Utilidad!D27/100,Utilidad!D27)</f>
        <v>0</v>
      </c>
      <c r="J30" s="244">
        <f t="shared" si="0"/>
        <v>0</v>
      </c>
      <c r="K30" s="244">
        <f t="shared" si="1"/>
        <v>0</v>
      </c>
      <c r="L30" s="245"/>
      <c r="M30" s="246">
        <f t="shared" si="2"/>
        <v>0</v>
      </c>
      <c r="N30" s="246">
        <f t="shared" si="3"/>
        <v>0</v>
      </c>
    </row>
    <row r="31" spans="2:14" ht="19">
      <c r="B31" s="217" t="s">
        <v>181</v>
      </c>
      <c r="C31" s="236">
        <f>Utilidad!A28</f>
        <v>0</v>
      </c>
      <c r="D31" s="26">
        <f>IF(Utilidad!C28&gt;1,Utilidad!C28/100,Utilidad!C28)</f>
        <v>0</v>
      </c>
      <c r="F31" s="217" t="s">
        <v>181</v>
      </c>
      <c r="G31" s="236">
        <f>Utilidad!B28</f>
        <v>0</v>
      </c>
      <c r="H31" s="26">
        <f>IF(Utilidad!D28&gt;1,Utilidad!D28/100,Utilidad!D28)</f>
        <v>0</v>
      </c>
      <c r="J31" s="244">
        <f t="shared" si="0"/>
        <v>0</v>
      </c>
      <c r="K31" s="244">
        <f t="shared" si="1"/>
        <v>0</v>
      </c>
      <c r="L31" s="245"/>
      <c r="M31" s="246">
        <f t="shared" si="2"/>
        <v>0</v>
      </c>
      <c r="N31" s="246">
        <f t="shared" si="3"/>
        <v>0</v>
      </c>
    </row>
    <row r="32" spans="2:14" ht="19">
      <c r="B32" s="217" t="s">
        <v>180</v>
      </c>
      <c r="C32" s="236">
        <f>Utilidad!A29</f>
        <v>0</v>
      </c>
      <c r="D32" s="26">
        <f>IF(Utilidad!C29&gt;1,Utilidad!C29/100,Utilidad!C29)</f>
        <v>0</v>
      </c>
      <c r="F32" s="217" t="s">
        <v>180</v>
      </c>
      <c r="G32" s="236">
        <f>Utilidad!B29</f>
        <v>0</v>
      </c>
      <c r="H32" s="26">
        <f>IF(Utilidad!D29&gt;1,Utilidad!D29/100,Utilidad!D29)</f>
        <v>0</v>
      </c>
      <c r="J32" s="244">
        <f t="shared" si="0"/>
        <v>0</v>
      </c>
      <c r="K32" s="244">
        <f t="shared" si="1"/>
        <v>0</v>
      </c>
      <c r="L32" s="245"/>
      <c r="M32" s="246">
        <f t="shared" si="2"/>
        <v>0</v>
      </c>
      <c r="N32" s="246">
        <f t="shared" si="3"/>
        <v>0</v>
      </c>
    </row>
    <row r="33" spans="2:14" ht="19">
      <c r="B33" s="217" t="s">
        <v>182</v>
      </c>
      <c r="C33" s="236">
        <f>Utilidad!A30</f>
        <v>0</v>
      </c>
      <c r="D33" s="26">
        <f>IF(Utilidad!C30&gt;1,Utilidad!C30/100,Utilidad!C30)</f>
        <v>0</v>
      </c>
      <c r="F33" s="217" t="s">
        <v>182</v>
      </c>
      <c r="G33" s="236">
        <f>Utilidad!B30</f>
        <v>0</v>
      </c>
      <c r="H33" s="26">
        <f>IF(Utilidad!D30&gt;1,Utilidad!D30/100,Utilidad!D30)</f>
        <v>0</v>
      </c>
      <c r="J33" s="244">
        <f t="shared" si="0"/>
        <v>0</v>
      </c>
      <c r="K33" s="244">
        <f t="shared" si="1"/>
        <v>0</v>
      </c>
      <c r="L33" s="245"/>
      <c r="M33" s="246">
        <f t="shared" si="2"/>
        <v>0</v>
      </c>
      <c r="N33" s="246">
        <f t="shared" si="3"/>
        <v>0</v>
      </c>
    </row>
    <row r="34" spans="2:14" ht="19">
      <c r="B34" s="217" t="s">
        <v>183</v>
      </c>
      <c r="C34" s="236">
        <f>Utilidad!A31</f>
        <v>0</v>
      </c>
      <c r="D34" s="26">
        <f>IF(Utilidad!C31&gt;1,Utilidad!C31/100,Utilidad!C31)</f>
        <v>0</v>
      </c>
      <c r="F34" s="217" t="s">
        <v>183</v>
      </c>
      <c r="G34" s="236">
        <f>Utilidad!B31</f>
        <v>0</v>
      </c>
      <c r="H34" s="26">
        <f>IF(Utilidad!D31&gt;1,Utilidad!D31/100,Utilidad!D31)</f>
        <v>0</v>
      </c>
      <c r="J34" s="244">
        <f t="shared" si="0"/>
        <v>0</v>
      </c>
      <c r="K34" s="244">
        <f t="shared" si="1"/>
        <v>0</v>
      </c>
      <c r="L34" s="245"/>
      <c r="M34" s="246">
        <f t="shared" si="2"/>
        <v>0</v>
      </c>
      <c r="N34" s="246">
        <f t="shared" si="3"/>
        <v>0</v>
      </c>
    </row>
  </sheetData>
  <mergeCells count="3">
    <mergeCell ref="B2:D2"/>
    <mergeCell ref="F2:H2"/>
    <mergeCell ref="J2:K2"/>
  </mergeCells>
  <conditionalFormatting sqref="J4:K34">
    <cfRule type="expression" dxfId="9" priority="2">
      <formula>ABS(J4)&gt;=10%</formula>
    </cfRule>
  </conditionalFormatting>
  <conditionalFormatting sqref="L4:L34">
    <cfRule type="expression" dxfId="8" priority="1">
      <formula>ABS(L4)&gt;=10%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E16" zoomScale="110" zoomScaleNormal="110" workbookViewId="0">
      <selection activeCell="K34" sqref="K34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89" t="s">
        <v>173</v>
      </c>
      <c r="K3" s="188">
        <f>+I6/(1-'Datos Extra'!E13)</f>
        <v>641388</v>
      </c>
      <c r="L3" s="23">
        <f>+K4/K3</f>
        <v>1</v>
      </c>
      <c r="M3" s="23"/>
      <c r="O3" s="23"/>
      <c r="Q3" s="23"/>
      <c r="R3" s="23"/>
      <c r="S3" s="23"/>
      <c r="T3" s="91"/>
      <c r="X3" s="201"/>
      <c r="Y3" s="206"/>
      <c r="Z3" s="201"/>
      <c r="AA3" s="201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8">
        <v>641388</v>
      </c>
      <c r="L4" s="23">
        <f>1-L3</f>
        <v>0</v>
      </c>
      <c r="M4" s="23"/>
      <c r="N4" s="23"/>
      <c r="O4" s="23"/>
      <c r="Q4" s="23"/>
      <c r="R4" s="23"/>
      <c r="S4" s="23"/>
      <c r="T4" s="91"/>
      <c r="W4" s="184"/>
      <c r="X4" s="201"/>
      <c r="Y4" s="206"/>
      <c r="Z4" s="201"/>
      <c r="AA4" s="201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>
        <f>+K3-K4</f>
        <v>0</v>
      </c>
      <c r="L5" s="23"/>
      <c r="M5" s="23"/>
      <c r="N5" s="23"/>
      <c r="P5" s="184" t="s">
        <v>196</v>
      </c>
      <c r="Q5" s="184"/>
      <c r="R5" s="184"/>
      <c r="S5" s="200">
        <f>J19</f>
        <v>8158.0620000000345</v>
      </c>
      <c r="T5" s="91"/>
      <c r="X5" s="184"/>
      <c r="Y5" s="184"/>
      <c r="Z5" s="184"/>
      <c r="AA5" s="184"/>
    </row>
    <row r="6" spans="2:27" ht="17" thickBot="1">
      <c r="B6" s="90"/>
      <c r="C6" s="23"/>
      <c r="D6" s="23"/>
      <c r="E6" s="23"/>
      <c r="F6" s="93">
        <f>+Utilidad!M41</f>
        <v>0</v>
      </c>
      <c r="G6" s="23"/>
      <c r="H6" s="23"/>
      <c r="I6" s="95">
        <f>+Utilidad!M40+W7</f>
        <v>635936.20200000005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-21556.786400000001</v>
      </c>
      <c r="F7" s="94">
        <f>+Utilidad!N41</f>
        <v>0</v>
      </c>
      <c r="G7" s="23"/>
      <c r="H7" s="23"/>
      <c r="I7" s="97">
        <f>+Utilidad!N40</f>
        <v>0.53950295786000002</v>
      </c>
      <c r="J7" s="23"/>
      <c r="K7" s="23"/>
      <c r="L7" s="23"/>
      <c r="M7" s="23"/>
      <c r="N7" s="23"/>
      <c r="O7" s="23"/>
      <c r="P7" s="23" t="s">
        <v>195</v>
      </c>
      <c r="S7" s="200">
        <v>43367</v>
      </c>
      <c r="T7" s="91"/>
    </row>
    <row r="8" spans="2:27" ht="17" thickBot="1">
      <c r="B8" s="90"/>
      <c r="C8" s="95">
        <f>+Utilidad!M42</f>
        <v>21556.786400000001</v>
      </c>
      <c r="D8" s="23"/>
      <c r="E8" s="209">
        <f>+E9/E7</f>
        <v>0.63023373883</v>
      </c>
      <c r="F8" s="96">
        <f>+Utilidad!O41</f>
        <v>0</v>
      </c>
      <c r="G8" s="23"/>
      <c r="H8" s="23"/>
      <c r="I8" s="98">
        <f>+Utilidad!O40+W8</f>
        <v>343089.46198925452</v>
      </c>
      <c r="J8" s="23"/>
      <c r="K8" s="23"/>
      <c r="L8" s="23"/>
      <c r="M8" s="23"/>
      <c r="O8" s="23"/>
      <c r="P8" s="23" t="s">
        <v>194</v>
      </c>
      <c r="Q8" s="23"/>
      <c r="R8" s="23"/>
      <c r="S8" s="200">
        <f>+S7+S5</f>
        <v>51525.062000000034</v>
      </c>
      <c r="T8" s="91"/>
    </row>
    <row r="9" spans="2:27" ht="16">
      <c r="B9" s="90"/>
      <c r="C9" s="97">
        <f>+Utilidad!N42</f>
        <v>0.63023373883</v>
      </c>
      <c r="D9" s="23"/>
      <c r="E9" s="208">
        <f>+-C10+D18-F8</f>
        <v>-13585.814090031696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13585.814090031696</v>
      </c>
      <c r="D10" s="23"/>
      <c r="E10" s="208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635936.20200000005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635936.20200000005</v>
      </c>
      <c r="I12" s="23"/>
      <c r="J12" s="97">
        <f>+Utilidad!N46</f>
        <v>0.53950295786000002</v>
      </c>
      <c r="K12" s="23"/>
      <c r="L12" s="23"/>
      <c r="M12" s="23"/>
      <c r="N12" s="23"/>
      <c r="O12" s="23"/>
      <c r="R12" s="23"/>
      <c r="T12" s="91"/>
      <c r="X12" s="197"/>
    </row>
    <row r="13" spans="2:27" ht="16">
      <c r="B13" s="90"/>
      <c r="C13" s="23"/>
      <c r="D13" s="23"/>
      <c r="E13" s="23"/>
      <c r="F13" s="23"/>
      <c r="G13" s="23"/>
      <c r="H13" s="97">
        <f>+Utilidad!N44</f>
        <v>0.53950295786000002</v>
      </c>
      <c r="I13" s="23"/>
      <c r="J13" s="98">
        <f>+Utilidad!O46+W8</f>
        <v>343089.46198925452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343089.46198925452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19394.5455</v>
      </c>
      <c r="N15" s="23"/>
      <c r="O15" s="23"/>
      <c r="T15" s="91"/>
    </row>
    <row r="16" spans="2:27" ht="16">
      <c r="B16" s="90"/>
      <c r="C16" s="23"/>
      <c r="D16" s="93">
        <f>+Utilidad!M49</f>
        <v>0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0.19782955895000001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3836.8143823007076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-1.2002419680356979E-7</v>
      </c>
      <c r="T18" s="91"/>
      <c r="Z18" s="207"/>
      <c r="AA18" s="207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8158.0620000000345</v>
      </c>
      <c r="K19" s="9"/>
      <c r="L19" s="23"/>
      <c r="M19" s="23"/>
      <c r="N19" s="23"/>
      <c r="O19" s="23"/>
      <c r="P19" s="23"/>
      <c r="T19" s="91"/>
      <c r="Y19" s="8"/>
      <c r="Z19" s="207"/>
      <c r="AA19" s="207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1"/>
      <c r="K20" s="95">
        <f>+Utilidad!M48</f>
        <v>627778.14</v>
      </c>
      <c r="L20" s="23"/>
      <c r="M20" s="23"/>
      <c r="N20" s="23"/>
      <c r="O20" s="92">
        <f>+M15-P22</f>
        <v>-45958.833721000003</v>
      </c>
      <c r="P20" s="23"/>
      <c r="T20" s="91"/>
      <c r="Z20" s="207"/>
      <c r="AA20" s="207"/>
      <c r="AC20" s="8"/>
      <c r="AF20" s="184"/>
      <c r="AG20" s="184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2"/>
      <c r="K21" s="97">
        <f>+Utilidad!N48</f>
        <v>0.53950295786000002</v>
      </c>
      <c r="L21" s="23"/>
      <c r="M21" s="23"/>
      <c r="N21" s="23"/>
      <c r="O21" s="209">
        <f>+O22/O20</f>
        <v>0.17728800000075082</v>
      </c>
      <c r="P21" s="23"/>
      <c r="T21" s="91"/>
      <c r="AC21" s="184"/>
    </row>
    <row r="22" spans="2:33" ht="16">
      <c r="B22" s="175"/>
      <c r="C22" s="23"/>
      <c r="D22" s="23"/>
      <c r="E22" s="23"/>
      <c r="F22" s="23"/>
      <c r="G22" s="23"/>
      <c r="H22" s="23"/>
      <c r="I22" s="23"/>
      <c r="J22" s="23"/>
      <c r="K22" s="98">
        <f>+Utilidad!O48</f>
        <v>338688.16340984922</v>
      </c>
      <c r="L22" s="23"/>
      <c r="M22" s="23"/>
      <c r="N22" s="23"/>
      <c r="O22" s="208">
        <f>+M17-P24</f>
        <v>-8147.9497127631557</v>
      </c>
      <c r="P22" s="93">
        <f>+Utilidad!M57</f>
        <v>65353.379221000003</v>
      </c>
      <c r="Q22" s="8">
        <f>+P22-L29</f>
        <v>65353.37922000001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0.18338399999999999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11984.764095063863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519665.78352</v>
      </c>
      <c r="J25" s="23"/>
      <c r="K25" s="23"/>
      <c r="L25" s="95">
        <f>+Utilidad!M53</f>
        <v>108112.35648</v>
      </c>
      <c r="M25" s="23"/>
      <c r="N25" s="23"/>
      <c r="O25" s="23"/>
      <c r="P25" s="23"/>
      <c r="Q25" s="23"/>
      <c r="R25" s="23"/>
      <c r="S25" s="214">
        <f>S28+O33-P22-M30</f>
        <v>0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0.60820495416999998</v>
      </c>
      <c r="J26" s="23"/>
      <c r="K26" s="23"/>
      <c r="L26" s="97">
        <f>Utilidad!N53</f>
        <v>0.20927172525000001</v>
      </c>
      <c r="M26" s="23"/>
      <c r="N26" s="186"/>
      <c r="O26" s="187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+I25-C28-G36-D16+F45</f>
        <v>86500.424819999971</v>
      </c>
      <c r="H27" s="23"/>
      <c r="I27" s="98">
        <f>+Utilidad!O52</f>
        <v>316063.30404949875</v>
      </c>
      <c r="J27" s="9"/>
      <c r="K27" s="23"/>
      <c r="L27" s="98">
        <f>L25*L26</f>
        <v>22624.859361412618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52451.256800000003</v>
      </c>
      <c r="D28" s="23"/>
      <c r="E28" s="23"/>
      <c r="F28" s="23"/>
      <c r="G28" s="97">
        <f>+G29/G27</f>
        <v>0.59312824909294548</v>
      </c>
      <c r="H28" s="23"/>
      <c r="I28" s="213"/>
      <c r="J28" s="210"/>
      <c r="K28" s="23"/>
      <c r="L28" s="9"/>
      <c r="M28" s="23"/>
      <c r="N28" s="187"/>
      <c r="O28" s="23"/>
      <c r="P28" s="23"/>
      <c r="Q28" s="23"/>
      <c r="R28" s="23"/>
      <c r="S28" s="93">
        <f>+Utilidad!M59</f>
        <v>129854.1048</v>
      </c>
      <c r="T28" s="91"/>
      <c r="Z28" s="8"/>
      <c r="AA28" s="8"/>
      <c r="AB28" s="8"/>
    </row>
    <row r="29" spans="2:33" ht="16">
      <c r="B29" s="90"/>
      <c r="C29" s="97">
        <f>+Utilidad!N51</f>
        <v>0.61664549999999996</v>
      </c>
      <c r="D29" s="23"/>
      <c r="E29" s="23"/>
      <c r="F29" s="23"/>
      <c r="G29" s="103">
        <f>+I27-C30-G38-D18+F47</f>
        <v>51305.84551928255</v>
      </c>
      <c r="H29" s="23"/>
      <c r="I29" s="9"/>
      <c r="J29" s="210"/>
      <c r="K29" s="23"/>
      <c r="L29" s="9">
        <f>+L25-L30</f>
        <v>9.9999306257814169E-7</v>
      </c>
      <c r="M29" s="23"/>
      <c r="N29" s="23"/>
      <c r="O29" s="23"/>
      <c r="P29" s="23"/>
      <c r="Q29" s="23"/>
      <c r="R29" s="23"/>
      <c r="S29" s="94">
        <f>+Utilidad!N59</f>
        <v>0.14616000000000001</v>
      </c>
      <c r="T29" s="91"/>
      <c r="Z29" s="8"/>
      <c r="AA29" s="8"/>
      <c r="AB29" s="8"/>
    </row>
    <row r="30" spans="2:33" ht="16">
      <c r="B30" s="90"/>
      <c r="C30" s="98">
        <f>+Utilidad!O51</f>
        <v>32343.831475064399</v>
      </c>
      <c r="D30" s="23"/>
      <c r="E30" s="23"/>
      <c r="F30" s="23"/>
      <c r="G30" s="23"/>
      <c r="H30" s="23"/>
      <c r="I30" s="23"/>
      <c r="J30" s="210"/>
      <c r="K30" s="9"/>
      <c r="L30" s="9">
        <f>+M30+M15</f>
        <v>108112.35647900001</v>
      </c>
      <c r="M30" s="93">
        <f>+Utilidad!M55</f>
        <v>88717.810979000002</v>
      </c>
      <c r="N30" s="23"/>
      <c r="O30" s="23"/>
      <c r="P30" s="23"/>
      <c r="Q30" s="23"/>
      <c r="R30" s="23"/>
      <c r="S30" s="96">
        <f>+Utilidad!O59</f>
        <v>18979.475957568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88717.810979999995</v>
      </c>
      <c r="M31" s="94">
        <f>+Utilidad!N55</f>
        <v>0.21177309011000001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5">
        <f>(I27-K22)/L25</f>
        <v>-0.20927172524017554</v>
      </c>
      <c r="J32" s="23"/>
      <c r="K32" s="189" t="s">
        <v>174</v>
      </c>
      <c r="L32" s="23"/>
      <c r="M32" s="96">
        <f>+Utilidad!O55</f>
        <v>18788.044978817714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3"/>
      <c r="J33" s="23"/>
      <c r="K33" s="190">
        <f>+K34/(1-'Datos Extra'!E14)</f>
        <v>155863.62185128985</v>
      </c>
      <c r="L33" s="23"/>
      <c r="M33" s="23"/>
      <c r="N33" s="23"/>
      <c r="O33" s="93">
        <f>+Utilidad!M60</f>
        <v>24217.0854</v>
      </c>
      <c r="P33" s="187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4">
        <f>(I27+L27-K22)/L25</f>
        <v>9.8247178299683765E-12</v>
      </c>
      <c r="J34" s="23"/>
      <c r="K34" s="190">
        <f>+M30+P22</f>
        <v>154071.19020000001</v>
      </c>
      <c r="L34" s="23"/>
      <c r="M34" s="23"/>
      <c r="N34" s="23"/>
      <c r="O34" s="94">
        <f>+Utilidad!N60</f>
        <v>0.48698399999999997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5">
        <f>+K36/K34</f>
        <v>0.19973110504264524</v>
      </c>
      <c r="L35" s="23"/>
      <c r="M35" s="23"/>
      <c r="N35" s="23"/>
      <c r="O35" s="96">
        <f>+Utilidad!O60</f>
        <v>11793.3331164336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409746.30499999999</v>
      </c>
      <c r="H36" s="23"/>
      <c r="I36" s="23"/>
      <c r="J36" s="23"/>
      <c r="K36" s="190">
        <f>+M32+P24</f>
        <v>30772.809073881577</v>
      </c>
      <c r="L36" s="23"/>
      <c r="M36" s="23"/>
      <c r="N36" s="23"/>
      <c r="O36" s="23"/>
      <c r="P36" s="23"/>
      <c r="Q36" s="23"/>
      <c r="R36" s="23"/>
      <c r="S36" s="93">
        <f>+Utilidad!M62</f>
        <v>25435.695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0.61025025525999999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0.48723900059000003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250047.78721809181</v>
      </c>
      <c r="H38" s="23"/>
      <c r="I38" s="23"/>
      <c r="J38" s="9">
        <f>I27+L27-K22</f>
        <v>1.0621733963489532E-6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12393.262611112061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334"/>
      <c r="D40" s="33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4" customFormat="1" ht="16">
      <c r="B41" s="90"/>
      <c r="C41" s="196"/>
      <c r="D41" s="196"/>
      <c r="E41" s="23"/>
      <c r="F41" s="23"/>
      <c r="G41" s="23"/>
      <c r="H41" s="23"/>
      <c r="I41" s="23"/>
      <c r="J41" s="23"/>
      <c r="K41" s="9">
        <f>K22-L27-I27</f>
        <v>-1.0621733963489532E-6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4" customFormat="1" ht="16">
      <c r="B42" s="90"/>
      <c r="C42" s="197"/>
      <c r="D42" s="197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4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4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4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4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2"/>
      <c r="AF46" s="202"/>
      <c r="AG46" s="202"/>
    </row>
    <row r="47" spans="2:33" s="184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2"/>
      <c r="AF47" s="202"/>
      <c r="AG47" s="202"/>
    </row>
    <row r="48" spans="2:33" s="184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2"/>
      <c r="AF48" s="202"/>
      <c r="AG48" s="202"/>
    </row>
    <row r="49" spans="2:33" s="184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2"/>
      <c r="AF49" s="202"/>
      <c r="AG49" s="202"/>
    </row>
    <row r="50" spans="2:33" s="184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2"/>
      <c r="AF50" s="203"/>
      <c r="AG50" s="202"/>
    </row>
    <row r="51" spans="2:33" s="184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2"/>
      <c r="AF51" s="204"/>
      <c r="AG51" s="202"/>
    </row>
    <row r="52" spans="2:33" s="184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5"/>
      <c r="R52" s="23"/>
      <c r="S52" s="23"/>
      <c r="T52" s="91"/>
      <c r="Y52" s="97"/>
      <c r="Z52" s="97"/>
      <c r="AE52" s="202"/>
      <c r="AF52" s="202"/>
      <c r="AG52" s="202"/>
    </row>
    <row r="53" spans="2:33" s="184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335" t="s">
        <v>168</v>
      </c>
      <c r="Q53" s="335"/>
      <c r="R53" s="335" t="s">
        <v>184</v>
      </c>
      <c r="S53" s="335"/>
      <c r="T53" s="91"/>
      <c r="Y53" s="98"/>
      <c r="Z53" s="98"/>
      <c r="AE53" s="202"/>
      <c r="AF53" s="202"/>
      <c r="AG53" s="202"/>
    </row>
    <row r="54" spans="2:33" s="184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3" t="s">
        <v>169</v>
      </c>
      <c r="Q54" s="174">
        <f>+I25/K20</f>
        <v>0.82778572621212965</v>
      </c>
      <c r="R54" s="173" t="s">
        <v>169</v>
      </c>
      <c r="S54" s="174">
        <f>+I42/K20</f>
        <v>0</v>
      </c>
      <c r="T54" s="91"/>
      <c r="AE54" s="202"/>
      <c r="AF54" s="202"/>
      <c r="AG54" s="202"/>
    </row>
    <row r="55" spans="2:33" s="184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3" t="s">
        <v>170</v>
      </c>
      <c r="Q55" s="174">
        <f>+I27/K22</f>
        <v>0.93319855310983524</v>
      </c>
      <c r="R55" s="173" t="s">
        <v>170</v>
      </c>
      <c r="S55" s="174">
        <f>++I44/K22</f>
        <v>0</v>
      </c>
      <c r="T55" s="91"/>
      <c r="AE55" s="202"/>
      <c r="AF55" s="202"/>
      <c r="AG55" s="202"/>
    </row>
    <row r="56" spans="2:33" s="184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2" t="s">
        <v>36</v>
      </c>
      <c r="Q56" s="192"/>
      <c r="R56" s="195" t="s">
        <v>36</v>
      </c>
      <c r="S56" s="195"/>
      <c r="T56" s="91"/>
      <c r="AE56" s="202"/>
      <c r="AF56" s="202"/>
      <c r="AG56" s="23"/>
    </row>
    <row r="57" spans="2:33" s="184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3" t="s">
        <v>169</v>
      </c>
      <c r="Q57" s="174">
        <f>+(M49+O33)/(P22+M30+I49)</f>
        <v>0.15718114054005664</v>
      </c>
      <c r="R57" s="173" t="s">
        <v>169</v>
      </c>
      <c r="S57" s="174">
        <f>+(M49+O33)/(P22+M30+I49)</f>
        <v>0.15718114054005664</v>
      </c>
      <c r="T57" s="91"/>
      <c r="AG57" s="9"/>
    </row>
    <row r="58" spans="2:33" s="184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3" t="s">
        <v>170</v>
      </c>
      <c r="Q58" s="174">
        <f>+(M51+O35)/(P24+M32+I51)</f>
        <v>0.38323875757066295</v>
      </c>
      <c r="R58" s="173" t="s">
        <v>170</v>
      </c>
      <c r="S58" s="174">
        <f>(M51+O35)/(P24+M32+I51)</f>
        <v>0.38323875757066295</v>
      </c>
      <c r="T58" s="91"/>
      <c r="AG58" s="9"/>
    </row>
    <row r="59" spans="2:33" s="184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3" t="s">
        <v>171</v>
      </c>
      <c r="Q59" s="193"/>
      <c r="R59" s="193" t="s">
        <v>171</v>
      </c>
      <c r="S59" s="193"/>
      <c r="T59" s="91"/>
    </row>
    <row r="60" spans="2:33" s="184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3" t="s">
        <v>169</v>
      </c>
      <c r="Q60" s="174">
        <f>+(O33+I25+M49)/(K20+(M30+P22-(L25-M15)+I49))</f>
        <v>0.78467484718058478</v>
      </c>
      <c r="R60" s="173" t="s">
        <v>169</v>
      </c>
      <c r="S60" s="174">
        <f>+(O33+I42+M49)/(K20+(M30+P22-(L25-M15)+I49))</f>
        <v>3.4938658434191756E-2</v>
      </c>
      <c r="T60" s="91"/>
    </row>
    <row r="61" spans="2:33" s="184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3" t="s">
        <v>170</v>
      </c>
      <c r="Q61" s="174">
        <f>+(O35+I27+M51)/(K22+(M32+P24-(L27-M17)+I51))</f>
        <v>0.93493569491934614</v>
      </c>
      <c r="R61" s="173" t="s">
        <v>170</v>
      </c>
      <c r="S61" s="174">
        <f>+(O35+I44+M51)/(K22+(M32+P24-(L27-M17)+I51))</f>
        <v>3.3630577644971647E-2</v>
      </c>
      <c r="T61" s="91"/>
    </row>
    <row r="62" spans="2:33" s="184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31" t="s">
        <v>117</v>
      </c>
      <c r="F66" s="331"/>
      <c r="G66" s="332"/>
      <c r="H66" s="331" t="s">
        <v>124</v>
      </c>
      <c r="I66" s="331"/>
      <c r="J66" s="331"/>
      <c r="K66" s="333" t="s">
        <v>116</v>
      </c>
      <c r="L66" s="333"/>
      <c r="M66" s="333"/>
      <c r="N66" s="333"/>
    </row>
    <row r="67" spans="5:14">
      <c r="E67" s="80" t="s">
        <v>118</v>
      </c>
      <c r="F67" s="80"/>
      <c r="G67" s="79">
        <f>+I6</f>
        <v>635936.20200000005</v>
      </c>
      <c r="H67" s="324" t="s">
        <v>119</v>
      </c>
      <c r="I67" s="324"/>
      <c r="J67" s="79">
        <f>+Utilidad!M43</f>
        <v>-21556.786400000001</v>
      </c>
      <c r="K67" s="324" t="s">
        <v>122</v>
      </c>
      <c r="L67" s="324"/>
      <c r="M67" s="324"/>
      <c r="N67" s="79">
        <f>+C8</f>
        <v>21556.786400000001</v>
      </c>
    </row>
    <row r="68" spans="5:14">
      <c r="E68" s="329" t="s">
        <v>192</v>
      </c>
      <c r="F68" s="330"/>
      <c r="G68" s="79">
        <f>+I49</f>
        <v>0</v>
      </c>
      <c r="H68" s="324" t="s">
        <v>120</v>
      </c>
      <c r="I68" s="324"/>
      <c r="J68" s="79">
        <f>Utilidad!M47</f>
        <v>8158.0619999999999</v>
      </c>
      <c r="K68" s="324" t="s">
        <v>188</v>
      </c>
      <c r="L68" s="324"/>
      <c r="M68" s="324"/>
      <c r="N68" s="79">
        <f>+C28</f>
        <v>52451.256800000003</v>
      </c>
    </row>
    <row r="69" spans="5:14">
      <c r="E69" s="322"/>
      <c r="F69" s="323"/>
      <c r="G69" s="22"/>
      <c r="H69" s="324" t="s">
        <v>121</v>
      </c>
      <c r="I69" s="324"/>
      <c r="J69" s="79">
        <f>+Utilidad!M50</f>
        <v>57468.221721000002</v>
      </c>
      <c r="K69" s="324" t="s">
        <v>189</v>
      </c>
      <c r="L69" s="324"/>
      <c r="M69" s="324"/>
      <c r="N69" s="79">
        <f>+G36</f>
        <v>409746.30499999999</v>
      </c>
    </row>
    <row r="70" spans="5:14" s="184" customFormat="1">
      <c r="E70" s="198"/>
      <c r="F70" s="199"/>
      <c r="G70" s="22"/>
      <c r="H70" s="324" t="s">
        <v>185</v>
      </c>
      <c r="I70" s="324"/>
      <c r="J70" s="79">
        <f>+Utilidad!M56</f>
        <v>-45958.833721000003</v>
      </c>
      <c r="K70" s="324" t="s">
        <v>190</v>
      </c>
      <c r="L70" s="324"/>
      <c r="M70" s="324"/>
      <c r="N70" s="79">
        <f>+S36</f>
        <v>25435.695</v>
      </c>
    </row>
    <row r="71" spans="5:14" s="184" customFormat="1">
      <c r="E71" s="198"/>
      <c r="F71" s="199"/>
      <c r="G71" s="22"/>
      <c r="H71" s="324" t="s">
        <v>186</v>
      </c>
      <c r="I71" s="324"/>
      <c r="J71" s="79">
        <f>+Utilidad!M61</f>
        <v>-1218.6096</v>
      </c>
      <c r="K71" s="324" t="s">
        <v>191</v>
      </c>
      <c r="L71" s="324"/>
      <c r="M71" s="324"/>
      <c r="N71" s="79">
        <f>+S49</f>
        <v>0</v>
      </c>
    </row>
    <row r="72" spans="5:14" s="184" customFormat="1">
      <c r="E72" s="322"/>
      <c r="F72" s="323"/>
      <c r="G72" s="22"/>
      <c r="H72" s="324" t="s">
        <v>187</v>
      </c>
      <c r="I72" s="324"/>
      <c r="J72" s="79">
        <f>+Utilidad!M67</f>
        <v>0</v>
      </c>
      <c r="K72" s="324" t="s">
        <v>123</v>
      </c>
      <c r="L72" s="324"/>
      <c r="M72" s="324"/>
      <c r="N72" s="79">
        <f>+S28</f>
        <v>129854.1048</v>
      </c>
    </row>
    <row r="73" spans="5:14" s="184" customFormat="1">
      <c r="E73" s="322"/>
      <c r="F73" s="323"/>
      <c r="G73" s="22"/>
      <c r="H73" s="324"/>
      <c r="I73" s="324"/>
      <c r="J73" s="79"/>
      <c r="K73" s="324" t="s">
        <v>193</v>
      </c>
      <c r="L73" s="324"/>
      <c r="M73" s="324"/>
      <c r="N73" s="79">
        <f>+L54</f>
        <v>0</v>
      </c>
    </row>
    <row r="74" spans="5:14" s="184" customFormat="1">
      <c r="E74" s="322"/>
      <c r="F74" s="323"/>
      <c r="G74" s="22"/>
      <c r="H74" s="324"/>
      <c r="I74" s="324"/>
      <c r="J74" s="79"/>
      <c r="K74" s="324"/>
      <c r="L74" s="324"/>
      <c r="M74" s="324"/>
      <c r="N74" s="79"/>
    </row>
    <row r="75" spans="5:14">
      <c r="E75" s="322"/>
      <c r="F75" s="323"/>
      <c r="G75" s="22"/>
      <c r="H75" s="324"/>
      <c r="I75" s="324"/>
      <c r="J75" s="79"/>
      <c r="K75" s="324"/>
      <c r="L75" s="324"/>
      <c r="M75" s="324"/>
      <c r="N75" s="79"/>
    </row>
    <row r="76" spans="5:14" ht="19">
      <c r="E76" s="325" t="s">
        <v>126</v>
      </c>
      <c r="F76" s="326"/>
      <c r="G76" s="81">
        <f>+SUM(G67:G75)</f>
        <v>635936.20200000005</v>
      </c>
      <c r="H76" s="327" t="s">
        <v>125</v>
      </c>
      <c r="I76" s="327"/>
      <c r="J76" s="87">
        <f>+SUM(J67:J75)</f>
        <v>-3107.9459999999999</v>
      </c>
      <c r="K76" s="328" t="s">
        <v>127</v>
      </c>
      <c r="L76" s="328"/>
      <c r="M76" s="328"/>
      <c r="N76" s="81">
        <f>+SUM(N67:N75)</f>
        <v>639044.14800000004</v>
      </c>
    </row>
    <row r="78" spans="5:14" ht="19">
      <c r="J78" s="86" t="s">
        <v>128</v>
      </c>
      <c r="K78" s="83"/>
      <c r="L78" s="82"/>
      <c r="M78" s="83"/>
      <c r="N78" s="84">
        <f>+G76-J76-N76</f>
        <v>0</v>
      </c>
    </row>
    <row r="81" spans="5:16" ht="16">
      <c r="E81" s="85" t="s">
        <v>130</v>
      </c>
      <c r="F81" s="184"/>
      <c r="G81" s="184"/>
      <c r="H81" s="184"/>
      <c r="I81" s="184"/>
      <c r="J81" s="184"/>
      <c r="K81" s="184"/>
      <c r="L81" s="184"/>
      <c r="M81" s="184"/>
      <c r="N81" s="184"/>
    </row>
    <row r="82" spans="5:16" ht="19">
      <c r="E82" s="331" t="s">
        <v>117</v>
      </c>
      <c r="F82" s="331"/>
      <c r="G82" s="332"/>
      <c r="H82" s="331" t="s">
        <v>124</v>
      </c>
      <c r="I82" s="331"/>
      <c r="J82" s="331"/>
      <c r="K82" s="333" t="s">
        <v>116</v>
      </c>
      <c r="L82" s="333"/>
      <c r="M82" s="333"/>
      <c r="N82" s="333"/>
    </row>
    <row r="83" spans="5:16">
      <c r="E83" s="80" t="s">
        <v>118</v>
      </c>
      <c r="F83" s="80"/>
      <c r="G83" s="79">
        <f>+I8</f>
        <v>343089.46198925452</v>
      </c>
      <c r="H83" s="324" t="s">
        <v>119</v>
      </c>
      <c r="I83" s="324"/>
      <c r="J83" s="79">
        <f>+Utilidad!O43</f>
        <v>-13585.814090031696</v>
      </c>
      <c r="K83" s="324" t="s">
        <v>122</v>
      </c>
      <c r="L83" s="324"/>
      <c r="M83" s="324"/>
      <c r="N83" s="79">
        <f>+C10</f>
        <v>13585.814090031696</v>
      </c>
    </row>
    <row r="84" spans="5:16">
      <c r="E84" s="329" t="s">
        <v>192</v>
      </c>
      <c r="F84" s="330"/>
      <c r="G84" s="79">
        <f>+I51</f>
        <v>0</v>
      </c>
      <c r="H84" s="324" t="s">
        <v>120</v>
      </c>
      <c r="I84" s="324"/>
      <c r="J84" s="79">
        <f>+Utilidad!O47</f>
        <v>4401.2985805473963</v>
      </c>
      <c r="K84" s="324" t="s">
        <v>188</v>
      </c>
      <c r="L84" s="324"/>
      <c r="M84" s="324"/>
      <c r="N84" s="79">
        <f>+C30</f>
        <v>32343.831475064399</v>
      </c>
    </row>
    <row r="85" spans="5:16">
      <c r="E85" s="322"/>
      <c r="F85" s="323"/>
      <c r="G85" s="22"/>
      <c r="H85" s="324" t="s">
        <v>121</v>
      </c>
      <c r="I85" s="324"/>
      <c r="J85" s="79">
        <f>+Utilidad!O50</f>
        <v>33671.685355689238</v>
      </c>
      <c r="K85" s="324" t="s">
        <v>189</v>
      </c>
      <c r="L85" s="324"/>
      <c r="M85" s="324"/>
      <c r="N85" s="79">
        <f>+G38</f>
        <v>250047.78721809181</v>
      </c>
    </row>
    <row r="86" spans="5:16">
      <c r="E86" s="198"/>
      <c r="F86" s="199"/>
      <c r="G86" s="22"/>
      <c r="H86" s="324" t="s">
        <v>185</v>
      </c>
      <c r="I86" s="324"/>
      <c r="J86" s="79">
        <f>+Utilidad!O56</f>
        <v>-8147.9497127286486</v>
      </c>
      <c r="K86" s="324" t="s">
        <v>190</v>
      </c>
      <c r="L86" s="324"/>
      <c r="M86" s="324"/>
      <c r="N86" s="79">
        <f>+S38</f>
        <v>12393.262611112061</v>
      </c>
    </row>
    <row r="87" spans="5:16">
      <c r="E87" s="198"/>
      <c r="F87" s="199"/>
      <c r="G87" s="22"/>
      <c r="H87" s="324" t="s">
        <v>186</v>
      </c>
      <c r="I87" s="324"/>
      <c r="J87" s="79">
        <f>+Utilidad!O61</f>
        <v>-599.929494565558</v>
      </c>
      <c r="K87" s="324" t="s">
        <v>191</v>
      </c>
      <c r="L87" s="324"/>
      <c r="M87" s="324"/>
      <c r="N87" s="79">
        <f>+S51</f>
        <v>0</v>
      </c>
    </row>
    <row r="88" spans="5:16">
      <c r="E88" s="322"/>
      <c r="F88" s="323"/>
      <c r="G88" s="22"/>
      <c r="H88" s="324" t="s">
        <v>187</v>
      </c>
      <c r="I88" s="324"/>
      <c r="J88" s="79">
        <f>+Utilidad!O67</f>
        <v>0</v>
      </c>
      <c r="K88" s="324" t="s">
        <v>123</v>
      </c>
      <c r="L88" s="324"/>
      <c r="M88" s="324"/>
      <c r="N88" s="79">
        <f>+S30</f>
        <v>18979.475957568</v>
      </c>
    </row>
    <row r="89" spans="5:16">
      <c r="E89" s="322"/>
      <c r="F89" s="323"/>
      <c r="G89" s="22"/>
      <c r="H89" s="324"/>
      <c r="I89" s="324"/>
      <c r="J89" s="79"/>
      <c r="K89" s="324" t="s">
        <v>193</v>
      </c>
      <c r="L89" s="324"/>
      <c r="M89" s="324"/>
      <c r="N89" s="79">
        <f>+L56</f>
        <v>0</v>
      </c>
    </row>
    <row r="90" spans="5:16">
      <c r="E90" s="322"/>
      <c r="F90" s="323"/>
      <c r="G90" s="22"/>
      <c r="H90" s="324"/>
      <c r="I90" s="324"/>
      <c r="J90" s="79"/>
      <c r="K90" s="324"/>
      <c r="L90" s="324"/>
      <c r="M90" s="324"/>
      <c r="N90" s="79"/>
    </row>
    <row r="91" spans="5:16">
      <c r="E91" s="322"/>
      <c r="F91" s="323"/>
      <c r="G91" s="22"/>
      <c r="H91" s="324"/>
      <c r="I91" s="324"/>
      <c r="J91" s="79"/>
      <c r="K91" s="324"/>
      <c r="L91" s="324"/>
      <c r="M91" s="324"/>
      <c r="N91" s="79"/>
    </row>
    <row r="92" spans="5:16" ht="19">
      <c r="E92" s="325" t="s">
        <v>126</v>
      </c>
      <c r="F92" s="326"/>
      <c r="G92" s="81">
        <f>+SUM(G83:G91)</f>
        <v>343089.46198925452</v>
      </c>
      <c r="H92" s="327" t="s">
        <v>125</v>
      </c>
      <c r="I92" s="327"/>
      <c r="J92" s="87">
        <f>+SUM(J83:J91)</f>
        <v>15739.290638910732</v>
      </c>
      <c r="K92" s="328" t="s">
        <v>127</v>
      </c>
      <c r="L92" s="328"/>
      <c r="M92" s="328"/>
      <c r="N92" s="81">
        <f>+SUM(N83:N91)</f>
        <v>327350.1713518679</v>
      </c>
    </row>
    <row r="93" spans="5:16">
      <c r="E93" s="184"/>
      <c r="F93" s="184"/>
      <c r="G93" s="184"/>
      <c r="H93" s="184"/>
      <c r="I93" s="184"/>
      <c r="J93" s="184"/>
      <c r="K93" s="184"/>
      <c r="L93" s="184"/>
      <c r="M93" s="184"/>
      <c r="N93" s="184"/>
    </row>
    <row r="94" spans="5:16" ht="19">
      <c r="E94" s="184"/>
      <c r="F94" s="184"/>
      <c r="G94" s="184"/>
      <c r="H94" s="184"/>
      <c r="I94" s="184"/>
      <c r="J94" s="86" t="s">
        <v>128</v>
      </c>
      <c r="K94" s="83"/>
      <c r="L94" s="82"/>
      <c r="M94" s="83"/>
      <c r="N94" s="84">
        <f>+G92-J92-N92-P96</f>
        <v>-1.5241093933582306E-6</v>
      </c>
    </row>
    <row r="96" spans="5:16">
      <c r="G96" s="8"/>
      <c r="J96" s="8"/>
      <c r="N96" s="8"/>
      <c r="P96" s="33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  <mergeCell ref="E69:F69"/>
    <mergeCell ref="E74:F74"/>
    <mergeCell ref="E75:F75"/>
    <mergeCell ref="H75:I75"/>
    <mergeCell ref="H70:I70"/>
    <mergeCell ref="H71:I71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82:G82"/>
    <mergeCell ref="H82:J82"/>
    <mergeCell ref="K82:N82"/>
    <mergeCell ref="H83:I83"/>
    <mergeCell ref="K83:M83"/>
    <mergeCell ref="E84:F84"/>
    <mergeCell ref="H84:I84"/>
    <mergeCell ref="K84:M84"/>
    <mergeCell ref="E85:F85"/>
    <mergeCell ref="H85:I85"/>
    <mergeCell ref="K85:M85"/>
    <mergeCell ref="H86:I86"/>
    <mergeCell ref="K86:M86"/>
    <mergeCell ref="H87:I87"/>
    <mergeCell ref="K87:M87"/>
    <mergeCell ref="E88:F88"/>
    <mergeCell ref="H88:I88"/>
    <mergeCell ref="K88:M88"/>
    <mergeCell ref="E89:F89"/>
    <mergeCell ref="H89:I89"/>
    <mergeCell ref="K89:M89"/>
    <mergeCell ref="E90:F90"/>
    <mergeCell ref="H90:I90"/>
    <mergeCell ref="K90:M90"/>
    <mergeCell ref="E91:F91"/>
    <mergeCell ref="H91:I91"/>
    <mergeCell ref="K91:M91"/>
    <mergeCell ref="E92:F92"/>
    <mergeCell ref="H92:I92"/>
    <mergeCell ref="K92:M92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36" t="s">
        <v>62</v>
      </c>
      <c r="L60" s="337"/>
      <c r="N60" s="338" t="s">
        <v>63</v>
      </c>
      <c r="O60" s="339"/>
      <c r="P60" s="340"/>
      <c r="R60" s="343" t="s">
        <v>65</v>
      </c>
      <c r="S60" s="344"/>
      <c r="T60" s="29" t="s">
        <v>87</v>
      </c>
      <c r="V60" s="27" t="s">
        <v>88</v>
      </c>
      <c r="X60" s="23"/>
      <c r="AD60" s="345" t="s">
        <v>112</v>
      </c>
      <c r="AE60" s="345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409746.30499999999</v>
      </c>
      <c r="L62" s="35">
        <f>+Utilidad!N63</f>
        <v>0.61025025525999999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-0.1573450434812082</v>
      </c>
      <c r="S62" s="21">
        <f>+IF(L62&lt;&gt;0,(O62-L62)/L62,0)</f>
        <v>-1.2216553455141653E-2</v>
      </c>
      <c r="T62" s="177">
        <f t="shared" ref="T62" si="6">+IF(R62&lt;&gt;"",ABS(R62),"")</f>
        <v>0.1573450434812082</v>
      </c>
      <c r="U62" s="178">
        <v>0</v>
      </c>
      <c r="V62" s="177">
        <f t="shared" ref="V62:V93" si="7">+IF(S62&lt;&gt;"",ABS(S62),"")</f>
        <v>1.2216553455141653E-2</v>
      </c>
      <c r="W62" s="178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7" t="e">
        <f>+IF(R63&lt;&gt;"",ABS(R63),"")</f>
        <v>#REF!</v>
      </c>
      <c r="U63" s="178">
        <v>0</v>
      </c>
      <c r="V63" s="177" t="e">
        <f t="shared" si="7"/>
        <v>#REF!</v>
      </c>
      <c r="W63" s="178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7" t="e">
        <f t="shared" ref="T64:T112" si="13">+IF(R64&lt;&gt;"",ABS(R64),"")</f>
        <v>#REF!</v>
      </c>
      <c r="U64" s="178"/>
      <c r="V64" s="177" t="e">
        <f t="shared" si="7"/>
        <v>#REF!</v>
      </c>
      <c r="W64" s="178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7" t="e">
        <f t="shared" si="13"/>
        <v>#REF!</v>
      </c>
      <c r="U65" s="178"/>
      <c r="V65" s="177" t="e">
        <f t="shared" si="7"/>
        <v>#REF!</v>
      </c>
      <c r="W65" s="178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0" t="e">
        <f t="shared" si="13"/>
        <v>#REF!</v>
      </c>
      <c r="U66" s="178"/>
      <c r="V66" s="177" t="e">
        <f t="shared" si="7"/>
        <v>#REF!</v>
      </c>
      <c r="W66" s="178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7" t="e">
        <f t="shared" si="13"/>
        <v>#REF!</v>
      </c>
      <c r="U67" s="178"/>
      <c r="V67" s="177" t="e">
        <f t="shared" si="7"/>
        <v>#REF!</v>
      </c>
      <c r="W67" s="178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7" t="e">
        <f t="shared" si="13"/>
        <v>#REF!</v>
      </c>
      <c r="U68" s="178">
        <v>0.02</v>
      </c>
      <c r="V68" s="177" t="e">
        <f t="shared" si="7"/>
        <v>#REF!</v>
      </c>
      <c r="W68" s="178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7" t="e">
        <f t="shared" si="13"/>
        <v>#REF!</v>
      </c>
      <c r="U69" s="178"/>
      <c r="V69" s="177" t="e">
        <f t="shared" si="7"/>
        <v>#REF!</v>
      </c>
      <c r="W69" s="178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0" t="e">
        <f t="shared" si="13"/>
        <v>#REF!</v>
      </c>
      <c r="U70" s="181">
        <v>0.1</v>
      </c>
      <c r="V70" s="177" t="e">
        <f t="shared" si="7"/>
        <v>#REF!</v>
      </c>
      <c r="W70" s="178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7" t="e">
        <f t="shared" si="13"/>
        <v>#REF!</v>
      </c>
      <c r="U71" s="178">
        <v>0</v>
      </c>
      <c r="V71" s="177" t="e">
        <f t="shared" si="7"/>
        <v>#REF!</v>
      </c>
      <c r="W71" s="178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7" t="e">
        <f t="shared" si="13"/>
        <v>#REF!</v>
      </c>
      <c r="U72" s="178"/>
      <c r="V72" s="177" t="e">
        <f t="shared" si="7"/>
        <v>#REF!</v>
      </c>
      <c r="W72" s="178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7" t="e">
        <f t="shared" si="13"/>
        <v>#REF!</v>
      </c>
      <c r="U73" s="178">
        <v>0.05</v>
      </c>
      <c r="V73" s="177" t="e">
        <f t="shared" si="7"/>
        <v>#REF!</v>
      </c>
      <c r="W73" s="178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7" t="e">
        <f t="shared" si="13"/>
        <v>#REF!</v>
      </c>
      <c r="U74" s="178"/>
      <c r="V74" s="177" t="e">
        <f t="shared" si="7"/>
        <v>#REF!</v>
      </c>
      <c r="W74" s="178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7" t="e">
        <f t="shared" si="13"/>
        <v>#REF!</v>
      </c>
      <c r="U75" s="178"/>
      <c r="V75" s="177" t="e">
        <f t="shared" si="7"/>
        <v>#REF!</v>
      </c>
      <c r="W75" s="178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7" t="e">
        <f t="shared" si="13"/>
        <v>#REF!</v>
      </c>
      <c r="U76" s="178">
        <v>0.02</v>
      </c>
      <c r="V76" s="177" t="e">
        <f t="shared" si="7"/>
        <v>#REF!</v>
      </c>
      <c r="W76" s="178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79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7" t="e">
        <f t="shared" si="13"/>
        <v>#REF!</v>
      </c>
      <c r="U77" s="178"/>
      <c r="V77" s="177" t="e">
        <f t="shared" si="7"/>
        <v>#REF!</v>
      </c>
      <c r="W77" s="178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7" t="e">
        <f t="shared" si="13"/>
        <v>#REF!</v>
      </c>
      <c r="U78" s="178"/>
      <c r="V78" s="177" t="e">
        <f t="shared" si="7"/>
        <v>#REF!</v>
      </c>
      <c r="W78" s="178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7" t="e">
        <f t="shared" si="13"/>
        <v>#REF!</v>
      </c>
      <c r="U79" s="178"/>
      <c r="V79" s="177" t="e">
        <f t="shared" si="7"/>
        <v>#REF!</v>
      </c>
      <c r="W79" s="178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7" t="e">
        <f t="shared" si="13"/>
        <v>#REF!</v>
      </c>
      <c r="U80" s="178">
        <v>0.03</v>
      </c>
      <c r="V80" s="177" t="e">
        <f t="shared" si="7"/>
        <v>#REF!</v>
      </c>
      <c r="W80" s="178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79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7" t="e">
        <f t="shared" si="13"/>
        <v>#REF!</v>
      </c>
      <c r="U81" s="178">
        <v>0</v>
      </c>
      <c r="V81" s="177" t="e">
        <f t="shared" si="7"/>
        <v>#REF!</v>
      </c>
      <c r="W81" s="178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7" t="e">
        <f t="shared" si="13"/>
        <v>#REF!</v>
      </c>
      <c r="U82" s="178"/>
      <c r="V82" s="177" t="e">
        <f t="shared" si="7"/>
        <v>#REF!</v>
      </c>
      <c r="W82" s="178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7" t="e">
        <f t="shared" si="13"/>
        <v>#REF!</v>
      </c>
      <c r="U83" s="178"/>
      <c r="V83" s="177" t="e">
        <f t="shared" si="7"/>
        <v>#REF!</v>
      </c>
      <c r="W83" s="178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7" t="e">
        <f t="shared" si="13"/>
        <v>#REF!</v>
      </c>
      <c r="U84" s="178"/>
      <c r="V84" s="177" t="e">
        <f t="shared" si="7"/>
        <v>#REF!</v>
      </c>
      <c r="W84" s="178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7" t="e">
        <f t="shared" ref="T85" si="20">+IF(R85&lt;&gt;"",ABS(R85),"")</f>
        <v>#REF!</v>
      </c>
      <c r="U85" s="178"/>
      <c r="V85" s="177" t="e">
        <f t="shared" si="7"/>
        <v>#REF!</v>
      </c>
      <c r="W85" s="178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7" t="e">
        <f t="shared" ref="T86:T87" si="21">+IF(R86&lt;&gt;"",ABS(R86),"")</f>
        <v>#REF!</v>
      </c>
      <c r="U86" s="178">
        <v>1E-3</v>
      </c>
      <c r="V86" s="177">
        <f t="shared" si="7"/>
        <v>0</v>
      </c>
      <c r="W86" s="178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6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7" t="e">
        <f t="shared" si="21"/>
        <v>#REF!</v>
      </c>
      <c r="U87" s="178"/>
      <c r="V87" s="177">
        <f t="shared" si="7"/>
        <v>0</v>
      </c>
      <c r="W87" s="178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7" t="e">
        <f t="shared" si="13"/>
        <v>#REF!</v>
      </c>
      <c r="U88" s="178"/>
      <c r="V88" s="177" t="e">
        <f t="shared" si="7"/>
        <v>#REF!</v>
      </c>
      <c r="W88" s="178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7" t="e">
        <f t="shared" si="13"/>
        <v>#REF!</v>
      </c>
      <c r="U89" s="178">
        <v>0.1</v>
      </c>
      <c r="V89" s="177" t="e">
        <f t="shared" si="7"/>
        <v>#REF!</v>
      </c>
      <c r="W89" s="178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7" t="e">
        <f t="shared" si="13"/>
        <v>#REF!</v>
      </c>
      <c r="U90" s="178"/>
      <c r="V90" s="177" t="e">
        <f t="shared" si="7"/>
        <v>#REF!</v>
      </c>
      <c r="W90" s="178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7" t="e">
        <f t="shared" si="13"/>
        <v>#REF!</v>
      </c>
      <c r="U91" s="178"/>
      <c r="V91" s="177" t="e">
        <f t="shared" si="7"/>
        <v>#REF!</v>
      </c>
      <c r="W91" s="178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7" t="e">
        <f t="shared" si="13"/>
        <v>#REF!</v>
      </c>
      <c r="U92" s="178"/>
      <c r="V92" s="177">
        <f t="shared" si="7"/>
        <v>0</v>
      </c>
      <c r="W92" s="178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7" t="e">
        <f t="shared" si="13"/>
        <v>#REF!</v>
      </c>
      <c r="U93" s="178">
        <v>0.05</v>
      </c>
      <c r="V93" s="177" t="e">
        <f t="shared" si="7"/>
        <v>#REF!</v>
      </c>
      <c r="W93" s="178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7" t="e">
        <f t="shared" si="13"/>
        <v>#REF!</v>
      </c>
      <c r="U94" s="178"/>
      <c r="V94" s="177" t="e">
        <f t="shared" ref="V94:V116" si="22">+IF(S94&lt;&gt;"",ABS(S94),"")</f>
        <v>#REF!</v>
      </c>
      <c r="W94" s="178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7" t="e">
        <f t="shared" si="13"/>
        <v>#REF!</v>
      </c>
      <c r="U95" s="178"/>
      <c r="V95" s="177" t="e">
        <f t="shared" si="22"/>
        <v>#REF!</v>
      </c>
      <c r="W95" s="178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7" t="e">
        <f t="shared" si="13"/>
        <v>#REF!</v>
      </c>
      <c r="U96" s="178"/>
      <c r="V96" s="177" t="e">
        <f t="shared" si="22"/>
        <v>#REF!</v>
      </c>
      <c r="W96" s="178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7" t="e">
        <f t="shared" si="13"/>
        <v>#REF!</v>
      </c>
      <c r="U97" s="178">
        <v>0.02</v>
      </c>
      <c r="V97" s="177" t="e">
        <f t="shared" si="22"/>
        <v>#REF!</v>
      </c>
      <c r="W97" s="178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7" t="e">
        <f t="shared" si="13"/>
        <v>#REF!</v>
      </c>
      <c r="U98" s="178"/>
      <c r="V98" s="177" t="e">
        <f t="shared" si="22"/>
        <v>#REF!</v>
      </c>
      <c r="W98" s="178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2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7" t="e">
        <f t="shared" si="13"/>
        <v>#REF!</v>
      </c>
      <c r="U99" s="178">
        <v>0.02</v>
      </c>
      <c r="V99" s="177">
        <f t="shared" si="22"/>
        <v>0</v>
      </c>
      <c r="W99" s="178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7" t="e">
        <f t="shared" si="13"/>
        <v>#REF!</v>
      </c>
      <c r="U100" s="178"/>
      <c r="V100" s="177" t="e">
        <f t="shared" si="22"/>
        <v>#REF!</v>
      </c>
      <c r="W100" s="178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7" t="e">
        <f t="shared" si="13"/>
        <v>#REF!</v>
      </c>
      <c r="U101" s="178">
        <v>0</v>
      </c>
      <c r="V101" s="177" t="e">
        <f t="shared" si="22"/>
        <v>#REF!</v>
      </c>
      <c r="W101" s="178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7" t="e">
        <f t="shared" si="13"/>
        <v>#REF!</v>
      </c>
      <c r="U102" s="178"/>
      <c r="V102" s="177" t="e">
        <f t="shared" si="22"/>
        <v>#REF!</v>
      </c>
      <c r="W102" s="178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7" t="e">
        <f t="shared" si="13"/>
        <v>#REF!</v>
      </c>
      <c r="U103" s="178">
        <v>0.01</v>
      </c>
      <c r="V103" s="177">
        <f t="shared" si="22"/>
        <v>9.5770181565445478E-2</v>
      </c>
      <c r="W103" s="178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7" t="e">
        <f t="shared" si="13"/>
        <v>#REF!</v>
      </c>
      <c r="U104" s="178"/>
      <c r="V104" s="177" t="e">
        <f t="shared" si="22"/>
        <v>#REF!</v>
      </c>
      <c r="W104" s="178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7" t="e">
        <f t="shared" si="13"/>
        <v>#REF!</v>
      </c>
      <c r="U105" s="178"/>
      <c r="V105" s="177" t="e">
        <f t="shared" si="22"/>
        <v>#REF!</v>
      </c>
      <c r="W105" s="178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7" t="e">
        <f t="shared" si="13"/>
        <v>#REF!</v>
      </c>
      <c r="U106" s="178">
        <v>0</v>
      </c>
      <c r="V106" s="177" t="e">
        <f t="shared" si="22"/>
        <v>#REF!</v>
      </c>
      <c r="W106" s="178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7" t="e">
        <f t="shared" si="13"/>
        <v>#REF!</v>
      </c>
      <c r="U107" s="178"/>
      <c r="V107" s="177" t="e">
        <f t="shared" si="22"/>
        <v>#REF!</v>
      </c>
      <c r="W107" s="178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7" t="e">
        <f t="shared" si="13"/>
        <v>#REF!</v>
      </c>
      <c r="U108" s="178"/>
      <c r="V108" s="177" t="e">
        <f t="shared" si="22"/>
        <v>#REF!</v>
      </c>
      <c r="W108" s="178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7" t="e">
        <f t="shared" si="13"/>
        <v>#REF!</v>
      </c>
      <c r="U109" s="178">
        <v>0</v>
      </c>
      <c r="V109" s="177" t="e">
        <f t="shared" si="22"/>
        <v>#REF!</v>
      </c>
      <c r="W109" s="178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7" t="e">
        <f t="shared" si="13"/>
        <v>#REF!</v>
      </c>
      <c r="U110" s="178"/>
      <c r="V110" s="177" t="e">
        <f t="shared" si="22"/>
        <v>#REF!</v>
      </c>
      <c r="W110" s="178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7" t="e">
        <f t="shared" si="13"/>
        <v>#REF!</v>
      </c>
      <c r="U111" s="178">
        <v>0</v>
      </c>
      <c r="V111" s="177" t="e">
        <f t="shared" si="22"/>
        <v>#REF!</v>
      </c>
      <c r="W111" s="178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7" t="e">
        <f t="shared" si="13"/>
        <v>#REF!</v>
      </c>
      <c r="U112" s="178"/>
      <c r="V112" s="177" t="e">
        <f t="shared" si="22"/>
        <v>#REF!</v>
      </c>
      <c r="W112" s="178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7" t="e">
        <f t="shared" ref="T113:T116" si="25">+IF(R113&lt;&gt;"",ABS(R113),"")</f>
        <v>#REF!</v>
      </c>
      <c r="U113" s="178"/>
      <c r="V113" s="177" t="e">
        <f t="shared" si="22"/>
        <v>#REF!</v>
      </c>
      <c r="W113" s="178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7" t="e">
        <f t="shared" si="25"/>
        <v>#REF!</v>
      </c>
      <c r="U114" s="178">
        <v>0</v>
      </c>
      <c r="V114" s="177" t="e">
        <f t="shared" si="22"/>
        <v>#REF!</v>
      </c>
      <c r="W114" s="178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7" t="e">
        <f t="shared" si="25"/>
        <v>#REF!</v>
      </c>
      <c r="U115" s="178"/>
      <c r="V115" s="177" t="e">
        <f t="shared" si="22"/>
        <v>#REF!</v>
      </c>
      <c r="W115" s="178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7" t="e">
        <f t="shared" si="25"/>
        <v>#REF!</v>
      </c>
      <c r="U116" s="178">
        <v>0</v>
      </c>
      <c r="V116" s="177" t="e">
        <f t="shared" si="22"/>
        <v>#REF!</v>
      </c>
      <c r="W116" s="178">
        <v>0</v>
      </c>
    </row>
    <row r="121" spans="4:23">
      <c r="K121" s="341" t="s">
        <v>91</v>
      </c>
      <c r="L121" s="342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4097.4630500000003</v>
      </c>
      <c r="O123" s="11">
        <f>+L123*L62/100</f>
        <v>6.1025025525999997E-2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247.57462708103299</v>
      </c>
      <c r="L182" s="20">
        <f>+IF(O123&lt;&gt;0,((O62-L62)^2)/O123^2,"")</f>
        <v>1.4924417832233347E-2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 MLC</vt:lpstr>
      <vt:lpstr>Utilidad</vt:lpstr>
      <vt:lpstr>Datos Extra</vt:lpstr>
      <vt:lpstr>Flujos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2022-12-01T13:21:13Z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