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-mac/Desktop/Balances/"/>
    </mc:Choice>
  </mc:AlternateContent>
  <xr:revisionPtr revIDLastSave="0" documentId="8_{3CCE2B5D-A2FE-8346-BADA-F7DE5CBD368C}" xr6:coauthVersionLast="45" xr6:coauthVersionMax="45" xr10:uidLastSave="{00000000-0000-0000-0000-000000000000}"/>
  <bookViews>
    <workbookView xWindow="820" yWindow="0" windowWidth="27980" windowHeight="18000" tabRatio="749" activeTab="5" xr2:uid="{00000000-000D-0000-FFFF-FFFF00000000}"/>
  </bookViews>
  <sheets>
    <sheet name="Nodos Variac Inventarios" sheetId="3" state="hidden" r:id="rId1"/>
    <sheet name="Bal Los Colorados" sheetId="5" state="hidden" r:id="rId2"/>
    <sheet name="Diag Proc Los Colorados" sheetId="15" state="hidden" r:id="rId3"/>
    <sheet name="Utilidad" sheetId="1" r:id="rId4"/>
    <sheet name="Flujos" sheetId="16" r:id="rId5"/>
    <sheet name="Diagrama" sheetId="18" r:id="rId6"/>
    <sheet name="Inventarios" sheetId="17" r:id="rId7"/>
  </sheets>
  <externalReferences>
    <externalReference r:id="rId8"/>
    <externalReference r:id="rId9"/>
  </externalReferences>
  <definedNames>
    <definedName name="_PAG1">#REF!</definedName>
    <definedName name="_PAG3">#REF!</definedName>
    <definedName name="_PAG4">#REF!</definedName>
    <definedName name="_PAG5">#REF!</definedName>
    <definedName name="_PAG6">#REF!</definedName>
    <definedName name="\P">#REF!</definedName>
    <definedName name="\W">#REF!</definedName>
    <definedName name="\Z">#REF!</definedName>
    <definedName name="CONC">#REF!</definedName>
    <definedName name="CuNuevo_ConPelaCama_tmf">[1]FUNDICIÓN!$P$73</definedName>
    <definedName name="CuNuevo_ConPelaCama_tms">[1]FUNDICIÓN!$O$73</definedName>
    <definedName name="FEED">#REF!</definedName>
    <definedName name="GCONC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solver_adj" localSheetId="1" hidden="1">'Bal Los Colorados'!$M$46:$N$69</definedName>
    <definedName name="solver_adj" localSheetId="3" hidden="1">Utilidad!$N$67:$O$126</definedName>
    <definedName name="solver_cvg" localSheetId="1" hidden="1">0.0001</definedName>
    <definedName name="solver_cvg" localSheetId="3" hidden="1">0.0001</definedName>
    <definedName name="solver_drv" localSheetId="1" hidden="1">1</definedName>
    <definedName name="solver_drv" localSheetId="3" hidden="1">1</definedName>
    <definedName name="solver_eng" localSheetId="1" hidden="1">1</definedName>
    <definedName name="solver_eng" localSheetId="3" hidden="1">1</definedName>
    <definedName name="solver_est" localSheetId="1" hidden="1">1</definedName>
    <definedName name="solver_est" localSheetId="3" hidden="1">1</definedName>
    <definedName name="solver_itr" localSheetId="1" hidden="1">2147483647</definedName>
    <definedName name="solver_itr" localSheetId="3" hidden="1">2147483647</definedName>
    <definedName name="solver_lhs1" localSheetId="1" hidden="1">'Bal Los Colorados'!$AB$45</definedName>
    <definedName name="solver_lhs1" localSheetId="3" hidden="1">Utilidad!$AB$67:$AB$90</definedName>
    <definedName name="solver_lhs10" localSheetId="1" hidden="1">'Bal Los Colorados'!$AB$54</definedName>
    <definedName name="solver_lhs10" localSheetId="3" hidden="1">Utilidad!$U$68</definedName>
    <definedName name="solver_lhs11" localSheetId="1" hidden="1">'Bal Los Colorados'!$AB$55</definedName>
    <definedName name="solver_lhs11" localSheetId="3" hidden="1">Utilidad!$U$69</definedName>
    <definedName name="solver_lhs12" localSheetId="1" hidden="1">'Bal Los Colorados'!$AC$45</definedName>
    <definedName name="solver_lhs12" localSheetId="3" hidden="1">Utilidad!$U$80</definedName>
    <definedName name="solver_lhs13" localSheetId="1" hidden="1">'Bal Los Colorados'!$AC$46</definedName>
    <definedName name="solver_lhs13" localSheetId="3" hidden="1">Utilidad!$U$89</definedName>
    <definedName name="solver_lhs14" localSheetId="1" hidden="1">'Bal Los Colorados'!$AC$47</definedName>
    <definedName name="solver_lhs14" localSheetId="3" hidden="1">Utilidad!$V$120</definedName>
    <definedName name="solver_lhs15" localSheetId="1" hidden="1">'Bal Los Colorados'!$AC$48</definedName>
    <definedName name="solver_lhs15" localSheetId="3" hidden="1">Utilidad!$W$105</definedName>
    <definedName name="solver_lhs16" localSheetId="1" hidden="1">'Bal Los Colorados'!$AC$49</definedName>
    <definedName name="solver_lhs16" localSheetId="3" hidden="1">Utilidad!$W$122</definedName>
    <definedName name="solver_lhs17" localSheetId="1" hidden="1">'Bal Los Colorados'!$AC$50</definedName>
    <definedName name="solver_lhs17" localSheetId="3" hidden="1">Utilidad!$W$124</definedName>
    <definedName name="solver_lhs18" localSheetId="1" hidden="1">'Bal Los Colorados'!$AC$51</definedName>
    <definedName name="solver_lhs18" localSheetId="3" hidden="1">Utilidad!$W$68</definedName>
    <definedName name="solver_lhs19" localSheetId="1" hidden="1">'Bal Los Colorados'!$AC$52</definedName>
    <definedName name="solver_lhs19" localSheetId="3" hidden="1">Utilidad!$W$89</definedName>
    <definedName name="solver_lhs2" localSheetId="1" hidden="1">'Bal Los Colorados'!$AB$46</definedName>
    <definedName name="solver_lhs2" localSheetId="3" hidden="1">Utilidad!$AC$67:$AC$90</definedName>
    <definedName name="solver_lhs20" localSheetId="1" hidden="1">'Bal Los Colorados'!$AC$53</definedName>
    <definedName name="solver_lhs20" localSheetId="3" hidden="1">Utilidad!$W$89</definedName>
    <definedName name="solver_lhs21" localSheetId="1" hidden="1">'Bal Los Colorados'!$AC$54</definedName>
    <definedName name="solver_lhs21" localSheetId="3" hidden="1">Utilidad!$W$101</definedName>
    <definedName name="solver_lhs22" localSheetId="1" hidden="1">'Bal Los Colorados'!$AC$55</definedName>
    <definedName name="solver_lhs22" localSheetId="3" hidden="1">Utilidad!$W$101</definedName>
    <definedName name="solver_lhs23" localSheetId="1" hidden="1">'Bal Los Colorados'!$T$48</definedName>
    <definedName name="solver_lhs23" localSheetId="3" hidden="1">Utilidad!$W$101</definedName>
    <definedName name="solver_lhs24" localSheetId="1" hidden="1">'Bal Los Colorados'!$T$53</definedName>
    <definedName name="solver_lhs24" localSheetId="3" hidden="1">Utilidad!$W$101</definedName>
    <definedName name="solver_lhs25" localSheetId="1" hidden="1">'Bal Los Colorados'!$T$55</definedName>
    <definedName name="solver_lhs25" localSheetId="3" hidden="1">Utilidad!$W$89</definedName>
    <definedName name="solver_lhs26" localSheetId="1" hidden="1">'Bal Los Colorados'!$T$57</definedName>
    <definedName name="solver_lhs26" localSheetId="3" hidden="1">Utilidad!$W$101</definedName>
    <definedName name="solver_lhs27" localSheetId="1" hidden="1">'Bal Los Colorados'!$T$58</definedName>
    <definedName name="solver_lhs27" localSheetId="3" hidden="1">Utilidad!$W$101</definedName>
    <definedName name="solver_lhs28" localSheetId="1" hidden="1">'Bal Los Colorados'!$T$59</definedName>
    <definedName name="solver_lhs28" localSheetId="3" hidden="1">Utilidad!#REF!</definedName>
    <definedName name="solver_lhs29" localSheetId="1" hidden="1">'Bal Los Colorados'!$T$68</definedName>
    <definedName name="solver_lhs29" localSheetId="3" hidden="1">Utilidad!#REF!</definedName>
    <definedName name="solver_lhs3" localSheetId="1" hidden="1">'Bal Los Colorados'!$AB$47</definedName>
    <definedName name="solver_lhs3" localSheetId="3" hidden="1">Utilidad!$U$101</definedName>
    <definedName name="solver_lhs30" localSheetId="1" hidden="1">'Bal Los Colorados'!$T$69</definedName>
    <definedName name="solver_lhs30" localSheetId="3" hidden="1">Utilidad!#REF!</definedName>
    <definedName name="solver_lhs31" localSheetId="1" hidden="1">'Bal Los Colorados'!$V$46</definedName>
    <definedName name="solver_lhs31" localSheetId="3" hidden="1">Utilidad!#REF!</definedName>
    <definedName name="solver_lhs32" localSheetId="1" hidden="1">'Bal Los Colorados'!$V$55</definedName>
    <definedName name="solver_lhs32" localSheetId="3" hidden="1">Utilidad!#REF!</definedName>
    <definedName name="solver_lhs33" localSheetId="1" hidden="1">'Bal Los Colorados'!$V$57</definedName>
    <definedName name="solver_lhs33" localSheetId="3" hidden="1">Utilidad!#REF!</definedName>
    <definedName name="solver_lhs34" localSheetId="1" hidden="1">'Bal Los Colorados'!$V$59</definedName>
    <definedName name="solver_lhs34" localSheetId="3" hidden="1">Utilidad!#REF!</definedName>
    <definedName name="solver_lhs35" localSheetId="1" hidden="1">'Bal Los Colorados'!$V$63</definedName>
    <definedName name="solver_lhs35" localSheetId="3" hidden="1">Utilidad!#REF!</definedName>
    <definedName name="solver_lhs36" localSheetId="1" hidden="1">'Bal Los Colorados'!$V$66</definedName>
    <definedName name="solver_lhs36" localSheetId="3" hidden="1">Utilidad!#REF!</definedName>
    <definedName name="solver_lhs37" localSheetId="1" hidden="1">'Bal Los Colorados'!$V$68</definedName>
    <definedName name="solver_lhs37" localSheetId="3" hidden="1">Utilidad!#REF!</definedName>
    <definedName name="solver_lhs38" localSheetId="1" hidden="1">'Bal Los Colorados'!$V$69</definedName>
    <definedName name="solver_lhs38" localSheetId="3" hidden="1">Utilidad!#REF!</definedName>
    <definedName name="solver_lhs39" localSheetId="1" hidden="1">'Bal Los Colorados'!$V$69</definedName>
    <definedName name="solver_lhs39" localSheetId="3" hidden="1">Utilidad!#REF!</definedName>
    <definedName name="solver_lhs4" localSheetId="1" hidden="1">'Bal Los Colorados'!$AB$48</definedName>
    <definedName name="solver_lhs4" localSheetId="3" hidden="1">Utilidad!$U$103</definedName>
    <definedName name="solver_lhs40" localSheetId="1" hidden="1">'Bal Los Colorados'!$AB$49</definedName>
    <definedName name="solver_lhs40" localSheetId="3" hidden="1">Utilidad!#REF!</definedName>
    <definedName name="solver_lhs41" localSheetId="1" hidden="1">'Bal Los Colorados'!$AB$49</definedName>
    <definedName name="solver_lhs41" localSheetId="3" hidden="1">Utilidad!#REF!</definedName>
    <definedName name="solver_lhs42" localSheetId="3" hidden="1">Utilidad!#REF!</definedName>
    <definedName name="solver_lhs43" localSheetId="3" hidden="1">Utilidad!#REF!</definedName>
    <definedName name="solver_lhs44" localSheetId="3" hidden="1">Utilidad!#REF!</definedName>
    <definedName name="solver_lhs45" localSheetId="3" hidden="1">Utilidad!#REF!</definedName>
    <definedName name="solver_lhs46" localSheetId="3" hidden="1">Utilidad!#REF!</definedName>
    <definedName name="solver_lhs47" localSheetId="3" hidden="1">Utilidad!#REF!</definedName>
    <definedName name="solver_lhs48" localSheetId="3" hidden="1">Utilidad!#REF!</definedName>
    <definedName name="solver_lhs49" localSheetId="3" hidden="1">Utilidad!#REF!</definedName>
    <definedName name="solver_lhs5" localSheetId="1" hidden="1">'Bal Los Colorados'!$AB$49</definedName>
    <definedName name="solver_lhs5" localSheetId="3" hidden="1">Utilidad!$U$105</definedName>
    <definedName name="solver_lhs50" localSheetId="3" hidden="1">Utilidad!#REF!</definedName>
    <definedName name="solver_lhs51" localSheetId="3" hidden="1">Utilidad!#REF!</definedName>
    <definedName name="solver_lhs52" localSheetId="3" hidden="1">Utilidad!#REF!</definedName>
    <definedName name="solver_lhs53" localSheetId="3" hidden="1">Utilidad!#REF!</definedName>
    <definedName name="solver_lhs54" localSheetId="3" hidden="1">Utilidad!#REF!</definedName>
    <definedName name="solver_lhs55" localSheetId="3" hidden="1">Utilidad!#REF!</definedName>
    <definedName name="solver_lhs56" localSheetId="3" hidden="1">Utilidad!#REF!</definedName>
    <definedName name="solver_lhs57" localSheetId="3" hidden="1">Utilidad!#REF!</definedName>
    <definedName name="solver_lhs58" localSheetId="3" hidden="1">Utilidad!#REF!</definedName>
    <definedName name="solver_lhs59" localSheetId="3" hidden="1">Utilidad!#REF!</definedName>
    <definedName name="solver_lhs6" localSheetId="1" hidden="1">'Bal Los Colorados'!$AB$50</definedName>
    <definedName name="solver_lhs6" localSheetId="3" hidden="1">Utilidad!$U$122</definedName>
    <definedName name="solver_lhs60" localSheetId="3" hidden="1">Utilidad!#REF!</definedName>
    <definedName name="solver_lhs61" localSheetId="3" hidden="1">Utilidad!#REF!</definedName>
    <definedName name="solver_lhs62" localSheetId="3" hidden="1">Utilidad!#REF!</definedName>
    <definedName name="solver_lhs63" localSheetId="3" hidden="1">Utilidad!#REF!</definedName>
    <definedName name="solver_lhs64" localSheetId="3" hidden="1">Utilidad!#REF!</definedName>
    <definedName name="solver_lhs65" localSheetId="3" hidden="1">Utilidad!#REF!</definedName>
    <definedName name="solver_lhs66" localSheetId="3" hidden="1">Utilidad!$W$90</definedName>
    <definedName name="solver_lhs67" localSheetId="3" hidden="1">Utilidad!$W$96</definedName>
    <definedName name="solver_lhs68" localSheetId="3" hidden="1">Utilidad!$W$96</definedName>
    <definedName name="solver_lhs69" localSheetId="3" hidden="1">Utilidad!$W$96</definedName>
    <definedName name="solver_lhs7" localSheetId="1" hidden="1">'Bal Los Colorados'!$AB$51</definedName>
    <definedName name="solver_lhs7" localSheetId="3" hidden="1">Utilidad!$U$124</definedName>
    <definedName name="solver_lhs70" localSheetId="3" hidden="1">Utilidad!$W$96</definedName>
    <definedName name="solver_lhs71" localSheetId="3" hidden="1">Utilidad!$W$96</definedName>
    <definedName name="solver_lhs72" localSheetId="3" hidden="1">Utilidad!$W$96</definedName>
    <definedName name="solver_lhs73" localSheetId="3" hidden="1">Utilidad!$W$96</definedName>
    <definedName name="solver_lhs74" localSheetId="3" hidden="1">Utilidad!$W$96</definedName>
    <definedName name="solver_lhs75" localSheetId="3" hidden="1">Utilidad!$W$96</definedName>
    <definedName name="solver_lhs76" localSheetId="3" hidden="1">Utilidad!$W$96</definedName>
    <definedName name="solver_lhs77" localSheetId="3" hidden="1">Utilidad!$W$96</definedName>
    <definedName name="solver_lhs78" localSheetId="3" hidden="1">Utilidad!$W$96</definedName>
    <definedName name="solver_lhs79" localSheetId="3" hidden="1">Utilidad!$W$96</definedName>
    <definedName name="solver_lhs8" localSheetId="1" hidden="1">'Bal Los Colorados'!$AB$52</definedName>
    <definedName name="solver_lhs8" localSheetId="3" hidden="1">Utilidad!$U$126</definedName>
    <definedName name="solver_lhs80" localSheetId="3" hidden="1">Utilidad!$W$96</definedName>
    <definedName name="solver_lhs81" localSheetId="3" hidden="1">Utilidad!#REF!</definedName>
    <definedName name="solver_lhs82" localSheetId="3" hidden="1">Utilidad!$W$96</definedName>
    <definedName name="solver_lhs9" localSheetId="1" hidden="1">'Bal Los Colorados'!$AB$53</definedName>
    <definedName name="solver_lhs9" localSheetId="3" hidden="1">Utilidad!$U$67</definedName>
    <definedName name="solver_lin" localSheetId="3" hidden="1">2</definedName>
    <definedName name="solver_mip" localSheetId="1" hidden="1">2147483647</definedName>
    <definedName name="solver_mip" localSheetId="3" hidden="1">2147483647</definedName>
    <definedName name="solver_mni" localSheetId="1" hidden="1">30</definedName>
    <definedName name="solver_mni" localSheetId="3" hidden="1">30</definedName>
    <definedName name="solver_mrt" localSheetId="1" hidden="1">0.075</definedName>
    <definedName name="solver_mrt" localSheetId="3" hidden="1">0.075</definedName>
    <definedName name="solver_msl" localSheetId="1" hidden="1">2</definedName>
    <definedName name="solver_msl" localSheetId="3" hidden="1">2</definedName>
    <definedName name="solver_neg" localSheetId="1" hidden="1">1</definedName>
    <definedName name="solver_neg" localSheetId="3" hidden="1">1</definedName>
    <definedName name="solver_nod" localSheetId="1" hidden="1">2147483647</definedName>
    <definedName name="solver_nod" localSheetId="3" hidden="1">2147483647</definedName>
    <definedName name="solver_num" localSheetId="1" hidden="1">38</definedName>
    <definedName name="solver_num" localSheetId="3" hidden="1">19</definedName>
    <definedName name="solver_nwt" localSheetId="1" hidden="1">1</definedName>
    <definedName name="solver_nwt" localSheetId="3" hidden="1">1</definedName>
    <definedName name="solver_opt" localSheetId="1" hidden="1">'Bal Los Colorados'!$AB$58</definedName>
    <definedName name="solver_opt" localSheetId="3" hidden="1">Utilidad!$AB$93</definedName>
    <definedName name="solver_pre" localSheetId="1" hidden="1">0.000001</definedName>
    <definedName name="solver_pre" localSheetId="3" hidden="1">0.000001</definedName>
    <definedName name="solver_rbv" localSheetId="1" hidden="1">1</definedName>
    <definedName name="solver_rbv" localSheetId="3" hidden="1">1</definedName>
    <definedName name="solver_rel1" localSheetId="1" hidden="1">2</definedName>
    <definedName name="solver_rel1" localSheetId="3" hidden="1">2</definedName>
    <definedName name="solver_rel10" localSheetId="1" hidden="1">2</definedName>
    <definedName name="solver_rel10" localSheetId="3" hidden="1">1</definedName>
    <definedName name="solver_rel11" localSheetId="1" hidden="1">2</definedName>
    <definedName name="solver_rel11" localSheetId="3" hidden="1">1</definedName>
    <definedName name="solver_rel12" localSheetId="1" hidden="1">2</definedName>
    <definedName name="solver_rel12" localSheetId="3" hidden="1">1</definedName>
    <definedName name="solver_rel13" localSheetId="1" hidden="1">2</definedName>
    <definedName name="solver_rel13" localSheetId="3" hidden="1">1</definedName>
    <definedName name="solver_rel14" localSheetId="1" hidden="1">2</definedName>
    <definedName name="solver_rel14" localSheetId="3" hidden="1">1</definedName>
    <definedName name="solver_rel15" localSheetId="1" hidden="1">2</definedName>
    <definedName name="solver_rel15" localSheetId="3" hidden="1">1</definedName>
    <definedName name="solver_rel16" localSheetId="1" hidden="1">2</definedName>
    <definedName name="solver_rel16" localSheetId="3" hidden="1">1</definedName>
    <definedName name="solver_rel17" localSheetId="1" hidden="1">2</definedName>
    <definedName name="solver_rel17" localSheetId="3" hidden="1">1</definedName>
    <definedName name="solver_rel18" localSheetId="1" hidden="1">2</definedName>
    <definedName name="solver_rel18" localSheetId="3" hidden="1">1</definedName>
    <definedName name="solver_rel19" localSheetId="1" hidden="1">2</definedName>
    <definedName name="solver_rel19" localSheetId="3" hidden="1">1</definedName>
    <definedName name="solver_rel2" localSheetId="1" hidden="1">2</definedName>
    <definedName name="solver_rel2" localSheetId="3" hidden="1">2</definedName>
    <definedName name="solver_rel20" localSheetId="1" hidden="1">2</definedName>
    <definedName name="solver_rel20" localSheetId="3" hidden="1">1</definedName>
    <definedName name="solver_rel21" localSheetId="1" hidden="1">2</definedName>
    <definedName name="solver_rel21" localSheetId="3" hidden="1">1</definedName>
    <definedName name="solver_rel22" localSheetId="1" hidden="1">2</definedName>
    <definedName name="solver_rel22" localSheetId="3" hidden="1">1</definedName>
    <definedName name="solver_rel23" localSheetId="1" hidden="1">1</definedName>
    <definedName name="solver_rel23" localSheetId="3" hidden="1">1</definedName>
    <definedName name="solver_rel24" localSheetId="1" hidden="1">1</definedName>
    <definedName name="solver_rel24" localSheetId="3" hidden="1">1</definedName>
    <definedName name="solver_rel25" localSheetId="1" hidden="1">1</definedName>
    <definedName name="solver_rel25" localSheetId="3" hidden="1">1</definedName>
    <definedName name="solver_rel26" localSheetId="1" hidden="1">1</definedName>
    <definedName name="solver_rel26" localSheetId="3" hidden="1">1</definedName>
    <definedName name="solver_rel27" localSheetId="1" hidden="1">1</definedName>
    <definedName name="solver_rel27" localSheetId="3" hidden="1">1</definedName>
    <definedName name="solver_rel28" localSheetId="1" hidden="1">1</definedName>
    <definedName name="solver_rel28" localSheetId="3" hidden="1">2</definedName>
    <definedName name="solver_rel29" localSheetId="1" hidden="1">1</definedName>
    <definedName name="solver_rel29" localSheetId="3" hidden="1">2</definedName>
    <definedName name="solver_rel3" localSheetId="1" hidden="1">2</definedName>
    <definedName name="solver_rel3" localSheetId="3" hidden="1">1</definedName>
    <definedName name="solver_rel30" localSheetId="1" hidden="1">1</definedName>
    <definedName name="solver_rel30" localSheetId="3" hidden="1">2</definedName>
    <definedName name="solver_rel31" localSheetId="1" hidden="1">1</definedName>
    <definedName name="solver_rel31" localSheetId="3" hidden="1">2</definedName>
    <definedName name="solver_rel32" localSheetId="1" hidden="1">1</definedName>
    <definedName name="solver_rel32" localSheetId="3" hidden="1">2</definedName>
    <definedName name="solver_rel33" localSheetId="1" hidden="1">1</definedName>
    <definedName name="solver_rel33" localSheetId="3" hidden="1">2</definedName>
    <definedName name="solver_rel34" localSheetId="1" hidden="1">1</definedName>
    <definedName name="solver_rel34" localSheetId="3" hidden="1">2</definedName>
    <definedName name="solver_rel35" localSheetId="1" hidden="1">1</definedName>
    <definedName name="solver_rel35" localSheetId="3" hidden="1">2</definedName>
    <definedName name="solver_rel36" localSheetId="1" hidden="1">1</definedName>
    <definedName name="solver_rel36" localSheetId="3" hidden="1">2</definedName>
    <definedName name="solver_rel37" localSheetId="1" hidden="1">1</definedName>
    <definedName name="solver_rel37" localSheetId="3" hidden="1">2</definedName>
    <definedName name="solver_rel38" localSheetId="1" hidden="1">1</definedName>
    <definedName name="solver_rel38" localSheetId="3" hidden="1">2</definedName>
    <definedName name="solver_rel39" localSheetId="1" hidden="1">1</definedName>
    <definedName name="solver_rel39" localSheetId="3" hidden="1">2</definedName>
    <definedName name="solver_rel4" localSheetId="1" hidden="1">2</definedName>
    <definedName name="solver_rel4" localSheetId="3" hidden="1">1</definedName>
    <definedName name="solver_rel40" localSheetId="1" hidden="1">2</definedName>
    <definedName name="solver_rel40" localSheetId="3" hidden="1">2</definedName>
    <definedName name="solver_rel41" localSheetId="1" hidden="1">2</definedName>
    <definedName name="solver_rel41" localSheetId="3" hidden="1">2</definedName>
    <definedName name="solver_rel42" localSheetId="3" hidden="1">2</definedName>
    <definedName name="solver_rel43" localSheetId="3" hidden="1">2</definedName>
    <definedName name="solver_rel44" localSheetId="3" hidden="1">2</definedName>
    <definedName name="solver_rel45" localSheetId="3" hidden="1">2</definedName>
    <definedName name="solver_rel46" localSheetId="3" hidden="1">2</definedName>
    <definedName name="solver_rel47" localSheetId="3" hidden="1">2</definedName>
    <definedName name="solver_rel48" localSheetId="3" hidden="1">2</definedName>
    <definedName name="solver_rel49" localSheetId="3" hidden="1">2</definedName>
    <definedName name="solver_rel5" localSheetId="1" hidden="1">2</definedName>
    <definedName name="solver_rel5" localSheetId="3" hidden="1">1</definedName>
    <definedName name="solver_rel50" localSheetId="3" hidden="1">2</definedName>
    <definedName name="solver_rel51" localSheetId="3" hidden="1">2</definedName>
    <definedName name="solver_rel52" localSheetId="3" hidden="1">2</definedName>
    <definedName name="solver_rel53" localSheetId="3" hidden="1">2</definedName>
    <definedName name="solver_rel54" localSheetId="3" hidden="1">2</definedName>
    <definedName name="solver_rel55" localSheetId="3" hidden="1">2</definedName>
    <definedName name="solver_rel56" localSheetId="3" hidden="1">2</definedName>
    <definedName name="solver_rel57" localSheetId="3" hidden="1">2</definedName>
    <definedName name="solver_rel58" localSheetId="3" hidden="1">2</definedName>
    <definedName name="solver_rel59" localSheetId="3" hidden="1">2</definedName>
    <definedName name="solver_rel6" localSheetId="1" hidden="1">2</definedName>
    <definedName name="solver_rel6" localSheetId="3" hidden="1">1</definedName>
    <definedName name="solver_rel60" localSheetId="3" hidden="1">2</definedName>
    <definedName name="solver_rel61" localSheetId="3" hidden="1">2</definedName>
    <definedName name="solver_rel62" localSheetId="3" hidden="1">2</definedName>
    <definedName name="solver_rel63" localSheetId="3" hidden="1">2</definedName>
    <definedName name="solver_rel64" localSheetId="3" hidden="1">2</definedName>
    <definedName name="solver_rel65" localSheetId="3" hidden="1">2</definedName>
    <definedName name="solver_rel66" localSheetId="3" hidden="1">1</definedName>
    <definedName name="solver_rel67" localSheetId="3" hidden="1">1</definedName>
    <definedName name="solver_rel68" localSheetId="3" hidden="1">1</definedName>
    <definedName name="solver_rel69" localSheetId="3" hidden="1">1</definedName>
    <definedName name="solver_rel7" localSheetId="1" hidden="1">2</definedName>
    <definedName name="solver_rel7" localSheetId="3" hidden="1">1</definedName>
    <definedName name="solver_rel70" localSheetId="3" hidden="1">1</definedName>
    <definedName name="solver_rel71" localSheetId="3" hidden="1">1</definedName>
    <definedName name="solver_rel72" localSheetId="3" hidden="1">1</definedName>
    <definedName name="solver_rel73" localSheetId="3" hidden="1">1</definedName>
    <definedName name="solver_rel74" localSheetId="3" hidden="1">1</definedName>
    <definedName name="solver_rel75" localSheetId="3" hidden="1">1</definedName>
    <definedName name="solver_rel76" localSheetId="3" hidden="1">1</definedName>
    <definedName name="solver_rel77" localSheetId="3" hidden="1">1</definedName>
    <definedName name="solver_rel78" localSheetId="3" hidden="1">1</definedName>
    <definedName name="solver_rel79" localSheetId="3" hidden="1">1</definedName>
    <definedName name="solver_rel8" localSheetId="1" hidden="1">2</definedName>
    <definedName name="solver_rel8" localSheetId="3" hidden="1">1</definedName>
    <definedName name="solver_rel80" localSheetId="3" hidden="1">1</definedName>
    <definedName name="solver_rel81" localSheetId="3" hidden="1">2</definedName>
    <definedName name="solver_rel82" localSheetId="3" hidden="1">1</definedName>
    <definedName name="solver_rel9" localSheetId="1" hidden="1">2</definedName>
    <definedName name="solver_rel9" localSheetId="3" hidden="1">1</definedName>
    <definedName name="solver_rhs1" localSheetId="1" hidden="1">0</definedName>
    <definedName name="solver_rhs1" localSheetId="3" hidden="1">Utilidad!$AE$67:$AE$90</definedName>
    <definedName name="solver_rhs10" localSheetId="1" hidden="1">0</definedName>
    <definedName name="solver_rhs10" localSheetId="3" hidden="1">Utilidad!$V$68</definedName>
    <definedName name="solver_rhs11" localSheetId="1" hidden="1">0</definedName>
    <definedName name="solver_rhs11" localSheetId="3" hidden="1">Utilidad!$V$69</definedName>
    <definedName name="solver_rhs12" localSheetId="1" hidden="1">0</definedName>
    <definedName name="solver_rhs12" localSheetId="3" hidden="1">Utilidad!$V$80</definedName>
    <definedName name="solver_rhs13" localSheetId="1" hidden="1">0</definedName>
    <definedName name="solver_rhs13" localSheetId="3" hidden="1">Utilidad!$V$89</definedName>
    <definedName name="solver_rhs14" localSheetId="1" hidden="1">0</definedName>
    <definedName name="solver_rhs14" localSheetId="3" hidden="1">Utilidad!$X$120</definedName>
    <definedName name="solver_rhs15" localSheetId="1" hidden="1">0</definedName>
    <definedName name="solver_rhs15" localSheetId="3" hidden="1">Utilidad!$X$105</definedName>
    <definedName name="solver_rhs16" localSheetId="1" hidden="1">0</definedName>
    <definedName name="solver_rhs16" localSheetId="3" hidden="1">Utilidad!$X$122</definedName>
    <definedName name="solver_rhs17" localSheetId="1" hidden="1">0</definedName>
    <definedName name="solver_rhs17" localSheetId="3" hidden="1">Utilidad!$X$124</definedName>
    <definedName name="solver_rhs18" localSheetId="1" hidden="1">0</definedName>
    <definedName name="solver_rhs18" localSheetId="3" hidden="1">Utilidad!$X$68</definedName>
    <definedName name="solver_rhs19" localSheetId="1" hidden="1">0</definedName>
    <definedName name="solver_rhs19" localSheetId="3" hidden="1">Utilidad!$X$89</definedName>
    <definedName name="solver_rhs2" localSheetId="1" hidden="1">0</definedName>
    <definedName name="solver_rhs2" localSheetId="3" hidden="1">Utilidad!$AE$67:$AE$90</definedName>
    <definedName name="solver_rhs20" localSheetId="1" hidden="1">0</definedName>
    <definedName name="solver_rhs20" localSheetId="3" hidden="1">Utilidad!$X$89</definedName>
    <definedName name="solver_rhs21" localSheetId="1" hidden="1">0</definedName>
    <definedName name="solver_rhs21" localSheetId="3" hidden="1">Utilidad!$X$101</definedName>
    <definedName name="solver_rhs22" localSheetId="1" hidden="1">0</definedName>
    <definedName name="solver_rhs22" localSheetId="3" hidden="1">Utilidad!$X$101</definedName>
    <definedName name="solver_rhs23" localSheetId="1" hidden="1">'Bal Los Colorados'!$U$48</definedName>
    <definedName name="solver_rhs23" localSheetId="3" hidden="1">Utilidad!$X$101</definedName>
    <definedName name="solver_rhs24" localSheetId="1" hidden="1">'Bal Los Colorados'!$U$53</definedName>
    <definedName name="solver_rhs24" localSheetId="3" hidden="1">Utilidad!$X$101</definedName>
    <definedName name="solver_rhs25" localSheetId="1" hidden="1">'Bal Los Colorados'!$U$55</definedName>
    <definedName name="solver_rhs25" localSheetId="3" hidden="1">Utilidad!$X$89</definedName>
    <definedName name="solver_rhs26" localSheetId="1" hidden="1">'Bal Los Colorados'!$U$57</definedName>
    <definedName name="solver_rhs26" localSheetId="3" hidden="1">Utilidad!$X$101</definedName>
    <definedName name="solver_rhs27" localSheetId="1" hidden="1">'Bal Los Colorados'!$U$58</definedName>
    <definedName name="solver_rhs27" localSheetId="3" hidden="1">Utilidad!$X$101</definedName>
    <definedName name="solver_rhs28" localSheetId="1" hidden="1">'Bal Los Colorados'!$U$59</definedName>
    <definedName name="solver_rhs28" localSheetId="3" hidden="1">0</definedName>
    <definedName name="solver_rhs29" localSheetId="1" hidden="1">'Bal Los Colorados'!$U$68</definedName>
    <definedName name="solver_rhs29" localSheetId="3" hidden="1">0</definedName>
    <definedName name="solver_rhs3" localSheetId="1" hidden="1">0</definedName>
    <definedName name="solver_rhs3" localSheetId="3" hidden="1">Utilidad!$V$101</definedName>
    <definedName name="solver_rhs30" localSheetId="1" hidden="1">'Bal Los Colorados'!$U$69</definedName>
    <definedName name="solver_rhs30" localSheetId="3" hidden="1">0</definedName>
    <definedName name="solver_rhs31" localSheetId="1" hidden="1">'Bal Los Colorados'!$W$46</definedName>
    <definedName name="solver_rhs31" localSheetId="3" hidden="1">0</definedName>
    <definedName name="solver_rhs32" localSheetId="1" hidden="1">'Bal Los Colorados'!$W$55</definedName>
    <definedName name="solver_rhs32" localSheetId="3" hidden="1">0</definedName>
    <definedName name="solver_rhs33" localSheetId="1" hidden="1">'Bal Los Colorados'!$W$57</definedName>
    <definedName name="solver_rhs33" localSheetId="3" hidden="1">0</definedName>
    <definedName name="solver_rhs34" localSheetId="1" hidden="1">'Bal Los Colorados'!$W$59</definedName>
    <definedName name="solver_rhs34" localSheetId="3" hidden="1">0</definedName>
    <definedName name="solver_rhs35" localSheetId="1" hidden="1">'Bal Los Colorados'!$W$63</definedName>
    <definedName name="solver_rhs35" localSheetId="3" hidden="1">0</definedName>
    <definedName name="solver_rhs36" localSheetId="1" hidden="1">'Bal Los Colorados'!$W$66</definedName>
    <definedName name="solver_rhs36" localSheetId="3" hidden="1">0</definedName>
    <definedName name="solver_rhs37" localSheetId="1" hidden="1">'Bal Los Colorados'!$W$68</definedName>
    <definedName name="solver_rhs37" localSheetId="3" hidden="1">0</definedName>
    <definedName name="solver_rhs38" localSheetId="1" hidden="1">'Bal Los Colorados'!$W$69</definedName>
    <definedName name="solver_rhs38" localSheetId="3" hidden="1">0</definedName>
    <definedName name="solver_rhs39" localSheetId="1" hidden="1">'Bal Los Colorados'!$W$69</definedName>
    <definedName name="solver_rhs39" localSheetId="3" hidden="1">0</definedName>
    <definedName name="solver_rhs4" localSheetId="1" hidden="1">0</definedName>
    <definedName name="solver_rhs4" localSheetId="3" hidden="1">Utilidad!$V$103</definedName>
    <definedName name="solver_rhs40" localSheetId="1" hidden="1">0</definedName>
    <definedName name="solver_rhs40" localSheetId="3" hidden="1">0</definedName>
    <definedName name="solver_rhs41" localSheetId="1" hidden="1">0</definedName>
    <definedName name="solver_rhs41" localSheetId="3" hidden="1">0</definedName>
    <definedName name="solver_rhs42" localSheetId="3" hidden="1">0</definedName>
    <definedName name="solver_rhs43" localSheetId="3" hidden="1">0</definedName>
    <definedName name="solver_rhs44" localSheetId="3" hidden="1">0</definedName>
    <definedName name="solver_rhs45" localSheetId="3" hidden="1">0</definedName>
    <definedName name="solver_rhs46" localSheetId="3" hidden="1">0</definedName>
    <definedName name="solver_rhs47" localSheetId="3" hidden="1">0</definedName>
    <definedName name="solver_rhs48" localSheetId="3" hidden="1">0</definedName>
    <definedName name="solver_rhs49" localSheetId="3" hidden="1">0</definedName>
    <definedName name="solver_rhs5" localSheetId="1" hidden="1">0</definedName>
    <definedName name="solver_rhs5" localSheetId="3" hidden="1">Utilidad!$V$105</definedName>
    <definedName name="solver_rhs50" localSheetId="3" hidden="1">0</definedName>
    <definedName name="solver_rhs51" localSheetId="3" hidden="1">0</definedName>
    <definedName name="solver_rhs52" localSheetId="3" hidden="1">0</definedName>
    <definedName name="solver_rhs53" localSheetId="3" hidden="1">0</definedName>
    <definedName name="solver_rhs54" localSheetId="3" hidden="1">0</definedName>
    <definedName name="solver_rhs55" localSheetId="3" hidden="1">0</definedName>
    <definedName name="solver_rhs56" localSheetId="3" hidden="1">0</definedName>
    <definedName name="solver_rhs57" localSheetId="3" hidden="1">0</definedName>
    <definedName name="solver_rhs58" localSheetId="3" hidden="1">0</definedName>
    <definedName name="solver_rhs59" localSheetId="3" hidden="1">0</definedName>
    <definedName name="solver_rhs6" localSheetId="1" hidden="1">0</definedName>
    <definedName name="solver_rhs6" localSheetId="3" hidden="1">Utilidad!$V$122</definedName>
    <definedName name="solver_rhs60" localSheetId="3" hidden="1">0</definedName>
    <definedName name="solver_rhs61" localSheetId="3" hidden="1">0</definedName>
    <definedName name="solver_rhs62" localSheetId="3" hidden="1">0</definedName>
    <definedName name="solver_rhs63" localSheetId="3" hidden="1">0</definedName>
    <definedName name="solver_rhs64" localSheetId="3" hidden="1">0</definedName>
    <definedName name="solver_rhs65" localSheetId="3" hidden="1">0</definedName>
    <definedName name="solver_rhs66" localSheetId="3" hidden="1">Utilidad!$X$90</definedName>
    <definedName name="solver_rhs67" localSheetId="3" hidden="1">Utilidad!$X$96</definedName>
    <definedName name="solver_rhs68" localSheetId="3" hidden="1">Utilidad!$X$96</definedName>
    <definedName name="solver_rhs69" localSheetId="3" hidden="1">Utilidad!$X$96</definedName>
    <definedName name="solver_rhs7" localSheetId="1" hidden="1">0</definedName>
    <definedName name="solver_rhs7" localSheetId="3" hidden="1">Utilidad!$V$124</definedName>
    <definedName name="solver_rhs70" localSheetId="3" hidden="1">Utilidad!$X$96</definedName>
    <definedName name="solver_rhs71" localSheetId="3" hidden="1">Utilidad!$X$96</definedName>
    <definedName name="solver_rhs72" localSheetId="3" hidden="1">Utilidad!$X$96</definedName>
    <definedName name="solver_rhs73" localSheetId="3" hidden="1">Utilidad!$X$96</definedName>
    <definedName name="solver_rhs74" localSheetId="3" hidden="1">Utilidad!$X$96</definedName>
    <definedName name="solver_rhs75" localSheetId="3" hidden="1">Utilidad!$X$96</definedName>
    <definedName name="solver_rhs76" localSheetId="3" hidden="1">Utilidad!$X$96</definedName>
    <definedName name="solver_rhs77" localSheetId="3" hidden="1">Utilidad!$X$96</definedName>
    <definedName name="solver_rhs78" localSheetId="3" hidden="1">Utilidad!$X$96</definedName>
    <definedName name="solver_rhs79" localSheetId="3" hidden="1">Utilidad!$X$96</definedName>
    <definedName name="solver_rhs8" localSheetId="1" hidden="1">0</definedName>
    <definedName name="solver_rhs8" localSheetId="3" hidden="1">Utilidad!$V$126</definedName>
    <definedName name="solver_rhs80" localSheetId="3" hidden="1">Utilidad!$X$96</definedName>
    <definedName name="solver_rhs81" localSheetId="3" hidden="1">0</definedName>
    <definedName name="solver_rhs82" localSheetId="3" hidden="1">Utilidad!$X$96</definedName>
    <definedName name="solver_rhs9" localSheetId="1" hidden="1">0</definedName>
    <definedName name="solver_rhs9" localSheetId="3" hidden="1">Utilidad!$V$67</definedName>
    <definedName name="solver_rlx" localSheetId="1" hidden="1">2</definedName>
    <definedName name="solver_rlx" localSheetId="3" hidden="1">2</definedName>
    <definedName name="solver_rsd" localSheetId="1" hidden="1">0</definedName>
    <definedName name="solver_rsd" localSheetId="3" hidden="1">0</definedName>
    <definedName name="solver_scl" localSheetId="1" hidden="1">1</definedName>
    <definedName name="solver_scl" localSheetId="3" hidden="1">1</definedName>
    <definedName name="solver_sho" localSheetId="1" hidden="1">2</definedName>
    <definedName name="solver_sho" localSheetId="3" hidden="1">2</definedName>
    <definedName name="solver_ssz" localSheetId="1" hidden="1">100</definedName>
    <definedName name="solver_ssz" localSheetId="3" hidden="1">100</definedName>
    <definedName name="solver_tim" localSheetId="1" hidden="1">2147483647</definedName>
    <definedName name="solver_tim" localSheetId="3" hidden="1">2147483647</definedName>
    <definedName name="solver_tol" localSheetId="1" hidden="1">0.01</definedName>
    <definedName name="solver_tol" localSheetId="3" hidden="1">0.01</definedName>
    <definedName name="solver_typ" localSheetId="1" hidden="1">2</definedName>
    <definedName name="solver_typ" localSheetId="3" hidden="1">2</definedName>
    <definedName name="solver_val" localSheetId="1" hidden="1">0</definedName>
    <definedName name="solver_val" localSheetId="3" hidden="1">0</definedName>
    <definedName name="solver_ver" localSheetId="1" hidden="1">3</definedName>
    <definedName name="solver_ver" localSheetId="3" hidden="1">3</definedName>
    <definedName name="SUMCHECK">#REF!</definedName>
    <definedName name="SUMCUTONNES">#REF!</definedName>
    <definedName name="SUMDMT">#REF!</definedName>
    <definedName name="TAIL">#REF!</definedName>
    <definedName name="UNI_AA_VERSION" hidden="1">"202.1.0"</definedName>
    <definedName name="UNI_FILT_END" hidden="1">8</definedName>
    <definedName name="UNI_FILT_OFFSPEC" hidden="1">2</definedName>
    <definedName name="UNI_FILT_ONSPEC" hidden="1">1</definedName>
    <definedName name="UNI_FILT_START" hidden="1">4</definedName>
    <definedName name="UNI_NOTHING" hidden="1">0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OUTLIERS" hidden="1">32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END" hidden="1">16384</definedName>
    <definedName name="UNI_RET_EQUIP" hidden="1">32768</definedName>
    <definedName name="UNI_RET_EVENT" hidden="1">4096</definedName>
    <definedName name="UNI_RET_OFFSPEC" hidden="1">512</definedName>
    <definedName name="UNI_RET_ONSPEC" hidden="1">256</definedName>
    <definedName name="UNI_RET_PROP" hidden="1">131072</definedName>
    <definedName name="UNI_RET_PROPDESC" hidden="1">262144</definedName>
    <definedName name="UNI_RET_SMPLPNT" hidden="1">65536</definedName>
    <definedName name="UNI_RET_SPECMAX" hidden="1">2048</definedName>
    <definedName name="UNI_RET_SPECMIN" hidden="1">1024</definedName>
    <definedName name="UNI_RET_START" hidden="1">8192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6" i="18" l="1"/>
  <c r="E75" i="18"/>
  <c r="F74" i="18"/>
  <c r="C74" i="18"/>
  <c r="F73" i="18"/>
  <c r="C73" i="18"/>
  <c r="F72" i="18"/>
  <c r="C72" i="18"/>
  <c r="E69" i="18"/>
  <c r="E68" i="18"/>
  <c r="F67" i="18"/>
  <c r="C67" i="18"/>
  <c r="F66" i="18"/>
  <c r="C66" i="18"/>
  <c r="F65" i="18"/>
  <c r="C65" i="18"/>
  <c r="L61" i="18"/>
  <c r="H61" i="18"/>
  <c r="F61" i="18"/>
  <c r="E61" i="18"/>
  <c r="L60" i="18"/>
  <c r="H60" i="18"/>
  <c r="F60" i="18"/>
  <c r="E60" i="18"/>
  <c r="C60" i="18"/>
  <c r="L59" i="18"/>
  <c r="F59" i="18"/>
  <c r="C59" i="18"/>
  <c r="C58" i="18"/>
  <c r="J55" i="18"/>
  <c r="H55" i="18"/>
  <c r="J54" i="18"/>
  <c r="H54" i="18"/>
  <c r="F54" i="18"/>
  <c r="E54" i="18"/>
  <c r="J53" i="18"/>
  <c r="H53" i="18"/>
  <c r="F53" i="18"/>
  <c r="E53" i="18"/>
  <c r="F52" i="18"/>
  <c r="C52" i="18"/>
  <c r="C51" i="18"/>
  <c r="C50" i="18"/>
  <c r="K46" i="18"/>
  <c r="I46" i="18"/>
  <c r="K45" i="18"/>
  <c r="I45" i="18"/>
  <c r="L44" i="18"/>
  <c r="K44" i="18"/>
  <c r="I44" i="18"/>
  <c r="F44" i="18"/>
  <c r="E44" i="18"/>
  <c r="L43" i="18"/>
  <c r="F43" i="18"/>
  <c r="E43" i="18"/>
  <c r="L42" i="18"/>
  <c r="F42" i="18"/>
  <c r="C42" i="18"/>
  <c r="C41" i="18"/>
  <c r="C40" i="18"/>
  <c r="K39" i="18"/>
  <c r="K38" i="18"/>
  <c r="L37" i="18"/>
  <c r="K37" i="18"/>
  <c r="L36" i="18"/>
  <c r="L35" i="18"/>
  <c r="F34" i="18"/>
  <c r="E34" i="18"/>
  <c r="F33" i="18"/>
  <c r="E33" i="18"/>
  <c r="K32" i="18"/>
  <c r="F32" i="18"/>
  <c r="C32" i="18"/>
  <c r="K31" i="18"/>
  <c r="C31" i="18"/>
  <c r="L30" i="18"/>
  <c r="K30" i="18"/>
  <c r="C30" i="18"/>
  <c r="L29" i="18"/>
  <c r="L28" i="18"/>
  <c r="K25" i="18"/>
  <c r="H25" i="18"/>
  <c r="K24" i="18"/>
  <c r="H24" i="18"/>
  <c r="F24" i="18"/>
  <c r="E24" i="18"/>
  <c r="K23" i="18"/>
  <c r="H23" i="18"/>
  <c r="F23" i="18"/>
  <c r="E23" i="18"/>
  <c r="F22" i="18"/>
  <c r="C22" i="18"/>
  <c r="C21" i="18"/>
  <c r="K20" i="18"/>
  <c r="C20" i="18"/>
  <c r="L19" i="18"/>
  <c r="K19" i="18"/>
  <c r="L18" i="18"/>
  <c r="K18" i="18"/>
  <c r="L17" i="18"/>
  <c r="K13" i="18"/>
  <c r="K12" i="18"/>
  <c r="F12" i="18"/>
  <c r="E12" i="18"/>
  <c r="L11" i="18"/>
  <c r="R16" i="18" s="1"/>
  <c r="K11" i="18"/>
  <c r="F11" i="18"/>
  <c r="E11" i="18"/>
  <c r="L10" i="18"/>
  <c r="F10" i="18"/>
  <c r="C10" i="18"/>
  <c r="L9" i="18"/>
  <c r="R14" i="18" s="1"/>
  <c r="R15" i="18" s="1"/>
  <c r="C9" i="18"/>
  <c r="C8" i="18"/>
  <c r="K6" i="18"/>
  <c r="K5" i="18"/>
  <c r="K4" i="18"/>
  <c r="B3" i="16" l="1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2" i="16"/>
  <c r="D40" i="16"/>
  <c r="C40" i="16"/>
  <c r="D24" i="16"/>
  <c r="D58" i="16"/>
  <c r="D56" i="16"/>
  <c r="D39" i="16"/>
  <c r="D12" i="16"/>
  <c r="D7" i="16" l="1"/>
  <c r="D57" i="16"/>
  <c r="D54" i="16"/>
  <c r="D6" i="16"/>
  <c r="D22" i="16"/>
  <c r="D36" i="16"/>
  <c r="D38" i="16"/>
  <c r="D5" i="16"/>
  <c r="D4" i="16"/>
  <c r="D8" i="16"/>
  <c r="D9" i="16"/>
  <c r="D11" i="16"/>
  <c r="D13" i="16"/>
  <c r="D14" i="16"/>
  <c r="D15" i="16"/>
  <c r="D16" i="16"/>
  <c r="D17" i="16"/>
  <c r="D18" i="16"/>
  <c r="D19" i="16"/>
  <c r="D20" i="16"/>
  <c r="D21" i="16"/>
  <c r="D23" i="16"/>
  <c r="D25" i="16"/>
  <c r="D26" i="16"/>
  <c r="D27" i="16"/>
  <c r="D28" i="16"/>
  <c r="D29" i="16"/>
  <c r="D30" i="16"/>
  <c r="D31" i="16"/>
  <c r="D32" i="16"/>
  <c r="D33" i="16"/>
  <c r="D34" i="16"/>
  <c r="D35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5" i="16"/>
  <c r="D59" i="16"/>
  <c r="D60" i="16"/>
  <c r="D61" i="16"/>
  <c r="D3" i="16"/>
  <c r="D2" i="16"/>
  <c r="C61" i="16" l="1"/>
  <c r="C60" i="16"/>
  <c r="C59" i="16"/>
  <c r="C58" i="16"/>
  <c r="C57" i="16"/>
  <c r="C56" i="16"/>
  <c r="C55" i="16"/>
  <c r="C54" i="16"/>
  <c r="C53" i="16"/>
  <c r="C52" i="16"/>
  <c r="C51" i="16"/>
  <c r="C50" i="16"/>
  <c r="C49" i="16"/>
  <c r="C48" i="16"/>
  <c r="C47" i="16"/>
  <c r="C46" i="16"/>
  <c r="C45" i="16"/>
  <c r="C44" i="16"/>
  <c r="C43" i="16"/>
  <c r="C42" i="16"/>
  <c r="C41" i="16"/>
  <c r="C39" i="16"/>
  <c r="C38" i="16"/>
  <c r="C37" i="16"/>
  <c r="C36" i="16"/>
  <c r="C35" i="16"/>
  <c r="C34" i="16"/>
  <c r="C33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C3" i="16"/>
  <c r="C2" i="16"/>
  <c r="Q126" i="1"/>
  <c r="O126" i="1"/>
  <c r="N126" i="1"/>
  <c r="Q125" i="1"/>
  <c r="O125" i="1"/>
  <c r="N125" i="1"/>
  <c r="Q124" i="1"/>
  <c r="O124" i="1"/>
  <c r="N124" i="1"/>
  <c r="Q123" i="1"/>
  <c r="O123" i="1"/>
  <c r="N123" i="1"/>
  <c r="Q122" i="1"/>
  <c r="O122" i="1"/>
  <c r="N122" i="1"/>
  <c r="Q121" i="1"/>
  <c r="O121" i="1"/>
  <c r="N121" i="1"/>
  <c r="Q120" i="1"/>
  <c r="O120" i="1"/>
  <c r="N120" i="1"/>
  <c r="Q119" i="1"/>
  <c r="O119" i="1"/>
  <c r="N119" i="1"/>
  <c r="Q118" i="1"/>
  <c r="O118" i="1"/>
  <c r="N118" i="1"/>
  <c r="Q117" i="1"/>
  <c r="O117" i="1"/>
  <c r="N117" i="1"/>
  <c r="Q116" i="1"/>
  <c r="O116" i="1"/>
  <c r="N116" i="1"/>
  <c r="Q115" i="1"/>
  <c r="O115" i="1"/>
  <c r="N115" i="1"/>
  <c r="Q114" i="1"/>
  <c r="O114" i="1"/>
  <c r="N114" i="1"/>
  <c r="Q113" i="1"/>
  <c r="O113" i="1"/>
  <c r="N113" i="1"/>
  <c r="Q112" i="1"/>
  <c r="O112" i="1"/>
  <c r="N112" i="1"/>
  <c r="Q111" i="1"/>
  <c r="O111" i="1"/>
  <c r="N111" i="1"/>
  <c r="Q110" i="1"/>
  <c r="O110" i="1"/>
  <c r="N110" i="1"/>
  <c r="Q109" i="1"/>
  <c r="O109" i="1"/>
  <c r="N109" i="1"/>
  <c r="Q108" i="1"/>
  <c r="O108" i="1"/>
  <c r="N108" i="1"/>
  <c r="Q107" i="1"/>
  <c r="O107" i="1"/>
  <c r="N107" i="1"/>
  <c r="Q106" i="1"/>
  <c r="O106" i="1"/>
  <c r="N106" i="1"/>
  <c r="Q105" i="1"/>
  <c r="O105" i="1"/>
  <c r="N105" i="1"/>
  <c r="Q104" i="1"/>
  <c r="O104" i="1"/>
  <c r="N104" i="1"/>
  <c r="Q103" i="1"/>
  <c r="O103" i="1"/>
  <c r="N103" i="1"/>
  <c r="Q102" i="1"/>
  <c r="O102" i="1"/>
  <c r="N102" i="1"/>
  <c r="Q101" i="1"/>
  <c r="O101" i="1"/>
  <c r="N101" i="1"/>
  <c r="Q100" i="1"/>
  <c r="O100" i="1"/>
  <c r="N100" i="1"/>
  <c r="Q99" i="1"/>
  <c r="O99" i="1"/>
  <c r="N99" i="1"/>
  <c r="Q98" i="1"/>
  <c r="O98" i="1"/>
  <c r="N98" i="1"/>
  <c r="Q97" i="1"/>
  <c r="O97" i="1"/>
  <c r="N97" i="1"/>
  <c r="Q96" i="1"/>
  <c r="O96" i="1"/>
  <c r="N96" i="1"/>
  <c r="Q95" i="1"/>
  <c r="O95" i="1"/>
  <c r="N95" i="1"/>
  <c r="Q94" i="1"/>
  <c r="O94" i="1"/>
  <c r="N94" i="1"/>
  <c r="Q93" i="1"/>
  <c r="O93" i="1"/>
  <c r="N93" i="1"/>
  <c r="Q92" i="1"/>
  <c r="O92" i="1"/>
  <c r="N92" i="1"/>
  <c r="Q91" i="1"/>
  <c r="O91" i="1"/>
  <c r="N91" i="1"/>
  <c r="Q90" i="1"/>
  <c r="O90" i="1"/>
  <c r="N90" i="1"/>
  <c r="Q89" i="1"/>
  <c r="O89" i="1"/>
  <c r="N89" i="1"/>
  <c r="Q88" i="1"/>
  <c r="O88" i="1"/>
  <c r="N88" i="1"/>
  <c r="Q87" i="1"/>
  <c r="O87" i="1"/>
  <c r="N87" i="1"/>
  <c r="Q86" i="1"/>
  <c r="O86" i="1"/>
  <c r="N86" i="1"/>
  <c r="Q85" i="1"/>
  <c r="O85" i="1"/>
  <c r="N85" i="1"/>
  <c r="Q84" i="1"/>
  <c r="O84" i="1"/>
  <c r="N84" i="1"/>
  <c r="Q83" i="1"/>
  <c r="O83" i="1"/>
  <c r="N83" i="1"/>
  <c r="Q82" i="1"/>
  <c r="O82" i="1"/>
  <c r="N82" i="1"/>
  <c r="Q81" i="1"/>
  <c r="O81" i="1"/>
  <c r="N81" i="1"/>
  <c r="Q80" i="1"/>
  <c r="O80" i="1"/>
  <c r="N80" i="1"/>
  <c r="Q79" i="1"/>
  <c r="O79" i="1"/>
  <c r="N79" i="1"/>
  <c r="Q78" i="1"/>
  <c r="O78" i="1"/>
  <c r="N78" i="1"/>
  <c r="Q77" i="1"/>
  <c r="O77" i="1"/>
  <c r="N77" i="1"/>
  <c r="Q76" i="1"/>
  <c r="O76" i="1"/>
  <c r="N76" i="1"/>
  <c r="Q75" i="1"/>
  <c r="O75" i="1"/>
  <c r="N75" i="1"/>
  <c r="Q74" i="1"/>
  <c r="O74" i="1"/>
  <c r="N74" i="1"/>
  <c r="Q73" i="1"/>
  <c r="O73" i="1"/>
  <c r="N73" i="1"/>
  <c r="Q72" i="1"/>
  <c r="O72" i="1"/>
  <c r="N72" i="1"/>
  <c r="Q71" i="1"/>
  <c r="O71" i="1"/>
  <c r="N71" i="1"/>
  <c r="Q70" i="1"/>
  <c r="O70" i="1"/>
  <c r="N70" i="1"/>
  <c r="Q69" i="1"/>
  <c r="O69" i="1"/>
  <c r="N69" i="1"/>
  <c r="Q68" i="1"/>
  <c r="O68" i="1"/>
  <c r="N68" i="1"/>
  <c r="Q67" i="1"/>
  <c r="O67" i="1"/>
  <c r="N67" i="1"/>
  <c r="D60" i="1"/>
  <c r="P126" i="1" s="1"/>
  <c r="D59" i="1"/>
  <c r="P125" i="1" s="1"/>
  <c r="D58" i="1"/>
  <c r="P124" i="1" s="1"/>
  <c r="D57" i="1"/>
  <c r="P123" i="1" s="1"/>
  <c r="D56" i="1"/>
  <c r="P122" i="1" s="1"/>
  <c r="D55" i="1"/>
  <c r="P121" i="1" s="1"/>
  <c r="D54" i="1"/>
  <c r="P120" i="1" s="1"/>
  <c r="D53" i="1"/>
  <c r="P119" i="1" s="1"/>
  <c r="D52" i="1"/>
  <c r="P118" i="1" s="1"/>
  <c r="D51" i="1"/>
  <c r="P117" i="1" s="1"/>
  <c r="D50" i="1"/>
  <c r="P116" i="1" s="1"/>
  <c r="D49" i="1"/>
  <c r="P115" i="1" s="1"/>
  <c r="D48" i="1"/>
  <c r="P114" i="1" s="1"/>
  <c r="D47" i="1"/>
  <c r="P113" i="1" s="1"/>
  <c r="D46" i="1"/>
  <c r="P112" i="1" s="1"/>
  <c r="D45" i="1"/>
  <c r="P111" i="1" s="1"/>
  <c r="D44" i="1"/>
  <c r="P110" i="1" s="1"/>
  <c r="D43" i="1"/>
  <c r="P109" i="1" s="1"/>
  <c r="D42" i="1"/>
  <c r="P108" i="1" s="1"/>
  <c r="D41" i="1"/>
  <c r="P107" i="1" s="1"/>
  <c r="D40" i="1"/>
  <c r="P106" i="1" s="1"/>
  <c r="D39" i="1"/>
  <c r="P105" i="1" s="1"/>
  <c r="D38" i="1"/>
  <c r="P104" i="1" s="1"/>
  <c r="D37" i="1"/>
  <c r="P103" i="1" s="1"/>
  <c r="D36" i="1"/>
  <c r="P102" i="1" s="1"/>
  <c r="D35" i="1"/>
  <c r="P101" i="1" s="1"/>
  <c r="D34" i="1"/>
  <c r="P100" i="1" s="1"/>
  <c r="D33" i="1"/>
  <c r="P99" i="1" s="1"/>
  <c r="D32" i="1"/>
  <c r="P98" i="1" s="1"/>
  <c r="D31" i="1"/>
  <c r="P97" i="1" s="1"/>
  <c r="D30" i="1"/>
  <c r="P96" i="1" s="1"/>
  <c r="D29" i="1"/>
  <c r="P95" i="1" s="1"/>
  <c r="D28" i="1"/>
  <c r="P94" i="1" s="1"/>
  <c r="D27" i="1"/>
  <c r="P93" i="1" s="1"/>
  <c r="D26" i="1"/>
  <c r="P92" i="1" s="1"/>
  <c r="D25" i="1"/>
  <c r="P91" i="1" s="1"/>
  <c r="D24" i="1"/>
  <c r="P90" i="1" s="1"/>
  <c r="D23" i="1"/>
  <c r="P89" i="1" s="1"/>
  <c r="D22" i="1"/>
  <c r="P88" i="1" s="1"/>
  <c r="D21" i="1"/>
  <c r="P87" i="1" s="1"/>
  <c r="D20" i="1"/>
  <c r="P86" i="1" s="1"/>
  <c r="D19" i="1"/>
  <c r="P85" i="1" s="1"/>
  <c r="D18" i="1"/>
  <c r="P84" i="1" s="1"/>
  <c r="D17" i="1"/>
  <c r="P83" i="1" s="1"/>
  <c r="D16" i="1"/>
  <c r="P82" i="1" s="1"/>
  <c r="D15" i="1"/>
  <c r="P81" i="1" s="1"/>
  <c r="D14" i="1"/>
  <c r="P80" i="1" s="1"/>
  <c r="D13" i="1"/>
  <c r="P79" i="1" s="1"/>
  <c r="D12" i="1"/>
  <c r="P78" i="1" s="1"/>
  <c r="D11" i="1"/>
  <c r="P77" i="1" s="1"/>
  <c r="D10" i="1"/>
  <c r="P76" i="1" s="1"/>
  <c r="D9" i="1"/>
  <c r="P75" i="1" s="1"/>
  <c r="D8" i="1"/>
  <c r="P74" i="1" s="1"/>
  <c r="D7" i="1"/>
  <c r="P73" i="1" s="1"/>
  <c r="D6" i="1"/>
  <c r="P72" i="1" s="1"/>
  <c r="D5" i="1"/>
  <c r="P71" i="1" s="1"/>
  <c r="D4" i="1"/>
  <c r="P70" i="1" s="1"/>
  <c r="D3" i="1"/>
  <c r="P69" i="1" s="1"/>
  <c r="D2" i="1"/>
  <c r="P68" i="1" s="1"/>
  <c r="D1" i="1"/>
  <c r="P67" i="1" s="1"/>
  <c r="N49" i="15"/>
  <c r="J48" i="15"/>
  <c r="P40" i="15"/>
  <c r="J49" i="15" s="1"/>
  <c r="S37" i="15"/>
  <c r="G37" i="15"/>
  <c r="S36" i="15"/>
  <c r="N47" i="15" s="1"/>
  <c r="G36" i="15"/>
  <c r="O34" i="15"/>
  <c r="O33" i="15"/>
  <c r="M31" i="15"/>
  <c r="M30" i="15"/>
  <c r="S29" i="15"/>
  <c r="C29" i="15"/>
  <c r="S28" i="15"/>
  <c r="N48" i="15" s="1"/>
  <c r="C28" i="15"/>
  <c r="N46" i="15" s="1"/>
  <c r="L26" i="15"/>
  <c r="I26" i="15"/>
  <c r="L25" i="15"/>
  <c r="I25" i="15"/>
  <c r="G27" i="15" s="1"/>
  <c r="J47" i="15" s="1"/>
  <c r="P23" i="15"/>
  <c r="P22" i="15"/>
  <c r="Q11" i="15" s="1"/>
  <c r="K21" i="15"/>
  <c r="X20" i="15"/>
  <c r="O20" i="15"/>
  <c r="K20" i="15"/>
  <c r="D17" i="15"/>
  <c r="M16" i="15"/>
  <c r="D16" i="15"/>
  <c r="M15" i="15"/>
  <c r="Q14" i="15"/>
  <c r="H13" i="15"/>
  <c r="J12" i="15"/>
  <c r="H12" i="15"/>
  <c r="J11" i="15"/>
  <c r="Y19" i="15" s="1"/>
  <c r="C9" i="15"/>
  <c r="Q8" i="15"/>
  <c r="C8" i="15"/>
  <c r="N45" i="15" s="1"/>
  <c r="I7" i="15"/>
  <c r="F7" i="15"/>
  <c r="I6" i="15"/>
  <c r="G45" i="15" s="1"/>
  <c r="G50" i="15" s="1"/>
  <c r="F6" i="15"/>
  <c r="I93" i="5"/>
  <c r="I120" i="5" s="1"/>
  <c r="N91" i="5"/>
  <c r="K118" i="5" s="1"/>
  <c r="M82" i="5"/>
  <c r="J109" i="5" s="1"/>
  <c r="M78" i="5"/>
  <c r="J105" i="5" s="1"/>
  <c r="R71" i="5"/>
  <c r="S69" i="5"/>
  <c r="V69" i="5" s="1"/>
  <c r="O69" i="5"/>
  <c r="G38" i="15" s="1"/>
  <c r="N60" i="15" s="1"/>
  <c r="K69" i="5"/>
  <c r="N96" i="5" s="1"/>
  <c r="K123" i="5" s="1"/>
  <c r="J69" i="5"/>
  <c r="R69" i="5" s="1"/>
  <c r="T69" i="5" s="1"/>
  <c r="I69" i="5"/>
  <c r="I96" i="5" s="1"/>
  <c r="I123" i="5" s="1"/>
  <c r="H69" i="5"/>
  <c r="O68" i="5"/>
  <c r="S38" i="15" s="1"/>
  <c r="N58" i="15" s="1"/>
  <c r="K68" i="5"/>
  <c r="S68" i="5" s="1"/>
  <c r="V68" i="5" s="1"/>
  <c r="J68" i="5"/>
  <c r="M95" i="5" s="1"/>
  <c r="J122" i="5" s="1"/>
  <c r="I68" i="5"/>
  <c r="I95" i="5" s="1"/>
  <c r="I122" i="5" s="1"/>
  <c r="H68" i="5"/>
  <c r="O67" i="5"/>
  <c r="I67" i="5"/>
  <c r="I94" i="5" s="1"/>
  <c r="I121" i="5" s="1"/>
  <c r="H67" i="5"/>
  <c r="O66" i="5"/>
  <c r="O35" i="15" s="1"/>
  <c r="K66" i="5"/>
  <c r="S66" i="5" s="1"/>
  <c r="V66" i="5" s="1"/>
  <c r="J66" i="5"/>
  <c r="R66" i="5" s="1"/>
  <c r="T66" i="5" s="1"/>
  <c r="I66" i="5"/>
  <c r="H66" i="5"/>
  <c r="O65" i="5"/>
  <c r="S30" i="15" s="1"/>
  <c r="N59" i="15" s="1"/>
  <c r="K65" i="5"/>
  <c r="N92" i="5" s="1"/>
  <c r="K119" i="5" s="1"/>
  <c r="J65" i="5"/>
  <c r="M92" i="5" s="1"/>
  <c r="J119" i="5" s="1"/>
  <c r="I65" i="5"/>
  <c r="I92" i="5" s="1"/>
  <c r="I119" i="5" s="1"/>
  <c r="H65" i="5"/>
  <c r="R64" i="5"/>
  <c r="T64" i="5" s="1"/>
  <c r="O64" i="5"/>
  <c r="K64" i="5"/>
  <c r="S64" i="5" s="1"/>
  <c r="V64" i="5" s="1"/>
  <c r="J64" i="5"/>
  <c r="M91" i="5" s="1"/>
  <c r="J118" i="5" s="1"/>
  <c r="I64" i="5"/>
  <c r="I91" i="5" s="1"/>
  <c r="I118" i="5" s="1"/>
  <c r="H64" i="5"/>
  <c r="S63" i="5"/>
  <c r="V63" i="5" s="1"/>
  <c r="O63" i="5"/>
  <c r="P24" i="15" s="1"/>
  <c r="K63" i="5"/>
  <c r="N90" i="5" s="1"/>
  <c r="K117" i="5" s="1"/>
  <c r="J63" i="5"/>
  <c r="R63" i="5" s="1"/>
  <c r="T63" i="5" s="1"/>
  <c r="I63" i="5"/>
  <c r="I90" i="5" s="1"/>
  <c r="I117" i="5" s="1"/>
  <c r="H63" i="5"/>
  <c r="O62" i="5"/>
  <c r="I62" i="5"/>
  <c r="I89" i="5" s="1"/>
  <c r="I116" i="5" s="1"/>
  <c r="H62" i="5"/>
  <c r="S61" i="5"/>
  <c r="V61" i="5" s="1"/>
  <c r="O61" i="5"/>
  <c r="M32" i="15" s="1"/>
  <c r="K61" i="5"/>
  <c r="N88" i="5" s="1"/>
  <c r="K115" i="5" s="1"/>
  <c r="J61" i="5"/>
  <c r="R61" i="5" s="1"/>
  <c r="T61" i="5" s="1"/>
  <c r="I61" i="5"/>
  <c r="I88" i="5" s="1"/>
  <c r="I115" i="5" s="1"/>
  <c r="H61" i="5"/>
  <c r="O60" i="5"/>
  <c r="M17" i="15" s="1"/>
  <c r="K60" i="5"/>
  <c r="S60" i="5" s="1"/>
  <c r="V60" i="5" s="1"/>
  <c r="J60" i="5"/>
  <c r="M87" i="5" s="1"/>
  <c r="J114" i="5" s="1"/>
  <c r="I60" i="5"/>
  <c r="I87" i="5" s="1"/>
  <c r="I114" i="5" s="1"/>
  <c r="H60" i="5"/>
  <c r="O59" i="5"/>
  <c r="L27" i="15" s="1"/>
  <c r="I59" i="5"/>
  <c r="I86" i="5" s="1"/>
  <c r="I113" i="5" s="1"/>
  <c r="H59" i="5"/>
  <c r="S58" i="5"/>
  <c r="V58" i="5" s="1"/>
  <c r="R58" i="5"/>
  <c r="T58" i="5" s="1"/>
  <c r="O58" i="5"/>
  <c r="I27" i="15" s="1"/>
  <c r="K58" i="5"/>
  <c r="N85" i="5" s="1"/>
  <c r="K112" i="5" s="1"/>
  <c r="J58" i="5"/>
  <c r="M85" i="5" s="1"/>
  <c r="J112" i="5" s="1"/>
  <c r="I58" i="5"/>
  <c r="I85" i="5" s="1"/>
  <c r="I112" i="5" s="1"/>
  <c r="H58" i="5"/>
  <c r="AB57" i="5"/>
  <c r="T57" i="5"/>
  <c r="R57" i="5"/>
  <c r="O57" i="5"/>
  <c r="C30" i="15" s="1"/>
  <c r="N57" i="15" s="1"/>
  <c r="K57" i="5"/>
  <c r="N84" i="5" s="1"/>
  <c r="K111" i="5" s="1"/>
  <c r="J57" i="5"/>
  <c r="M84" i="5" s="1"/>
  <c r="J111" i="5" s="1"/>
  <c r="I57" i="5"/>
  <c r="I84" i="5" s="1"/>
  <c r="I111" i="5" s="1"/>
  <c r="H57" i="5"/>
  <c r="O56" i="5"/>
  <c r="J58" i="15" s="1"/>
  <c r="I56" i="5"/>
  <c r="I83" i="5" s="1"/>
  <c r="I110" i="5" s="1"/>
  <c r="H56" i="5"/>
  <c r="D56" i="5"/>
  <c r="G56" i="5" s="1"/>
  <c r="T55" i="5"/>
  <c r="R55" i="5"/>
  <c r="O55" i="5"/>
  <c r="D18" i="15" s="1"/>
  <c r="K55" i="5"/>
  <c r="F56" i="5" s="1"/>
  <c r="K56" i="5" s="1"/>
  <c r="J55" i="5"/>
  <c r="I55" i="5"/>
  <c r="I82" i="5" s="1"/>
  <c r="I109" i="5" s="1"/>
  <c r="H55" i="5"/>
  <c r="V54" i="5"/>
  <c r="S54" i="5"/>
  <c r="O54" i="5"/>
  <c r="K22" i="15" s="1"/>
  <c r="K54" i="5"/>
  <c r="N81" i="5" s="1"/>
  <c r="K108" i="5" s="1"/>
  <c r="J54" i="5"/>
  <c r="M81" i="5" s="1"/>
  <c r="J108" i="5" s="1"/>
  <c r="I54" i="5"/>
  <c r="I81" i="5" s="1"/>
  <c r="I108" i="5" s="1"/>
  <c r="H54" i="5"/>
  <c r="O53" i="5"/>
  <c r="I53" i="5"/>
  <c r="I80" i="5" s="1"/>
  <c r="I107" i="5" s="1"/>
  <c r="H53" i="5"/>
  <c r="O52" i="5"/>
  <c r="J13" i="15" s="1"/>
  <c r="I52" i="5"/>
  <c r="I79" i="5" s="1"/>
  <c r="I106" i="5" s="1"/>
  <c r="H52" i="5"/>
  <c r="R51" i="5"/>
  <c r="T51" i="5" s="1"/>
  <c r="O51" i="5"/>
  <c r="K51" i="5"/>
  <c r="N78" i="5" s="1"/>
  <c r="K105" i="5" s="1"/>
  <c r="I51" i="5"/>
  <c r="I78" i="5" s="1"/>
  <c r="I105" i="5" s="1"/>
  <c r="H51" i="5"/>
  <c r="O50" i="5"/>
  <c r="H14" i="15" s="1"/>
  <c r="I50" i="5"/>
  <c r="I77" i="5" s="1"/>
  <c r="I104" i="5" s="1"/>
  <c r="H50" i="5"/>
  <c r="O49" i="5"/>
  <c r="I49" i="5"/>
  <c r="I76" i="5" s="1"/>
  <c r="I103" i="5" s="1"/>
  <c r="H49" i="5"/>
  <c r="S48" i="5"/>
  <c r="V48" i="5" s="1"/>
  <c r="R48" i="5"/>
  <c r="T48" i="5" s="1"/>
  <c r="O48" i="5"/>
  <c r="C10" i="15" s="1"/>
  <c r="N56" i="15" s="1"/>
  <c r="N61" i="15" s="1"/>
  <c r="K48" i="5"/>
  <c r="N75" i="5" s="1"/>
  <c r="K102" i="5" s="1"/>
  <c r="J48" i="5"/>
  <c r="M75" i="5" s="1"/>
  <c r="J102" i="5" s="1"/>
  <c r="I48" i="5"/>
  <c r="I75" i="5" s="1"/>
  <c r="I102" i="5" s="1"/>
  <c r="H48" i="5"/>
  <c r="S47" i="5"/>
  <c r="V47" i="5" s="1"/>
  <c r="O47" i="5"/>
  <c r="F8" i="15" s="1"/>
  <c r="K47" i="5"/>
  <c r="N74" i="5" s="1"/>
  <c r="K101" i="5" s="1"/>
  <c r="J47" i="5"/>
  <c r="R47" i="5" s="1"/>
  <c r="T47" i="5" s="1"/>
  <c r="I47" i="5"/>
  <c r="I74" i="5" s="1"/>
  <c r="I101" i="5" s="1"/>
  <c r="H47" i="5"/>
  <c r="T46" i="5"/>
  <c r="R46" i="5"/>
  <c r="O46" i="5"/>
  <c r="I8" i="15" s="1"/>
  <c r="G56" i="15" s="1"/>
  <c r="G61" i="15" s="1"/>
  <c r="K46" i="5"/>
  <c r="N73" i="5" s="1"/>
  <c r="K100" i="5" s="1"/>
  <c r="J46" i="5"/>
  <c r="M73" i="5" s="1"/>
  <c r="J100" i="5" s="1"/>
  <c r="AB58" i="5" s="1"/>
  <c r="I46" i="5"/>
  <c r="I73" i="5" s="1"/>
  <c r="I100" i="5" s="1"/>
  <c r="H46" i="5"/>
  <c r="AC55" i="5"/>
  <c r="AB55" i="5"/>
  <c r="AC54" i="5"/>
  <c r="AB54" i="5"/>
  <c r="AC53" i="5"/>
  <c r="AB53" i="5"/>
  <c r="AC52" i="5"/>
  <c r="AB52" i="5"/>
  <c r="AC51" i="5"/>
  <c r="AB51" i="5"/>
  <c r="AC50" i="5"/>
  <c r="AB50" i="5"/>
  <c r="AC49" i="5"/>
  <c r="AB49" i="5"/>
  <c r="AC48" i="5"/>
  <c r="AB48" i="5"/>
  <c r="AC47" i="5"/>
  <c r="AB47" i="5"/>
  <c r="AC46" i="5"/>
  <c r="AB46" i="5"/>
  <c r="AC45" i="5"/>
  <c r="AB45" i="5" a="1"/>
  <c r="AB45" i="5"/>
  <c r="T45" i="5"/>
  <c r="AH42" i="5"/>
  <c r="AG42" i="5"/>
  <c r="AH41" i="5"/>
  <c r="AG41" i="5"/>
  <c r="AH40" i="5"/>
  <c r="AG40" i="5"/>
  <c r="AH39" i="5"/>
  <c r="AG39" i="5"/>
  <c r="AH38" i="5"/>
  <c r="AG38" i="5"/>
  <c r="AH37" i="5"/>
  <c r="AG37" i="5"/>
  <c r="AH36" i="5"/>
  <c r="AG36" i="5"/>
  <c r="AH35" i="5"/>
  <c r="AG35" i="5"/>
  <c r="AH34" i="5"/>
  <c r="AG34" i="5"/>
  <c r="AH33" i="5"/>
  <c r="AG33" i="5"/>
  <c r="AH32" i="5"/>
  <c r="AG32" i="5"/>
  <c r="AH31" i="5"/>
  <c r="AG31" i="5"/>
  <c r="AH30" i="5"/>
  <c r="AG30" i="5"/>
  <c r="AH29" i="5"/>
  <c r="AG29" i="5"/>
  <c r="AH28" i="5"/>
  <c r="AG28" i="5"/>
  <c r="AH27" i="5"/>
  <c r="AG27" i="5"/>
  <c r="AH26" i="5"/>
  <c r="AG26" i="5"/>
  <c r="AH25" i="5"/>
  <c r="AG25" i="5"/>
  <c r="AH24" i="5"/>
  <c r="AG24" i="5"/>
  <c r="AH23" i="5"/>
  <c r="AG23" i="5"/>
  <c r="AG22" i="5"/>
  <c r="AH21" i="5"/>
  <c r="AG21" i="5"/>
  <c r="AH20" i="5"/>
  <c r="AG20" i="5"/>
  <c r="AH19" i="5"/>
  <c r="AG19" i="5"/>
  <c r="AU14" i="5"/>
  <c r="AT14" i="5"/>
  <c r="AS14" i="5"/>
  <c r="AR14" i="5"/>
  <c r="AQ14" i="5"/>
  <c r="AP14" i="5"/>
  <c r="AO14" i="5"/>
  <c r="AN14" i="5"/>
  <c r="AM14" i="5"/>
  <c r="AL14" i="5"/>
  <c r="AK14" i="5"/>
  <c r="AJ14" i="5"/>
  <c r="AI14" i="5"/>
  <c r="AH14" i="5"/>
  <c r="AG14" i="5"/>
  <c r="AF14" i="5"/>
  <c r="AE14" i="5"/>
  <c r="AD14" i="5"/>
  <c r="AC14" i="5"/>
  <c r="AB14" i="5"/>
  <c r="AA14" i="5"/>
  <c r="Z14" i="5"/>
  <c r="Y14" i="5"/>
  <c r="X14" i="5"/>
  <c r="W14" i="5"/>
  <c r="AU13" i="5"/>
  <c r="AT13" i="5"/>
  <c r="AS13" i="5"/>
  <c r="AR13" i="5"/>
  <c r="AQ13" i="5"/>
  <c r="AP13" i="5"/>
  <c r="AO13" i="5"/>
  <c r="AN13" i="5"/>
  <c r="AM13" i="5"/>
  <c r="AL13" i="5"/>
  <c r="AK13" i="5"/>
  <c r="AJ13" i="5"/>
  <c r="AI13" i="5"/>
  <c r="AH13" i="5"/>
  <c r="AG13" i="5"/>
  <c r="AF13" i="5"/>
  <c r="AE13" i="5"/>
  <c r="AD13" i="5"/>
  <c r="AC13" i="5"/>
  <c r="AB13" i="5"/>
  <c r="AA13" i="5"/>
  <c r="Z13" i="5"/>
  <c r="Y13" i="5"/>
  <c r="X13" i="5"/>
  <c r="W13" i="5"/>
  <c r="AU12" i="5"/>
  <c r="AT12" i="5"/>
  <c r="AS12" i="5"/>
  <c r="AR12" i="5"/>
  <c r="AQ12" i="5"/>
  <c r="AP12" i="5"/>
  <c r="AO12" i="5"/>
  <c r="AN12" i="5"/>
  <c r="AM12" i="5"/>
  <c r="AL12" i="5"/>
  <c r="AK12" i="5"/>
  <c r="AJ12" i="5"/>
  <c r="AI12" i="5"/>
  <c r="AH12" i="5"/>
  <c r="AG12" i="5"/>
  <c r="AF12" i="5"/>
  <c r="AE12" i="5"/>
  <c r="AD12" i="5"/>
  <c r="AC12" i="5"/>
  <c r="AB12" i="5"/>
  <c r="AA12" i="5"/>
  <c r="Z12" i="5"/>
  <c r="Y12" i="5"/>
  <c r="X12" i="5"/>
  <c r="W12" i="5"/>
  <c r="AU11" i="5"/>
  <c r="AT11" i="5"/>
  <c r="AS11" i="5"/>
  <c r="AR11" i="5"/>
  <c r="AQ11" i="5"/>
  <c r="AP11" i="5"/>
  <c r="AO11" i="5"/>
  <c r="AN11" i="5"/>
  <c r="AM11" i="5"/>
  <c r="AL11" i="5"/>
  <c r="AK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X11" i="5"/>
  <c r="W11" i="5"/>
  <c r="AU10" i="5"/>
  <c r="AT10" i="5"/>
  <c r="AS10" i="5"/>
  <c r="AR10" i="5"/>
  <c r="AQ10" i="5"/>
  <c r="AP10" i="5"/>
  <c r="AO10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X10" i="5"/>
  <c r="W10" i="5"/>
  <c r="AU9" i="5"/>
  <c r="AT9" i="5"/>
  <c r="AS9" i="5"/>
  <c r="AR9" i="5"/>
  <c r="AQ9" i="5"/>
  <c r="AP9" i="5"/>
  <c r="AO9" i="5"/>
  <c r="AN9" i="5"/>
  <c r="AM9" i="5"/>
  <c r="AL9" i="5"/>
  <c r="AK9" i="5"/>
  <c r="AJ9" i="5"/>
  <c r="AI9" i="5"/>
  <c r="AH9" i="5"/>
  <c r="AG9" i="5"/>
  <c r="AF9" i="5"/>
  <c r="AE9" i="5"/>
  <c r="AD9" i="5"/>
  <c r="AC9" i="5"/>
  <c r="AB9" i="5"/>
  <c r="AA9" i="5"/>
  <c r="Z9" i="5"/>
  <c r="Y9" i="5"/>
  <c r="X9" i="5"/>
  <c r="W9" i="5"/>
  <c r="AU8" i="5"/>
  <c r="AT8" i="5"/>
  <c r="AS8" i="5"/>
  <c r="AR8" i="5"/>
  <c r="AQ8" i="5"/>
  <c r="AP8" i="5"/>
  <c r="AO8" i="5"/>
  <c r="AN8" i="5"/>
  <c r="AM8" i="5"/>
  <c r="AL8" i="5"/>
  <c r="AK8" i="5"/>
  <c r="AJ8" i="5"/>
  <c r="AI8" i="5"/>
  <c r="AH8" i="5"/>
  <c r="AG8" i="5"/>
  <c r="AF8" i="5"/>
  <c r="AE8" i="5"/>
  <c r="AD8" i="5"/>
  <c r="AC8" i="5"/>
  <c r="AB8" i="5"/>
  <c r="AA8" i="5"/>
  <c r="Z8" i="5"/>
  <c r="Y8" i="5"/>
  <c r="X8" i="5"/>
  <c r="W8" i="5"/>
  <c r="AU7" i="5"/>
  <c r="AT7" i="5"/>
  <c r="AS7" i="5"/>
  <c r="AR7" i="5"/>
  <c r="AQ7" i="5"/>
  <c r="AP7" i="5"/>
  <c r="AO7" i="5"/>
  <c r="AN7" i="5"/>
  <c r="AM7" i="5"/>
  <c r="AL7" i="5"/>
  <c r="AK7" i="5"/>
  <c r="AJ7" i="5"/>
  <c r="AI7" i="5"/>
  <c r="AH7" i="5"/>
  <c r="AG7" i="5"/>
  <c r="AF7" i="5"/>
  <c r="AE7" i="5"/>
  <c r="AD7" i="5"/>
  <c r="AC7" i="5"/>
  <c r="AB7" i="5"/>
  <c r="AA7" i="5"/>
  <c r="Z7" i="5"/>
  <c r="Y7" i="5"/>
  <c r="X7" i="5"/>
  <c r="W7" i="5"/>
  <c r="AU6" i="5"/>
  <c r="AT6" i="5"/>
  <c r="AS6" i="5"/>
  <c r="AR6" i="5"/>
  <c r="AQ6" i="5"/>
  <c r="AP6" i="5"/>
  <c r="AO6" i="5"/>
  <c r="AN6" i="5"/>
  <c r="AM6" i="5"/>
  <c r="AL6" i="5"/>
  <c r="AK6" i="5"/>
  <c r="AJ6" i="5"/>
  <c r="AI6" i="5"/>
  <c r="AH6" i="5"/>
  <c r="AG6" i="5"/>
  <c r="AF6" i="5"/>
  <c r="AE6" i="5"/>
  <c r="AD6" i="5"/>
  <c r="AC6" i="5"/>
  <c r="AB6" i="5"/>
  <c r="AA6" i="5"/>
  <c r="Z6" i="5"/>
  <c r="Y6" i="5"/>
  <c r="X6" i="5"/>
  <c r="W6" i="5"/>
  <c r="AU5" i="5"/>
  <c r="AT5" i="5"/>
  <c r="AS5" i="5"/>
  <c r="AR5" i="5"/>
  <c r="AQ5" i="5"/>
  <c r="AP5" i="5"/>
  <c r="AO5" i="5"/>
  <c r="AN5" i="5"/>
  <c r="AM5" i="5"/>
  <c r="AL5" i="5"/>
  <c r="AK5" i="5"/>
  <c r="AJ5" i="5"/>
  <c r="AI5" i="5"/>
  <c r="AH5" i="5"/>
  <c r="AG5" i="5"/>
  <c r="AF5" i="5"/>
  <c r="AE5" i="5"/>
  <c r="AD5" i="5"/>
  <c r="AC5" i="5"/>
  <c r="AB5" i="5"/>
  <c r="AA5" i="5"/>
  <c r="Z5" i="5"/>
  <c r="Y5" i="5"/>
  <c r="X5" i="5"/>
  <c r="W5" i="5"/>
  <c r="AU4" i="5"/>
  <c r="AT4" i="5"/>
  <c r="AS4" i="5"/>
  <c r="AR4" i="5"/>
  <c r="AQ4" i="5"/>
  <c r="AP4" i="5"/>
  <c r="AO4" i="5"/>
  <c r="AN4" i="5"/>
  <c r="AM4" i="5"/>
  <c r="AL4" i="5"/>
  <c r="AK4" i="5"/>
  <c r="AJ4" i="5"/>
  <c r="AI4" i="5"/>
  <c r="AH4" i="5"/>
  <c r="AG4" i="5"/>
  <c r="AF4" i="5"/>
  <c r="AE4" i="5"/>
  <c r="AD4" i="5"/>
  <c r="AC4" i="5"/>
  <c r="AB4" i="5"/>
  <c r="AA4" i="5"/>
  <c r="Z4" i="5"/>
  <c r="Y4" i="5"/>
  <c r="X4" i="5"/>
  <c r="W4" i="5"/>
  <c r="AU3" i="5"/>
  <c r="AT3" i="5"/>
  <c r="AS3" i="5"/>
  <c r="AR3" i="5"/>
  <c r="AQ3" i="5"/>
  <c r="AP3" i="5"/>
  <c r="AO3" i="5"/>
  <c r="AN3" i="5"/>
  <c r="AM3" i="5"/>
  <c r="AL3" i="5"/>
  <c r="AK3" i="5"/>
  <c r="AJ3" i="5"/>
  <c r="AI3" i="5"/>
  <c r="AH3" i="5"/>
  <c r="AG3" i="5"/>
  <c r="AF3" i="5"/>
  <c r="AE3" i="5"/>
  <c r="AD3" i="5"/>
  <c r="AC3" i="5"/>
  <c r="AB3" i="5"/>
  <c r="AA3" i="5"/>
  <c r="Z3" i="5"/>
  <c r="Y3" i="5"/>
  <c r="X3" i="5"/>
  <c r="W3" i="5" a="1"/>
  <c r="W3" i="5"/>
  <c r="I22" i="3"/>
  <c r="G22" i="3"/>
  <c r="H22" i="3" s="1"/>
  <c r="F22" i="3"/>
  <c r="E22" i="3"/>
  <c r="D22" i="3"/>
  <c r="C22" i="3"/>
  <c r="F21" i="3"/>
  <c r="D21" i="3"/>
  <c r="C21" i="3"/>
  <c r="I20" i="3"/>
  <c r="G20" i="3"/>
  <c r="H20" i="3" s="1"/>
  <c r="F20" i="3"/>
  <c r="E20" i="3"/>
  <c r="D20" i="3"/>
  <c r="C20" i="3"/>
  <c r="F19" i="3"/>
  <c r="D19" i="3"/>
  <c r="C19" i="3"/>
  <c r="I18" i="3"/>
  <c r="G18" i="3"/>
  <c r="H18" i="3" s="1"/>
  <c r="F18" i="3"/>
  <c r="E18" i="3"/>
  <c r="D18" i="3"/>
  <c r="C18" i="3"/>
  <c r="F17" i="3"/>
  <c r="D17" i="3"/>
  <c r="C17" i="3"/>
  <c r="I16" i="3"/>
  <c r="G16" i="3"/>
  <c r="H16" i="3" s="1"/>
  <c r="F16" i="3"/>
  <c r="E16" i="3"/>
  <c r="D16" i="3"/>
  <c r="I15" i="3"/>
  <c r="G15" i="3"/>
  <c r="H15" i="3" s="1"/>
  <c r="F15" i="3"/>
  <c r="E15" i="3"/>
  <c r="D15" i="3"/>
  <c r="I14" i="3"/>
  <c r="G14" i="3"/>
  <c r="H14" i="3" s="1"/>
  <c r="F14" i="3"/>
  <c r="E14" i="3"/>
  <c r="D14" i="3"/>
  <c r="C14" i="3"/>
  <c r="F13" i="3"/>
  <c r="D13" i="3"/>
  <c r="C13" i="3"/>
  <c r="I12" i="3"/>
  <c r="G12" i="3"/>
  <c r="H12" i="3" s="1"/>
  <c r="F12" i="3"/>
  <c r="E12" i="3"/>
  <c r="D12" i="3"/>
  <c r="C12" i="3"/>
  <c r="F11" i="3"/>
  <c r="D11" i="3"/>
  <c r="C11" i="3"/>
  <c r="I10" i="3"/>
  <c r="G10" i="3"/>
  <c r="H10" i="3" s="1"/>
  <c r="F10" i="3"/>
  <c r="E10" i="3"/>
  <c r="D10" i="3"/>
  <c r="C10" i="3"/>
  <c r="F9" i="3"/>
  <c r="F67" i="5" s="1"/>
  <c r="K67" i="5" s="1"/>
  <c r="D9" i="3"/>
  <c r="F8" i="3"/>
  <c r="F62" i="5" s="1"/>
  <c r="K62" i="5" s="1"/>
  <c r="D8" i="3"/>
  <c r="F7" i="3"/>
  <c r="D7" i="3"/>
  <c r="F6" i="3"/>
  <c r="F53" i="5" s="1"/>
  <c r="D6" i="3"/>
  <c r="F5" i="3"/>
  <c r="F49" i="5" s="1"/>
  <c r="K49" i="5" s="1"/>
  <c r="D5" i="3"/>
  <c r="N76" i="5" l="1"/>
  <c r="K103" i="5" s="1"/>
  <c r="S49" i="5"/>
  <c r="V49" i="5" s="1"/>
  <c r="D62" i="5"/>
  <c r="G8" i="3"/>
  <c r="I8" i="3"/>
  <c r="E8" i="3"/>
  <c r="Q15" i="15"/>
  <c r="I7" i="3"/>
  <c r="E7" i="3"/>
  <c r="E56" i="5" s="1"/>
  <c r="J56" i="5" s="1"/>
  <c r="G7" i="3"/>
  <c r="G11" i="3"/>
  <c r="H11" i="3" s="1"/>
  <c r="I11" i="3"/>
  <c r="E11" i="3"/>
  <c r="I19" i="3"/>
  <c r="E19" i="3"/>
  <c r="G19" i="3"/>
  <c r="H19" i="3" s="1"/>
  <c r="S56" i="5"/>
  <c r="V56" i="5" s="1"/>
  <c r="N83" i="5"/>
  <c r="K110" i="5" s="1"/>
  <c r="Q9" i="15"/>
  <c r="S67" i="5"/>
  <c r="V67" i="5" s="1"/>
  <c r="N94" i="5"/>
  <c r="K121" i="5" s="1"/>
  <c r="S62" i="5"/>
  <c r="V62" i="5" s="1"/>
  <c r="N89" i="5"/>
  <c r="K116" i="5" s="1"/>
  <c r="G6" i="3"/>
  <c r="D53" i="5"/>
  <c r="G53" i="5" s="1"/>
  <c r="I6" i="3"/>
  <c r="E6" i="3"/>
  <c r="E53" i="5" s="1"/>
  <c r="J53" i="5" s="1"/>
  <c r="D49" i="5"/>
  <c r="G49" i="5" s="1"/>
  <c r="J56" i="15" s="1"/>
  <c r="J61" i="15" s="1"/>
  <c r="N63" i="15" s="1"/>
  <c r="I5" i="3"/>
  <c r="E5" i="3"/>
  <c r="E49" i="5" s="1"/>
  <c r="J49" i="5" s="1"/>
  <c r="G5" i="3"/>
  <c r="D67" i="5"/>
  <c r="G67" i="5" s="1"/>
  <c r="J60" i="15" s="1"/>
  <c r="I9" i="3"/>
  <c r="E9" i="3"/>
  <c r="E67" i="5" s="1"/>
  <c r="J67" i="5" s="1"/>
  <c r="G9" i="3"/>
  <c r="I13" i="3"/>
  <c r="E13" i="3"/>
  <c r="G13" i="3"/>
  <c r="H13" i="3" s="1"/>
  <c r="G17" i="3"/>
  <c r="H17" i="3" s="1"/>
  <c r="I17" i="3"/>
  <c r="E17" i="3"/>
  <c r="G21" i="3"/>
  <c r="H21" i="3" s="1"/>
  <c r="I21" i="3"/>
  <c r="E21" i="3"/>
  <c r="J57" i="15"/>
  <c r="Q12" i="15"/>
  <c r="N50" i="15"/>
  <c r="AH22" i="5"/>
  <c r="J50" i="5"/>
  <c r="K50" i="5" s="1"/>
  <c r="S51" i="5"/>
  <c r="V51" i="5" s="1"/>
  <c r="R54" i="5"/>
  <c r="T54" i="5" s="1"/>
  <c r="M74" i="5"/>
  <c r="J101" i="5" s="1"/>
  <c r="N87" i="5"/>
  <c r="K114" i="5" s="1"/>
  <c r="M90" i="5"/>
  <c r="J117" i="5" s="1"/>
  <c r="N95" i="5"/>
  <c r="K122" i="5" s="1"/>
  <c r="J19" i="15"/>
  <c r="J46" i="15" s="1"/>
  <c r="R65" i="5"/>
  <c r="T65" i="5" s="1"/>
  <c r="N82" i="5"/>
  <c r="K109" i="5" s="1"/>
  <c r="M93" i="5"/>
  <c r="J120" i="5" s="1"/>
  <c r="I32" i="15"/>
  <c r="S46" i="5"/>
  <c r="V46" i="5" s="1"/>
  <c r="V45" i="5" s="1"/>
  <c r="AE44" i="5" s="1"/>
  <c r="S55" i="5"/>
  <c r="V55" i="5" s="1"/>
  <c r="S57" i="5"/>
  <c r="V57" i="5" s="1"/>
  <c r="J59" i="5"/>
  <c r="R60" i="5"/>
  <c r="T60" i="5" s="1"/>
  <c r="S65" i="5"/>
  <c r="V65" i="5" s="1"/>
  <c r="R68" i="5"/>
  <c r="T68" i="5" s="1"/>
  <c r="M88" i="5"/>
  <c r="J115" i="5" s="1"/>
  <c r="N93" i="5"/>
  <c r="K120" i="5" s="1"/>
  <c r="M96" i="5"/>
  <c r="J123" i="5" s="1"/>
  <c r="E7" i="15"/>
  <c r="J45" i="15" s="1"/>
  <c r="J50" i="15" s="1"/>
  <c r="N52" i="15" s="1"/>
  <c r="K59" i="5"/>
  <c r="N77" i="5" l="1"/>
  <c r="K104" i="5" s="1"/>
  <c r="K52" i="5"/>
  <c r="S50" i="5"/>
  <c r="V50" i="5" s="1"/>
  <c r="N11" i="5"/>
  <c r="H6" i="3"/>
  <c r="P53" i="5" s="1"/>
  <c r="M14" i="5"/>
  <c r="H7" i="3"/>
  <c r="P56" i="5" s="1"/>
  <c r="Q20" i="5"/>
  <c r="H8" i="3"/>
  <c r="P62" i="5" s="1"/>
  <c r="S59" i="5"/>
  <c r="V59" i="5" s="1"/>
  <c r="N86" i="5"/>
  <c r="K113" i="5" s="1"/>
  <c r="R59" i="5"/>
  <c r="T59" i="5" s="1"/>
  <c r="M86" i="5"/>
  <c r="J113" i="5" s="1"/>
  <c r="T25" i="5"/>
  <c r="H9" i="3"/>
  <c r="P67" i="5" s="1"/>
  <c r="J7" i="5"/>
  <c r="H5" i="3"/>
  <c r="P49" i="5" s="1"/>
  <c r="R53" i="5"/>
  <c r="T53" i="5" s="1"/>
  <c r="K53" i="5"/>
  <c r="M80" i="5"/>
  <c r="J107" i="5" s="1"/>
  <c r="Q53" i="5"/>
  <c r="M83" i="5"/>
  <c r="J110" i="5" s="1"/>
  <c r="Q56" i="5"/>
  <c r="R56" i="5"/>
  <c r="T56" i="5" s="1"/>
  <c r="G62" i="5"/>
  <c r="J59" i="15" s="1"/>
  <c r="E62" i="5"/>
  <c r="J62" i="5" s="1"/>
  <c r="R50" i="5"/>
  <c r="T50" i="5" s="1"/>
  <c r="J52" i="5"/>
  <c r="M77" i="5"/>
  <c r="J104" i="5" s="1"/>
  <c r="R67" i="5"/>
  <c r="T67" i="5" s="1"/>
  <c r="M94" i="5"/>
  <c r="J121" i="5" s="1"/>
  <c r="Q67" i="5"/>
  <c r="M76" i="5"/>
  <c r="J103" i="5" s="1"/>
  <c r="R49" i="5"/>
  <c r="T49" i="5" s="1"/>
  <c r="Q49" i="5"/>
  <c r="R62" i="5" l="1"/>
  <c r="T62" i="5" s="1"/>
  <c r="M89" i="5"/>
  <c r="J116" i="5" s="1"/>
  <c r="Q62" i="5"/>
  <c r="M79" i="5"/>
  <c r="J106" i="5" s="1"/>
  <c r="R52" i="5"/>
  <c r="T52" i="5" s="1"/>
  <c r="S52" i="5"/>
  <c r="V52" i="5" s="1"/>
  <c r="N79" i="5"/>
  <c r="K106" i="5" s="1"/>
  <c r="N80" i="5"/>
  <c r="K107" i="5" s="1"/>
  <c r="S53" i="5"/>
  <c r="V53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Arru</author>
  </authors>
  <commentList>
    <comment ref="D10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Usé Humedad alim Silos
</t>
        </r>
      </text>
    </comment>
    <comment ref="D1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Usé Humedad alim Silos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Arru</author>
  </authors>
  <commentList>
    <comment ref="D6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Calculado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Arru</author>
  </authors>
  <commentList>
    <comment ref="B13" authorId="0" shapeId="0" xr:uid="{9D6D3721-62B9-2B43-9789-077C11EDB932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 hay referencia en Hoja Datos Planta Húmeda</t>
        </r>
      </text>
    </comment>
    <comment ref="B25" authorId="0" shapeId="0" xr:uid="{EE6B7C01-97B5-2F4B-AE8E-6785D00A2343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Valor arbitrario usado en balances anteriores</t>
        </r>
      </text>
    </comment>
    <comment ref="B31" authorId="0" shapeId="0" xr:uid="{5D2D3F66-FAED-1848-A72D-4D363AEC8A09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Estimado proporcionmal (1000 al mes)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Arru</author>
  </authors>
  <commentList>
    <comment ref="C1" authorId="0" shapeId="0" xr:uid="{953284EC-B038-454F-85BE-00623328960A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Usé Humedad alim Silos
</t>
        </r>
      </text>
    </comment>
    <comment ref="C2" authorId="0" shapeId="0" xr:uid="{EB4EBCAC-CAD6-EE4C-94F6-92616206EDDE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Usé Humedad alim Silos
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<sst xmlns="http://schemas.openxmlformats.org/spreadsheetml/2006/main" count="278" uniqueCount="155">
  <si>
    <t>Acopio Mina</t>
  </si>
  <si>
    <t>Nodo Alim Mina CH</t>
  </si>
  <si>
    <t>CH Mina</t>
  </si>
  <si>
    <t>Stock Prec Los Colorados</t>
  </si>
  <si>
    <t>Stock Grueso CH</t>
  </si>
  <si>
    <t>Concentracc. Mag Los Colorados</t>
  </si>
  <si>
    <t>Nodo Separador Producto Conc Mag</t>
  </si>
  <si>
    <t>Stock Rechazo</t>
  </si>
  <si>
    <t>Stock P40</t>
  </si>
  <si>
    <t>%FeT</t>
  </si>
  <si>
    <t>TMF</t>
  </si>
  <si>
    <t>Delta Stock P40</t>
  </si>
  <si>
    <t>Delta Stock Pila Intermedia</t>
  </si>
  <si>
    <t>Delta Stock Pellet Feed</t>
  </si>
  <si>
    <t>Delta Stock Finos Huasco</t>
  </si>
  <si>
    <t>Delta Stock Pellet Básico</t>
  </si>
  <si>
    <t>Alimentación Mina</t>
  </si>
  <si>
    <t>Acopio Mina a Terceros</t>
  </si>
  <si>
    <t>Alim a Chancado</t>
  </si>
  <si>
    <t>Chanc a Stock Prec Los Col.</t>
  </si>
  <si>
    <t>Chanc a Stock Grueso</t>
  </si>
  <si>
    <t>Delta S Acopio Mina</t>
  </si>
  <si>
    <t>Delta Stock de Grueso</t>
  </si>
  <si>
    <t>Delta Stock Prec</t>
  </si>
  <si>
    <t>Planta Rechazos</t>
  </si>
  <si>
    <t>Delta Stock de Rechazo</t>
  </si>
  <si>
    <t>Rechazo Final Los Colorados</t>
  </si>
  <si>
    <t>Venta desde P40</t>
  </si>
  <si>
    <t>de Stoc Prec a Nodo Alim Planta de Pellet</t>
  </si>
  <si>
    <t>Delta Stock Silos Molienda</t>
  </si>
  <si>
    <t>Delta Stock Pila Emergencia</t>
  </si>
  <si>
    <t>Delta Stock Sinter Feed</t>
  </si>
  <si>
    <t>Delta Stock Pellet Chip</t>
  </si>
  <si>
    <t>TMS</t>
  </si>
  <si>
    <t>Delta (FINAL - INI)</t>
  </si>
  <si>
    <t>ABS</t>
  </si>
  <si>
    <t>%Fe T</t>
  </si>
  <si>
    <t>Delta Stock Pilas Prec Planta Pellet</t>
  </si>
  <si>
    <t>Valor Inicial</t>
  </si>
  <si>
    <t>Valores Calculados</t>
  </si>
  <si>
    <t>TMF Fe</t>
  </si>
  <si>
    <t>% cambio relativo r/ valores medidos</t>
  </si>
  <si>
    <t>TMSD</t>
  </si>
  <si>
    <t>Desv estándar</t>
  </si>
  <si>
    <t>Dif Cudráticas</t>
  </si>
  <si>
    <t>Alim a Planta desde Acopio Mina</t>
  </si>
  <si>
    <t>De Stock Grueso a conc magn (alim A52 y A82)</t>
  </si>
  <si>
    <t>de Conc Magnética a Stock Prec (Prod A52 y A 82)</t>
  </si>
  <si>
    <t>de Stock Prec a Terceros (a otras faenas)</t>
  </si>
  <si>
    <t>Rechazo  a Stock de Rechazo</t>
  </si>
  <si>
    <t>Nodo Alim Planta Rechazo</t>
  </si>
  <si>
    <t>Alimentación Planta Rechazo</t>
  </si>
  <si>
    <t>Func Obj</t>
  </si>
  <si>
    <t>Balance de Nodos</t>
  </si>
  <si>
    <t>Delta TK Inventarios</t>
  </si>
  <si>
    <t>total de rechazo</t>
  </si>
  <si>
    <t>Max Var Ton</t>
  </si>
  <si>
    <t>Max Var  Ley</t>
  </si>
  <si>
    <t>I</t>
  </si>
  <si>
    <t>% Incertidumbre</t>
  </si>
  <si>
    <t>E</t>
  </si>
  <si>
    <t>Inv</t>
  </si>
  <si>
    <t>Venta</t>
  </si>
  <si>
    <t>Pérd</t>
  </si>
  <si>
    <t>Produc</t>
  </si>
  <si>
    <t>Delta Stock Pila Chunk</t>
  </si>
  <si>
    <t>Delta Stock Pila Chip Fresco</t>
  </si>
  <si>
    <t>suma</t>
  </si>
  <si>
    <t>Delta Inventarios de Derrames</t>
  </si>
  <si>
    <t>SALIDAS</t>
  </si>
  <si>
    <t>ENTRADAS</t>
  </si>
  <si>
    <t xml:space="preserve">ALIMENTACIÓN MINA </t>
  </si>
  <si>
    <t>ACOPIO MINA</t>
  </si>
  <si>
    <t>STOCK GRUESO</t>
  </si>
  <si>
    <t>STOCK PRE CONCENTRADO</t>
  </si>
  <si>
    <t>STOCK RECHAZO</t>
  </si>
  <si>
    <t>STOCK P-40</t>
  </si>
  <si>
    <t>VENTAS DESDE ACOPIO MINA</t>
  </si>
  <si>
    <t>VENTAS DE STOCK PRECONC</t>
  </si>
  <si>
    <t>VENTA DESDE STOC P4O</t>
  </si>
  <si>
    <t>RECHAZO FINAL</t>
  </si>
  <si>
    <t>VARIACIONES DE INVENTARIOS</t>
  </si>
  <si>
    <t xml:space="preserve">VAR NETA </t>
  </si>
  <si>
    <t>TOTAL ENTRADAS</t>
  </si>
  <si>
    <t>TOTAL SALIDAS</t>
  </si>
  <si>
    <t>A PLANTA DE PELLETS</t>
  </si>
  <si>
    <t>ENTRADAS - VAR INVENTARIO - SALIDAS</t>
  </si>
  <si>
    <t>BALANCE GLOBAL MASA</t>
  </si>
  <si>
    <t>BALANCE GLOBAL FINO</t>
  </si>
  <si>
    <t>Producción Planta Rechazo a Stock P40</t>
  </si>
  <si>
    <t>Planta Beneficio</t>
  </si>
  <si>
    <t>Rp</t>
  </si>
  <si>
    <t>Rm</t>
  </si>
  <si>
    <t>Planta Global</t>
  </si>
  <si>
    <t>Stock Prec a (o desde) Acopio Mina</t>
  </si>
  <si>
    <t>Delta Cubic</t>
  </si>
  <si>
    <t>De Prec Los Colorados Nodo Alim Planta de Pellet</t>
  </si>
  <si>
    <t>Preconc Los Colorados a Stock Sinter Feed</t>
  </si>
  <si>
    <t>Prec los Colorados a Stock Prec Planta Pellet</t>
  </si>
  <si>
    <t>Delta Stock  Prec Planta Pellet</t>
  </si>
  <si>
    <t>Alim Silos Molienda</t>
  </si>
  <si>
    <t>Aliment Molienda Clasificación</t>
  </si>
  <si>
    <t>De Molienda/clasificación a Stock Derrames</t>
  </si>
  <si>
    <t>EMISARIO SUBMARINO</t>
  </si>
  <si>
    <t>Alimentación a TK  Inventarios</t>
  </si>
  <si>
    <t>Delta TK inventarios</t>
  </si>
  <si>
    <t>TK Inventario a Stock Derrames</t>
  </si>
  <si>
    <t>Alimentación Filtrado</t>
  </si>
  <si>
    <t xml:space="preserve">Alim Nodo Productos Filtrados  </t>
  </si>
  <si>
    <t>De filtros a Balling</t>
  </si>
  <si>
    <t>Filtrado a Stock Derrames</t>
  </si>
  <si>
    <t>Alim Pila Intermedia desde (de nodo post filtros)</t>
  </si>
  <si>
    <t>de Pila Intermedia a Balling</t>
  </si>
  <si>
    <t>de Pila Intermadia a Stok Pellet Feed</t>
  </si>
  <si>
    <t>a Stock Pellet Feed (de nodo post filtros)</t>
  </si>
  <si>
    <t>A embarque de Stock Pellet Feed</t>
  </si>
  <si>
    <t>Aditivo a Balling</t>
  </si>
  <si>
    <t>Pellet verde a edurecimiento</t>
  </si>
  <si>
    <t>Endurecimiento a Stock Derrames</t>
  </si>
  <si>
    <t>Chunk de endurecimiento a Pila Chunk</t>
  </si>
  <si>
    <t>Aporte Oxidación Endurecimiento</t>
  </si>
  <si>
    <t xml:space="preserve">Alim endurecido a Pila Emergencia </t>
  </si>
  <si>
    <t>De endurecimiento a Harnero Producto</t>
  </si>
  <si>
    <t>Alim Harnero Producto desde Pila de Emergencia</t>
  </si>
  <si>
    <t>De harnero Producto a Pila Chip Fresco</t>
  </si>
  <si>
    <t>De Harnero Producto a Stock Pellets Básico</t>
  </si>
  <si>
    <t>A embarque desde Pellet básico</t>
  </si>
  <si>
    <t>alim procesamiento reharneo derrames</t>
  </si>
  <si>
    <t>rechazo reharneo derrames</t>
  </si>
  <si>
    <t xml:space="preserve">Prod reharneo derrames </t>
  </si>
  <si>
    <t>prod rehar derram a finos Huasco</t>
  </si>
  <si>
    <t>prod rehar derram a stock prec</t>
  </si>
  <si>
    <t>alim procesamiento reharneo Chunk</t>
  </si>
  <si>
    <t>Rechazo Reharneo Chunk</t>
  </si>
  <si>
    <t>Prod reharneo Chunk a Stock Finos Huasco</t>
  </si>
  <si>
    <t>Reharneo chunk a Pila de Emergencia</t>
  </si>
  <si>
    <t>Alim Procesamiento Chip Fresco a Re harneo</t>
  </si>
  <si>
    <t>Reharneo Chip Fresco a Finos Huasco</t>
  </si>
  <si>
    <t>Reharneo Chip Fresc a Pila Pellet Chip</t>
  </si>
  <si>
    <t>Reharneo Chip fresco a Pila Pellet Básico</t>
  </si>
  <si>
    <t>Traspaso de F Huasco a S Feed</t>
  </si>
  <si>
    <t>A embarque desde Stock Finos Huasco</t>
  </si>
  <si>
    <t>A embarque desde Stock Sinter Feed</t>
  </si>
  <si>
    <t>A embarque desde Stock Pellet Chip</t>
  </si>
  <si>
    <t>Total Embarcado</t>
  </si>
  <si>
    <t>Humedad</t>
  </si>
  <si>
    <r>
      <t xml:space="preserve">alim fresca </t>
    </r>
    <r>
      <rPr>
        <b/>
        <sz val="11"/>
        <color theme="1"/>
        <rFont val="Calibri"/>
        <family val="2"/>
        <scheme val="minor"/>
      </rPr>
      <t>a Planta Rechazo</t>
    </r>
  </si>
  <si>
    <r>
      <t xml:space="preserve">Stock Rechazo </t>
    </r>
    <r>
      <rPr>
        <b/>
        <sz val="11"/>
        <color theme="1"/>
        <rFont val="Calibri"/>
        <family val="2"/>
        <scheme val="minor"/>
      </rPr>
      <t>a Planta Rechazo</t>
    </r>
  </si>
  <si>
    <t>consume</t>
  </si>
  <si>
    <t>mantiene</t>
  </si>
  <si>
    <t>aumenta</t>
  </si>
  <si>
    <t>San Andres</t>
  </si>
  <si>
    <r>
      <t xml:space="preserve">PRODUCCIÓN </t>
    </r>
    <r>
      <rPr>
        <b/>
        <sz val="11"/>
        <color theme="1"/>
        <rFont val="Calibri"/>
        <family val="2"/>
        <scheme val="minor"/>
      </rPr>
      <t>PM</t>
    </r>
  </si>
  <si>
    <t>A&amp;Q</t>
  </si>
  <si>
    <t>Autech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</si>
</sst>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%"/>
    <numFmt numFmtId="166" formatCode="#,##0.0"/>
    <numFmt numFmtId="167" formatCode="0.0000%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ourier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name val="Arial"/>
      <family val="2"/>
    </font>
    <font>
      <sz val="12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1"/>
      <color theme="5" tint="-0.499984740745262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F2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0" fontId="1" fillId="0" borderId="0"/>
    <xf numFmtId="9" fontId="1" fillId="0" borderId="0" applyFont="0" applyFill="0" applyBorder="0" applyAlignment="0" applyProtection="0"/>
    <xf numFmtId="0" fontId="20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</cellStyleXfs>
  <cellXfs count="2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0" fillId="2" borderId="0" xfId="0" applyFill="1"/>
    <xf numFmtId="0" fontId="6" fillId="3" borderId="1" xfId="0" applyFont="1" applyFill="1" applyBorder="1" applyAlignment="1">
      <alignment horizontal="center" vertical="center" wrapText="1"/>
    </xf>
    <xf numFmtId="0" fontId="0" fillId="7" borderId="0" xfId="0" applyFill="1"/>
    <xf numFmtId="3" fontId="0" fillId="0" borderId="0" xfId="0" applyNumberFormat="1"/>
    <xf numFmtId="3" fontId="0" fillId="0" borderId="0" xfId="0" applyNumberFormat="1" applyBorder="1"/>
    <xf numFmtId="3" fontId="8" fillId="0" borderId="0" xfId="0" applyNumberFormat="1" applyFont="1" applyBorder="1" applyAlignment="1">
      <alignment horizontal="center" vertical="center"/>
    </xf>
    <xf numFmtId="10" fontId="0" fillId="0" borderId="0" xfId="0" applyNumberFormat="1"/>
    <xf numFmtId="0" fontId="0" fillId="7" borderId="4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1" fillId="2" borderId="1" xfId="2" applyFill="1" applyBorder="1" applyAlignment="1">
      <alignment horizontal="center"/>
    </xf>
    <xf numFmtId="0" fontId="1" fillId="0" borderId="10" xfId="2" applyBorder="1" applyAlignment="1">
      <alignment horizontal="center"/>
    </xf>
    <xf numFmtId="0" fontId="0" fillId="0" borderId="0" xfId="0" applyAlignment="1">
      <alignment horizontal="right"/>
    </xf>
    <xf numFmtId="3" fontId="0" fillId="2" borderId="0" xfId="0" applyNumberFormat="1" applyFill="1"/>
    <xf numFmtId="0" fontId="0" fillId="0" borderId="6" xfId="0" applyBorder="1"/>
    <xf numFmtId="165" fontId="0" fillId="0" borderId="1" xfId="0" applyNumberFormat="1" applyBorder="1"/>
    <xf numFmtId="0" fontId="0" fillId="0" borderId="1" xfId="0" applyBorder="1"/>
    <xf numFmtId="0" fontId="0" fillId="0" borderId="11" xfId="0" applyBorder="1"/>
    <xf numFmtId="0" fontId="11" fillId="0" borderId="0" xfId="0" applyFont="1"/>
    <xf numFmtId="0" fontId="0" fillId="0" borderId="0" xfId="0" applyBorder="1"/>
    <xf numFmtId="0" fontId="1" fillId="0" borderId="1" xfId="2" applyBorder="1" applyAlignment="1">
      <alignment horizontal="center"/>
    </xf>
    <xf numFmtId="0" fontId="0" fillId="0" borderId="14" xfId="0" applyBorder="1"/>
    <xf numFmtId="0" fontId="0" fillId="0" borderId="0" xfId="0" applyFill="1" applyBorder="1"/>
    <xf numFmtId="0" fontId="8" fillId="6" borderId="13" xfId="0" applyFont="1" applyFill="1" applyBorder="1"/>
    <xf numFmtId="165" fontId="0" fillId="0" borderId="10" xfId="0" applyNumberFormat="1" applyBorder="1"/>
    <xf numFmtId="165" fontId="0" fillId="0" borderId="6" xfId="0" applyNumberFormat="1" applyBorder="1"/>
    <xf numFmtId="165" fontId="0" fillId="0" borderId="11" xfId="0" applyNumberFormat="1" applyBorder="1"/>
    <xf numFmtId="3" fontId="0" fillId="0" borderId="0" xfId="0" applyNumberFormat="1" applyAlignment="1">
      <alignment horizontal="center"/>
    </xf>
    <xf numFmtId="0" fontId="12" fillId="0" borderId="0" xfId="0" applyFont="1"/>
    <xf numFmtId="0" fontId="11" fillId="7" borderId="0" xfId="0" applyFont="1" applyFill="1"/>
    <xf numFmtId="0" fontId="0" fillId="8" borderId="10" xfId="0" applyFill="1" applyBorder="1" applyAlignment="1">
      <alignment horizontal="center"/>
    </xf>
    <xf numFmtId="0" fontId="0" fillId="7" borderId="1" xfId="0" applyFill="1" applyBorder="1"/>
    <xf numFmtId="10" fontId="0" fillId="0" borderId="1" xfId="0" applyNumberFormat="1" applyBorder="1"/>
    <xf numFmtId="0" fontId="11" fillId="7" borderId="1" xfId="0" applyFont="1" applyFill="1" applyBorder="1"/>
    <xf numFmtId="0" fontId="0" fillId="9" borderId="0" xfId="0" applyFill="1" applyAlignment="1">
      <alignment wrapText="1"/>
    </xf>
    <xf numFmtId="10" fontId="8" fillId="6" borderId="0" xfId="0" applyNumberFormat="1" applyFont="1" applyFill="1"/>
    <xf numFmtId="0" fontId="0" fillId="10" borderId="0" xfId="0" applyFill="1"/>
    <xf numFmtId="0" fontId="11" fillId="7" borderId="10" xfId="0" applyFont="1" applyFill="1" applyBorder="1"/>
    <xf numFmtId="0" fontId="8" fillId="6" borderId="15" xfId="0" applyFont="1" applyFill="1" applyBorder="1"/>
    <xf numFmtId="3" fontId="0" fillId="0" borderId="14" xfId="0" applyNumberFormat="1" applyBorder="1"/>
    <xf numFmtId="0" fontId="0" fillId="0" borderId="0" xfId="0" applyFont="1"/>
    <xf numFmtId="0" fontId="0" fillId="0" borderId="0" xfId="0" applyNumberFormat="1"/>
    <xf numFmtId="0" fontId="0" fillId="0" borderId="0" xfId="0" applyFill="1"/>
    <xf numFmtId="10" fontId="0" fillId="0" borderId="1" xfId="0" applyNumberFormat="1" applyFont="1" applyBorder="1"/>
    <xf numFmtId="3" fontId="0" fillId="0" borderId="1" xfId="0" applyNumberFormat="1" applyFont="1" applyBorder="1"/>
    <xf numFmtId="10" fontId="0" fillId="0" borderId="10" xfId="0" applyNumberFormat="1" applyFont="1" applyBorder="1"/>
    <xf numFmtId="10" fontId="0" fillId="0" borderId="6" xfId="0" applyNumberFormat="1" applyFont="1" applyBorder="1"/>
    <xf numFmtId="3" fontId="0" fillId="0" borderId="0" xfId="0" applyNumberFormat="1" applyFont="1"/>
    <xf numFmtId="3" fontId="0" fillId="0" borderId="10" xfId="0" applyNumberFormat="1" applyFont="1" applyBorder="1"/>
    <xf numFmtId="0" fontId="0" fillId="0" borderId="14" xfId="0" applyFont="1" applyBorder="1"/>
    <xf numFmtId="3" fontId="0" fillId="0" borderId="6" xfId="0" applyNumberFormat="1" applyFont="1" applyBorder="1"/>
    <xf numFmtId="3" fontId="0" fillId="8" borderId="1" xfId="0" applyNumberFormat="1" applyFont="1" applyFill="1" applyBorder="1"/>
    <xf numFmtId="10" fontId="0" fillId="8" borderId="1" xfId="0" applyNumberFormat="1" applyFont="1" applyFill="1" applyBorder="1"/>
    <xf numFmtId="3" fontId="0" fillId="0" borderId="6" xfId="0" applyNumberFormat="1" applyFont="1" applyFill="1" applyBorder="1"/>
    <xf numFmtId="3" fontId="13" fillId="0" borderId="1" xfId="0" applyNumberFormat="1" applyFont="1" applyBorder="1"/>
    <xf numFmtId="10" fontId="13" fillId="0" borderId="1" xfId="0" applyNumberFormat="1" applyFont="1" applyBorder="1"/>
    <xf numFmtId="3" fontId="13" fillId="0" borderId="10" xfId="0" applyNumberFormat="1" applyFont="1" applyBorder="1"/>
    <xf numFmtId="10" fontId="13" fillId="0" borderId="10" xfId="0" applyNumberFormat="1" applyFont="1" applyBorder="1"/>
    <xf numFmtId="3" fontId="13" fillId="0" borderId="6" xfId="0" applyNumberFormat="1" applyFont="1" applyFill="1" applyBorder="1"/>
    <xf numFmtId="10" fontId="13" fillId="0" borderId="6" xfId="0" applyNumberFormat="1" applyFont="1" applyBorder="1"/>
    <xf numFmtId="0" fontId="0" fillId="5" borderId="0" xfId="0" applyFill="1"/>
    <xf numFmtId="0" fontId="9" fillId="0" borderId="0" xfId="0" applyFont="1"/>
    <xf numFmtId="3" fontId="0" fillId="0" borderId="1" xfId="0" applyNumberFormat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/>
    <xf numFmtId="3" fontId="17" fillId="0" borderId="1" xfId="0" applyNumberFormat="1" applyFont="1" applyBorder="1"/>
    <xf numFmtId="0" fontId="10" fillId="0" borderId="2" xfId="0" applyFont="1" applyBorder="1" applyAlignment="1"/>
    <xf numFmtId="0" fontId="10" fillId="0" borderId="3" xfId="0" applyFont="1" applyBorder="1" applyAlignment="1"/>
    <xf numFmtId="3" fontId="10" fillId="0" borderId="1" xfId="0" applyNumberFormat="1" applyFont="1" applyBorder="1" applyAlignment="1">
      <alignment horizontal="center"/>
    </xf>
    <xf numFmtId="0" fontId="10" fillId="0" borderId="0" xfId="0" applyFont="1" applyBorder="1" applyAlignment="1"/>
    <xf numFmtId="3" fontId="10" fillId="0" borderId="0" xfId="0" applyNumberFormat="1" applyFont="1" applyBorder="1" applyAlignment="1">
      <alignment horizontal="center"/>
    </xf>
    <xf numFmtId="0" fontId="7" fillId="0" borderId="0" xfId="0" applyFont="1"/>
    <xf numFmtId="0" fontId="7" fillId="0" borderId="2" xfId="0" applyFont="1" applyBorder="1" applyAlignment="1"/>
    <xf numFmtId="3" fontId="14" fillId="0" borderId="1" xfId="0" applyNumberFormat="1" applyFont="1" applyBorder="1" applyAlignment="1">
      <alignment horizontal="left" indent="1"/>
    </xf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3" fontId="16" fillId="0" borderId="0" xfId="0" applyNumberFormat="1" applyFont="1" applyBorder="1" applyAlignment="1">
      <alignment horizontal="left" indent="1"/>
    </xf>
    <xf numFmtId="3" fontId="7" fillId="0" borderId="0" xfId="0" applyNumberFormat="1" applyFont="1" applyBorder="1" applyAlignment="1">
      <alignment horizontal="right"/>
    </xf>
    <xf numFmtId="10" fontId="14" fillId="0" borderId="0" xfId="0" applyNumberFormat="1" applyFont="1" applyBorder="1" applyAlignment="1">
      <alignment horizontal="right"/>
    </xf>
    <xf numFmtId="3" fontId="7" fillId="0" borderId="0" xfId="0" applyNumberFormat="1" applyFont="1" applyBorder="1" applyAlignment="1">
      <alignment horizontal="left"/>
    </xf>
    <xf numFmtId="3" fontId="15" fillId="0" borderId="0" xfId="0" applyNumberFormat="1" applyFont="1" applyBorder="1" applyAlignment="1">
      <alignment horizontal="right"/>
    </xf>
    <xf numFmtId="10" fontId="14" fillId="0" borderId="0" xfId="0" applyNumberFormat="1" applyFont="1" applyBorder="1" applyAlignment="1">
      <alignment horizontal="left"/>
    </xf>
    <xf numFmtId="3" fontId="15" fillId="0" borderId="0" xfId="0" applyNumberFormat="1" applyFont="1" applyBorder="1" applyAlignment="1">
      <alignment horizontal="left"/>
    </xf>
    <xf numFmtId="0" fontId="0" fillId="0" borderId="19" xfId="0" applyBorder="1"/>
    <xf numFmtId="0" fontId="0" fillId="0" borderId="12" xfId="0" applyBorder="1"/>
    <xf numFmtId="0" fontId="0" fillId="0" borderId="20" xfId="0" applyBorder="1"/>
    <xf numFmtId="3" fontId="16" fillId="0" borderId="0" xfId="0" applyNumberFormat="1" applyFont="1" applyBorder="1" applyAlignment="1">
      <alignment horizontal="left" indent="2"/>
    </xf>
    <xf numFmtId="3" fontId="18" fillId="7" borderId="1" xfId="0" applyNumberFormat="1" applyFont="1" applyFill="1" applyBorder="1"/>
    <xf numFmtId="3" fontId="18" fillId="7" borderId="1" xfId="0" applyNumberFormat="1" applyFont="1" applyFill="1" applyBorder="1" applyAlignment="1">
      <alignment horizontal="center" vertical="center"/>
    </xf>
    <xf numFmtId="10" fontId="18" fillId="7" borderId="1" xfId="0" applyNumberFormat="1" applyFont="1" applyFill="1" applyBorder="1"/>
    <xf numFmtId="0" fontId="0" fillId="7" borderId="1" xfId="0" applyFill="1" applyBorder="1" applyAlignment="1">
      <alignment vertical="center"/>
    </xf>
    <xf numFmtId="0" fontId="0" fillId="6" borderId="1" xfId="0" applyFill="1" applyBorder="1"/>
    <xf numFmtId="3" fontId="18" fillId="6" borderId="1" xfId="0" applyNumberFormat="1" applyFont="1" applyFill="1" applyBorder="1"/>
    <xf numFmtId="3" fontId="18" fillId="6" borderId="1" xfId="0" applyNumberFormat="1" applyFont="1" applyFill="1" applyBorder="1" applyAlignment="1">
      <alignment horizontal="center" vertical="center"/>
    </xf>
    <xf numFmtId="10" fontId="18" fillId="6" borderId="1" xfId="0" applyNumberFormat="1" applyFont="1" applyFill="1" applyBorder="1"/>
    <xf numFmtId="0" fontId="0" fillId="6" borderId="1" xfId="0" applyFill="1" applyBorder="1" applyAlignment="1">
      <alignment vertical="center"/>
    </xf>
    <xf numFmtId="0" fontId="19" fillId="7" borderId="1" xfId="0" applyFont="1" applyFill="1" applyBorder="1"/>
    <xf numFmtId="3" fontId="18" fillId="11" borderId="1" xfId="0" applyNumberFormat="1" applyFont="1" applyFill="1" applyBorder="1"/>
    <xf numFmtId="10" fontId="0" fillId="4" borderId="1" xfId="0" applyNumberFormat="1" applyFill="1" applyBorder="1"/>
    <xf numFmtId="0" fontId="21" fillId="12" borderId="1" xfId="0" applyFont="1" applyFill="1" applyBorder="1"/>
    <xf numFmtId="10" fontId="21" fillId="12" borderId="1" xfId="0" applyNumberFormat="1" applyFont="1" applyFill="1" applyBorder="1" applyAlignment="1">
      <alignment horizontal="center"/>
    </xf>
    <xf numFmtId="3" fontId="0" fillId="0" borderId="17" xfId="0" applyNumberFormat="1" applyBorder="1"/>
    <xf numFmtId="10" fontId="22" fillId="0" borderId="1" xfId="0" applyNumberFormat="1" applyFont="1" applyFill="1" applyBorder="1"/>
    <xf numFmtId="0" fontId="0" fillId="0" borderId="0" xfId="0"/>
    <xf numFmtId="3" fontId="0" fillId="0" borderId="0" xfId="0" applyNumberFormat="1"/>
    <xf numFmtId="0" fontId="0" fillId="7" borderId="1" xfId="0" applyFill="1" applyBorder="1"/>
    <xf numFmtId="3" fontId="23" fillId="6" borderId="1" xfId="0" applyNumberFormat="1" applyFont="1" applyFill="1" applyBorder="1"/>
    <xf numFmtId="10" fontId="23" fillId="6" borderId="1" xfId="0" applyNumberFormat="1" applyFont="1" applyFill="1" applyBorder="1"/>
    <xf numFmtId="3" fontId="0" fillId="6" borderId="1" xfId="0" applyNumberFormat="1" applyFill="1" applyBorder="1"/>
    <xf numFmtId="0" fontId="24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textRotation="45" wrapText="1"/>
    </xf>
    <xf numFmtId="10" fontId="26" fillId="0" borderId="1" xfId="0" applyNumberFormat="1" applyFont="1" applyBorder="1"/>
    <xf numFmtId="0" fontId="25" fillId="0" borderId="21" xfId="0" applyFont="1" applyBorder="1"/>
    <xf numFmtId="0" fontId="25" fillId="15" borderId="22" xfId="0" applyFont="1" applyFill="1" applyBorder="1"/>
    <xf numFmtId="0" fontId="25" fillId="15" borderId="23" xfId="0" applyFont="1" applyFill="1" applyBorder="1"/>
    <xf numFmtId="0" fontId="0" fillId="12" borderId="0" xfId="0" applyFont="1" applyFill="1" applyBorder="1"/>
    <xf numFmtId="0" fontId="2" fillId="12" borderId="0" xfId="0" applyFont="1" applyFill="1" applyBorder="1"/>
    <xf numFmtId="0" fontId="2" fillId="12" borderId="0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0" fillId="0" borderId="0" xfId="0" applyFont="1" applyFill="1"/>
    <xf numFmtId="3" fontId="0" fillId="0" borderId="0" xfId="0" applyNumberFormat="1" applyFont="1" applyFill="1"/>
    <xf numFmtId="0" fontId="0" fillId="0" borderId="0" xfId="0" applyFont="1" applyFill="1" applyBorder="1" applyAlignment="1">
      <alignment wrapText="1"/>
    </xf>
    <xf numFmtId="3" fontId="0" fillId="0" borderId="0" xfId="0" applyNumberFormat="1" applyFont="1" applyFill="1" applyBorder="1"/>
    <xf numFmtId="0" fontId="0" fillId="12" borderId="0" xfId="0" applyFont="1" applyFill="1" applyBorder="1" applyAlignment="1">
      <alignment horizontal="center"/>
    </xf>
    <xf numFmtId="10" fontId="8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3" fontId="8" fillId="12" borderId="0" xfId="0" applyNumberFormat="1" applyFont="1" applyFill="1" applyBorder="1"/>
    <xf numFmtId="10" fontId="8" fillId="12" borderId="0" xfId="0" applyNumberFormat="1" applyFont="1" applyFill="1" applyBorder="1"/>
    <xf numFmtId="10" fontId="0" fillId="0" borderId="0" xfId="0" applyNumberFormat="1" applyFont="1" applyFill="1" applyBorder="1"/>
    <xf numFmtId="10" fontId="7" fillId="0" borderId="0" xfId="0" applyNumberFormat="1" applyFont="1" applyFill="1" applyBorder="1"/>
    <xf numFmtId="3" fontId="0" fillId="0" borderId="0" xfId="0" applyNumberFormat="1" applyFont="1" applyFill="1" applyBorder="1" applyAlignment="1">
      <alignment horizontal="right"/>
    </xf>
    <xf numFmtId="3" fontId="0" fillId="12" borderId="0" xfId="0" applyNumberFormat="1" applyFont="1" applyFill="1" applyBorder="1"/>
    <xf numFmtId="10" fontId="0" fillId="12" borderId="0" xfId="0" applyNumberFormat="1" applyFont="1" applyFill="1" applyBorder="1"/>
    <xf numFmtId="165" fontId="0" fillId="12" borderId="0" xfId="0" applyNumberFormat="1" applyFont="1" applyFill="1" applyBorder="1"/>
    <xf numFmtId="3" fontId="8" fillId="12" borderId="0" xfId="0" applyNumberFormat="1" applyFont="1" applyFill="1" applyBorder="1" applyAlignment="1">
      <alignment horizontal="center" vertical="center"/>
    </xf>
    <xf numFmtId="0" fontId="0" fillId="0" borderId="0" xfId="0" applyFont="1" applyBorder="1"/>
    <xf numFmtId="0" fontId="25" fillId="14" borderId="24" xfId="0" applyFont="1" applyFill="1" applyBorder="1"/>
    <xf numFmtId="0" fontId="25" fillId="14" borderId="22" xfId="0" applyFont="1" applyFill="1" applyBorder="1"/>
    <xf numFmtId="0" fontId="25" fillId="14" borderId="25" xfId="0" applyFont="1" applyFill="1" applyBorder="1"/>
    <xf numFmtId="0" fontId="25" fillId="15" borderId="25" xfId="0" applyFont="1" applyFill="1" applyBorder="1"/>
    <xf numFmtId="0" fontId="25" fillId="16" borderId="22" xfId="0" applyFont="1" applyFill="1" applyBorder="1"/>
    <xf numFmtId="0" fontId="25" fillId="16" borderId="25" xfId="0" applyFont="1" applyFill="1" applyBorder="1"/>
    <xf numFmtId="0" fontId="25" fillId="18" borderId="24" xfId="0" applyFont="1" applyFill="1" applyBorder="1"/>
    <xf numFmtId="0" fontId="25" fillId="18" borderId="22" xfId="0" applyFont="1" applyFill="1" applyBorder="1"/>
    <xf numFmtId="0" fontId="25" fillId="18" borderId="25" xfId="0" applyFont="1" applyFill="1" applyBorder="1"/>
    <xf numFmtId="0" fontId="25" fillId="19" borderId="24" xfId="0" applyFont="1" applyFill="1" applyBorder="1"/>
    <xf numFmtId="0" fontId="25" fillId="19" borderId="22" xfId="0" applyFont="1" applyFill="1" applyBorder="1"/>
    <xf numFmtId="0" fontId="25" fillId="19" borderId="25" xfId="0" applyFont="1" applyFill="1" applyBorder="1"/>
    <xf numFmtId="0" fontId="25" fillId="17" borderId="24" xfId="0" applyFont="1" applyFill="1" applyBorder="1"/>
    <xf numFmtId="0" fontId="25" fillId="17" borderId="22" xfId="0" applyFont="1" applyFill="1" applyBorder="1"/>
    <xf numFmtId="0" fontId="25" fillId="17" borderId="25" xfId="0" applyFont="1" applyFill="1" applyBorder="1"/>
    <xf numFmtId="0" fontId="25" fillId="13" borderId="1" xfId="0" applyFont="1" applyFill="1" applyBorder="1" applyAlignment="1">
      <alignment horizontal="center"/>
    </xf>
    <xf numFmtId="0" fontId="0" fillId="12" borderId="0" xfId="2" applyFont="1" applyFill="1" applyBorder="1" applyAlignment="1">
      <alignment horizontal="center"/>
    </xf>
    <xf numFmtId="9" fontId="0" fillId="12" borderId="0" xfId="0" applyNumberFormat="1" applyFont="1" applyFill="1"/>
    <xf numFmtId="0" fontId="0" fillId="0" borderId="0" xfId="2" applyFont="1" applyFill="1" applyBorder="1" applyAlignment="1">
      <alignment horizontal="center"/>
    </xf>
    <xf numFmtId="9" fontId="0" fillId="12" borderId="0" xfId="0" applyNumberFormat="1" applyFont="1" applyFill="1" applyBorder="1"/>
    <xf numFmtId="165" fontId="0" fillId="0" borderId="0" xfId="0" applyNumberFormat="1" applyFont="1" applyFill="1" applyBorder="1"/>
    <xf numFmtId="166" fontId="0" fillId="0" borderId="0" xfId="0" applyNumberFormat="1" applyFont="1" applyBorder="1"/>
    <xf numFmtId="167" fontId="0" fillId="0" borderId="1" xfId="0" applyNumberFormat="1" applyBorder="1"/>
    <xf numFmtId="0" fontId="0" fillId="20" borderId="0" xfId="0" applyFill="1"/>
    <xf numFmtId="0" fontId="0" fillId="20" borderId="1" xfId="0" applyFill="1" applyBorder="1"/>
    <xf numFmtId="1" fontId="26" fillId="0" borderId="1" xfId="0" applyNumberFormat="1" applyFont="1" applyBorder="1"/>
    <xf numFmtId="3" fontId="8" fillId="0" borderId="0" xfId="0" applyNumberFormat="1" applyFont="1" applyAlignment="1">
      <alignment horizontal="left"/>
    </xf>
    <xf numFmtId="10" fontId="0" fillId="0" borderId="0" xfId="0" applyNumberFormat="1" applyAlignment="1">
      <alignment horizontal="left"/>
    </xf>
    <xf numFmtId="3" fontId="29" fillId="0" borderId="0" xfId="0" applyNumberFormat="1" applyFont="1" applyAlignment="1">
      <alignment horizontal="left"/>
    </xf>
    <xf numFmtId="3" fontId="8" fillId="0" borderId="0" xfId="0" applyNumberFormat="1" applyFont="1" applyAlignment="1">
      <alignment horizontal="right"/>
    </xf>
    <xf numFmtId="10" fontId="0" fillId="0" borderId="0" xfId="0" applyNumberFormat="1" applyAlignment="1">
      <alignment horizontal="right"/>
    </xf>
    <xf numFmtId="3" fontId="29" fillId="0" borderId="0" xfId="0" applyNumberFormat="1" applyFont="1" applyAlignment="1">
      <alignment horizontal="right"/>
    </xf>
    <xf numFmtId="3" fontId="30" fillId="0" borderId="0" xfId="0" applyNumberFormat="1" applyFont="1" applyAlignment="1">
      <alignment horizontal="left"/>
    </xf>
    <xf numFmtId="3" fontId="8" fillId="0" borderId="18" xfId="0" applyNumberFormat="1" applyFont="1" applyBorder="1" applyAlignment="1">
      <alignment horizontal="left"/>
    </xf>
    <xf numFmtId="10" fontId="0" fillId="0" borderId="18" xfId="0" applyNumberFormat="1" applyBorder="1" applyAlignment="1">
      <alignment horizontal="left"/>
    </xf>
    <xf numFmtId="3" fontId="29" fillId="0" borderId="18" xfId="0" applyNumberFormat="1" applyFont="1" applyBorder="1" applyAlignment="1">
      <alignment horizontal="left"/>
    </xf>
    <xf numFmtId="3" fontId="8" fillId="0" borderId="0" xfId="0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3" fontId="29" fillId="0" borderId="0" xfId="0" applyNumberFormat="1" applyFont="1" applyAlignment="1">
      <alignment horizontal="center"/>
    </xf>
    <xf numFmtId="0" fontId="10" fillId="7" borderId="8" xfId="0" applyFont="1" applyFill="1" applyBorder="1" applyAlignment="1">
      <alignment horizontal="center"/>
    </xf>
    <xf numFmtId="0" fontId="10" fillId="7" borderId="9" xfId="0" applyFont="1" applyFill="1" applyBorder="1" applyAlignment="1">
      <alignment horizontal="center"/>
    </xf>
    <xf numFmtId="0" fontId="10" fillId="7" borderId="7" xfId="0" applyFont="1" applyFill="1" applyBorder="1" applyAlignment="1">
      <alignment horizontal="center"/>
    </xf>
    <xf numFmtId="0" fontId="8" fillId="8" borderId="2" xfId="0" applyFont="1" applyFill="1" applyBorder="1" applyAlignment="1">
      <alignment horizontal="center"/>
    </xf>
    <xf numFmtId="0" fontId="8" fillId="8" borderId="3" xfId="0" applyFont="1" applyFill="1" applyBorder="1" applyAlignment="1">
      <alignment horizontal="center"/>
    </xf>
    <xf numFmtId="0" fontId="1" fillId="0" borderId="1" xfId="2" applyBorder="1" applyAlignment="1">
      <alignment horizontal="center"/>
    </xf>
    <xf numFmtId="0" fontId="7" fillId="2" borderId="2" xfId="2" applyFont="1" applyFill="1" applyBorder="1" applyAlignment="1">
      <alignment horizontal="center" wrapText="1"/>
    </xf>
    <xf numFmtId="0" fontId="7" fillId="2" borderId="3" xfId="2" applyFont="1" applyFill="1" applyBorder="1" applyAlignment="1">
      <alignment horizontal="center" wrapText="1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1" xfId="0" applyFont="1" applyBorder="1" applyAlignment="1">
      <alignment horizontal="left" indent="1"/>
    </xf>
    <xf numFmtId="0" fontId="10" fillId="0" borderId="1" xfId="0" applyFont="1" applyBorder="1" applyAlignment="1">
      <alignment horizontal="left"/>
    </xf>
    <xf numFmtId="0" fontId="0" fillId="0" borderId="1" xfId="0" applyBorder="1" applyAlignment="1">
      <alignment horizontal="left" inden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0" fillId="6" borderId="1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left" vertical="center" indent="3"/>
    </xf>
    <xf numFmtId="0" fontId="10" fillId="5" borderId="1" xfId="0" applyFont="1" applyFill="1" applyBorder="1" applyAlignment="1">
      <alignment horizontal="left" vertical="center" indent="3"/>
    </xf>
    <xf numFmtId="0" fontId="7" fillId="1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/>
    </xf>
    <xf numFmtId="0" fontId="10" fillId="12" borderId="0" xfId="0" applyFont="1" applyFill="1" applyBorder="1" applyAlignment="1">
      <alignment horizontal="center"/>
    </xf>
    <xf numFmtId="0" fontId="0" fillId="12" borderId="0" xfId="2" applyFont="1" applyFill="1" applyBorder="1" applyAlignment="1">
      <alignment horizontal="center"/>
    </xf>
    <xf numFmtId="0" fontId="7" fillId="0" borderId="0" xfId="2" applyFont="1" applyFill="1" applyBorder="1" applyAlignment="1">
      <alignment horizontal="center" wrapText="1"/>
    </xf>
  </cellXfs>
  <cellStyles count="7">
    <cellStyle name="Millares 2" xfId="5" xr:uid="{00000000-0005-0000-0000-000000000000}"/>
    <cellStyle name="Normal" xfId="0" builtinId="0"/>
    <cellStyle name="Normal 2" xfId="2" xr:uid="{00000000-0005-0000-0000-000002000000}"/>
    <cellStyle name="Normal 2 2" xfId="4" xr:uid="{00000000-0005-0000-0000-000003000000}"/>
    <cellStyle name="Normal 50" xfId="1" xr:uid="{00000000-0005-0000-0000-000004000000}"/>
    <cellStyle name="Percent" xfId="3" xr:uid="{00000000-0005-0000-0000-000005000000}"/>
    <cellStyle name="Porcentaje 2 2" xfId="6" xr:uid="{00000000-0005-0000-0000-000006000000}"/>
  </cellStyles>
  <dxfs count="12"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theme="5" tint="-0.24994659260841701"/>
      </font>
    </dxf>
  </dxfs>
  <tableStyles count="0" defaultTableStyle="TableStyleMedium2" defaultPivotStyle="PivotStyleLight16"/>
  <colors>
    <mruColors>
      <color rgb="FFFFF2CC"/>
      <color rgb="FFFFF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662410</xdr:colOff>
      <xdr:row>2</xdr:row>
      <xdr:rowOff>0</xdr:rowOff>
    </xdr:from>
    <xdr:to>
      <xdr:col>4</xdr:col>
      <xdr:colOff>478895</xdr:colOff>
      <xdr:row>4</xdr:row>
      <xdr:rowOff>152270</xdr:rowOff>
    </xdr:to>
    <xdr:sp macro="" textlink="">
      <xdr:nvSpPr>
        <xdr:cNvPr id="2" name="Triángulo isósceles 1">
          <a:extLst>
            <a:ext uri="{FF2B5EF4-FFF2-40B4-BE49-F238E27FC236}">
              <a16:creationId xmlns:a16="http://schemas.microsoft.com/office/drawing/2014/main" id="{8860AEF3-302E-4BFE-9946-871C390DBB9B}"/>
            </a:ext>
          </a:extLst>
        </xdr:cNvPr>
        <xdr:cNvSpPr/>
      </xdr:nvSpPr>
      <xdr:spPr>
        <a:xfrm>
          <a:off x="2186410" y="362857"/>
          <a:ext cx="578485" cy="515127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5</xdr:col>
      <xdr:colOff>514183</xdr:colOff>
      <xdr:row>14</xdr:row>
      <xdr:rowOff>30385</xdr:rowOff>
    </xdr:from>
    <xdr:to>
      <xdr:col>7</xdr:col>
      <xdr:colOff>391898</xdr:colOff>
      <xdr:row>16</xdr:row>
      <xdr:rowOff>159101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E01BA726-B4FE-4637-B678-0F1016B09FDB}"/>
            </a:ext>
          </a:extLst>
        </xdr:cNvPr>
        <xdr:cNvSpPr/>
      </xdr:nvSpPr>
      <xdr:spPr>
        <a:xfrm>
          <a:off x="3562183" y="2733671"/>
          <a:ext cx="1565001" cy="52785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CHANCADO</a:t>
          </a:r>
        </a:p>
      </xdr:txBody>
    </xdr:sp>
    <xdr:clientData/>
  </xdr:twoCellAnchor>
  <xdr:twoCellAnchor>
    <xdr:from>
      <xdr:col>6</xdr:col>
      <xdr:colOff>538457</xdr:colOff>
      <xdr:row>9</xdr:row>
      <xdr:rowOff>51067</xdr:rowOff>
    </xdr:from>
    <xdr:to>
      <xdr:col>6</xdr:col>
      <xdr:colOff>552827</xdr:colOff>
      <xdr:row>14</xdr:row>
      <xdr:rowOff>3171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D07AEF-2C5C-4F17-8799-CA568D7552F6}"/>
            </a:ext>
          </a:extLst>
        </xdr:cNvPr>
        <xdr:cNvCxnSpPr>
          <a:cxnSpLocks/>
        </xdr:cNvCxnSpPr>
      </xdr:nvCxnSpPr>
      <xdr:spPr>
        <a:xfrm>
          <a:off x="4756671" y="1765567"/>
          <a:ext cx="14370" cy="9499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409067</xdr:colOff>
      <xdr:row>8</xdr:row>
      <xdr:rowOff>65398</xdr:rowOff>
    </xdr:from>
    <xdr:to>
      <xdr:col>6</xdr:col>
      <xdr:colOff>631561</xdr:colOff>
      <xdr:row>9</xdr:row>
      <xdr:rowOff>78281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CCBC8AF6-D051-4BF3-8A04-F599C2678D1F}"/>
            </a:ext>
          </a:extLst>
        </xdr:cNvPr>
        <xdr:cNvSpPr/>
      </xdr:nvSpPr>
      <xdr:spPr>
        <a:xfrm>
          <a:off x="4219067" y="1538598"/>
          <a:ext cx="222494" cy="197033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71244</xdr:colOff>
      <xdr:row>4</xdr:row>
      <xdr:rowOff>26290</xdr:rowOff>
    </xdr:from>
    <xdr:to>
      <xdr:col>4</xdr:col>
      <xdr:colOff>101984</xdr:colOff>
      <xdr:row>5</xdr:row>
      <xdr:rowOff>93177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53CF0BF7-9E2B-4BCD-ACA9-4CB123F36F42}"/>
            </a:ext>
          </a:extLst>
        </xdr:cNvPr>
        <xdr:cNvSpPr/>
      </xdr:nvSpPr>
      <xdr:spPr>
        <a:xfrm>
          <a:off x="1595244" y="752004"/>
          <a:ext cx="792740" cy="24831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ACOPIO MINA</a:t>
          </a:r>
        </a:p>
      </xdr:txBody>
    </xdr:sp>
    <xdr:clientData/>
  </xdr:twoCellAnchor>
  <xdr:twoCellAnchor>
    <xdr:from>
      <xdr:col>6</xdr:col>
      <xdr:colOff>565531</xdr:colOff>
      <xdr:row>2</xdr:row>
      <xdr:rowOff>142470</xdr:rowOff>
    </xdr:from>
    <xdr:to>
      <xdr:col>8</xdr:col>
      <xdr:colOff>443246</xdr:colOff>
      <xdr:row>4</xdr:row>
      <xdr:rowOff>103926</xdr:rowOff>
    </xdr:to>
    <xdr:sp macro="" textlink="">
      <xdr:nvSpPr>
        <xdr:cNvPr id="7" name="Diagrama de flujo: operación manual 6">
          <a:extLst>
            <a:ext uri="{FF2B5EF4-FFF2-40B4-BE49-F238E27FC236}">
              <a16:creationId xmlns:a16="http://schemas.microsoft.com/office/drawing/2014/main" id="{3C3DF8D4-21BC-4B50-8F5D-1C3A20556DD1}"/>
            </a:ext>
          </a:extLst>
        </xdr:cNvPr>
        <xdr:cNvSpPr/>
      </xdr:nvSpPr>
      <xdr:spPr>
        <a:xfrm>
          <a:off x="4375531" y="510770"/>
          <a:ext cx="1401715" cy="329756"/>
        </a:xfrm>
        <a:prstGeom prst="flowChartManualOperat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6</xdr:col>
      <xdr:colOff>676486</xdr:colOff>
      <xdr:row>3</xdr:row>
      <xdr:rowOff>735</xdr:rowOff>
    </xdr:from>
    <xdr:to>
      <xdr:col>8</xdr:col>
      <xdr:colOff>332290</xdr:colOff>
      <xdr:row>4</xdr:row>
      <xdr:rowOff>26290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48FBA9F7-0075-46BE-B523-B9E9946E46BD}"/>
            </a:ext>
          </a:extLst>
        </xdr:cNvPr>
        <xdr:cNvSpPr/>
      </xdr:nvSpPr>
      <xdr:spPr>
        <a:xfrm>
          <a:off x="4486486" y="553185"/>
          <a:ext cx="1179804" cy="2097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MINA</a:t>
          </a:r>
        </a:p>
      </xdr:txBody>
    </xdr:sp>
    <xdr:clientData/>
  </xdr:twoCellAnchor>
  <xdr:twoCellAnchor>
    <xdr:from>
      <xdr:col>1</xdr:col>
      <xdr:colOff>281214</xdr:colOff>
      <xdr:row>4</xdr:row>
      <xdr:rowOff>136069</xdr:rowOff>
    </xdr:from>
    <xdr:to>
      <xdr:col>2</xdr:col>
      <xdr:colOff>699018</xdr:colOff>
      <xdr:row>5</xdr:row>
      <xdr:rowOff>161623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5638A768-CBA2-4C84-976A-A90AC32A8574}"/>
            </a:ext>
          </a:extLst>
        </xdr:cNvPr>
        <xdr:cNvSpPr/>
      </xdr:nvSpPr>
      <xdr:spPr>
        <a:xfrm>
          <a:off x="281214" y="861783"/>
          <a:ext cx="1179804" cy="2069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 a Terceros</a:t>
          </a:r>
        </a:p>
      </xdr:txBody>
    </xdr:sp>
    <xdr:clientData/>
  </xdr:twoCellAnchor>
  <xdr:twoCellAnchor>
    <xdr:from>
      <xdr:col>9</xdr:col>
      <xdr:colOff>364231</xdr:colOff>
      <xdr:row>14</xdr:row>
      <xdr:rowOff>56389</xdr:rowOff>
    </xdr:from>
    <xdr:to>
      <xdr:col>10</xdr:col>
      <xdr:colOff>266624</xdr:colOff>
      <xdr:row>17</xdr:row>
      <xdr:rowOff>132089</xdr:rowOff>
    </xdr:to>
    <xdr:sp macro="" textlink="">
      <xdr:nvSpPr>
        <xdr:cNvPr id="10" name="Triángulo isósceles 9">
          <a:extLst>
            <a:ext uri="{FF2B5EF4-FFF2-40B4-BE49-F238E27FC236}">
              <a16:creationId xmlns:a16="http://schemas.microsoft.com/office/drawing/2014/main" id="{5E68A2B2-54C4-48D5-84AD-E5214DFCD4BF}"/>
            </a:ext>
          </a:extLst>
        </xdr:cNvPr>
        <xdr:cNvSpPr/>
      </xdr:nvSpPr>
      <xdr:spPr>
        <a:xfrm>
          <a:off x="6460231" y="2759675"/>
          <a:ext cx="664393" cy="61998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9</xdr:col>
      <xdr:colOff>400516</xdr:colOff>
      <xdr:row>16</xdr:row>
      <xdr:rowOff>9316</xdr:rowOff>
    </xdr:from>
    <xdr:to>
      <xdr:col>10</xdr:col>
      <xdr:colOff>302910</xdr:colOff>
      <xdr:row>17</xdr:row>
      <xdr:rowOff>59494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425650FC-064B-4DBA-97C5-52B8F80B1688}"/>
            </a:ext>
          </a:extLst>
        </xdr:cNvPr>
        <xdr:cNvSpPr/>
      </xdr:nvSpPr>
      <xdr:spPr>
        <a:xfrm>
          <a:off x="6496516" y="3075459"/>
          <a:ext cx="664394" cy="2316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GRUESO</a:t>
          </a:r>
        </a:p>
      </xdr:txBody>
    </xdr:sp>
    <xdr:clientData/>
  </xdr:twoCellAnchor>
  <xdr:twoCellAnchor>
    <xdr:from>
      <xdr:col>6</xdr:col>
      <xdr:colOff>188117</xdr:colOff>
      <xdr:row>22</xdr:row>
      <xdr:rowOff>27214</xdr:rowOff>
    </xdr:from>
    <xdr:to>
      <xdr:col>7</xdr:col>
      <xdr:colOff>1</xdr:colOff>
      <xdr:row>25</xdr:row>
      <xdr:rowOff>70756</xdr:rowOff>
    </xdr:to>
    <xdr:sp macro="" textlink="">
      <xdr:nvSpPr>
        <xdr:cNvPr id="12" name="Triángulo isósceles 11">
          <a:extLst>
            <a:ext uri="{FF2B5EF4-FFF2-40B4-BE49-F238E27FC236}">
              <a16:creationId xmlns:a16="http://schemas.microsoft.com/office/drawing/2014/main" id="{0797C430-EE82-484A-900A-EBEFA467FD02}"/>
            </a:ext>
          </a:extLst>
        </xdr:cNvPr>
        <xdr:cNvSpPr/>
      </xdr:nvSpPr>
      <xdr:spPr>
        <a:xfrm>
          <a:off x="3998117" y="4327071"/>
          <a:ext cx="737170" cy="642256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5</xdr:col>
      <xdr:colOff>53369</xdr:colOff>
      <xdr:row>23</xdr:row>
      <xdr:rowOff>129538</xdr:rowOff>
    </xdr:from>
    <xdr:to>
      <xdr:col>6</xdr:col>
      <xdr:colOff>306096</xdr:colOff>
      <xdr:row>25</xdr:row>
      <xdr:rowOff>113833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6E079B90-12A6-439F-BA9E-D3258F42119B}"/>
            </a:ext>
          </a:extLst>
        </xdr:cNvPr>
        <xdr:cNvSpPr/>
      </xdr:nvSpPr>
      <xdr:spPr>
        <a:xfrm>
          <a:off x="3101369" y="4628967"/>
          <a:ext cx="1014727" cy="3834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 PRE CONCENTRADO</a:t>
          </a:r>
        </a:p>
      </xdr:txBody>
    </xdr:sp>
    <xdr:clientData/>
  </xdr:twoCellAnchor>
  <xdr:twoCellAnchor>
    <xdr:from>
      <xdr:col>9</xdr:col>
      <xdr:colOff>125305</xdr:colOff>
      <xdr:row>22</xdr:row>
      <xdr:rowOff>37513</xdr:rowOff>
    </xdr:from>
    <xdr:to>
      <xdr:col>10</xdr:col>
      <xdr:colOff>502107</xdr:colOff>
      <xdr:row>24</xdr:row>
      <xdr:rowOff>166229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3F975D68-FBEB-4B5B-B6AB-321A0994CC88}"/>
            </a:ext>
          </a:extLst>
        </xdr:cNvPr>
        <xdr:cNvSpPr/>
      </xdr:nvSpPr>
      <xdr:spPr>
        <a:xfrm>
          <a:off x="6221305" y="4088813"/>
          <a:ext cx="1138802" cy="49701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CONCENTRACIÓN</a:t>
          </a:r>
        </a:p>
        <a:p>
          <a:pPr algn="ctr"/>
          <a:r>
            <a:rPr lang="es-CL" sz="1000">
              <a:solidFill>
                <a:schemeClr val="tx1"/>
              </a:solidFill>
            </a:rPr>
            <a:t>MAGNÉTICA</a:t>
          </a:r>
        </a:p>
      </xdr:txBody>
    </xdr:sp>
    <xdr:clientData/>
  </xdr:twoCellAnchor>
  <xdr:twoCellAnchor>
    <xdr:from>
      <xdr:col>12</xdr:col>
      <xdr:colOff>302065</xdr:colOff>
      <xdr:row>22</xdr:row>
      <xdr:rowOff>170135</xdr:rowOff>
    </xdr:from>
    <xdr:to>
      <xdr:col>12</xdr:col>
      <xdr:colOff>524559</xdr:colOff>
      <xdr:row>23</xdr:row>
      <xdr:rowOff>183018</xdr:rowOff>
    </xdr:to>
    <xdr:sp macro="" textlink="">
      <xdr:nvSpPr>
        <xdr:cNvPr id="15" name="Elipse 14">
          <a:extLst>
            <a:ext uri="{FF2B5EF4-FFF2-40B4-BE49-F238E27FC236}">
              <a16:creationId xmlns:a16="http://schemas.microsoft.com/office/drawing/2014/main" id="{0706A66A-2C1D-4C62-9932-39CF30875D5D}"/>
            </a:ext>
          </a:extLst>
        </xdr:cNvPr>
        <xdr:cNvSpPr/>
      </xdr:nvSpPr>
      <xdr:spPr>
        <a:xfrm>
          <a:off x="8684065" y="4221435"/>
          <a:ext cx="222494" cy="197033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13</xdr:col>
      <xdr:colOff>396437</xdr:colOff>
      <xdr:row>15</xdr:row>
      <xdr:rowOff>94743</xdr:rowOff>
    </xdr:from>
    <xdr:to>
      <xdr:col>14</xdr:col>
      <xdr:colOff>298830</xdr:colOff>
      <xdr:row>18</xdr:row>
      <xdr:rowOff>170442</xdr:rowOff>
    </xdr:to>
    <xdr:sp macro="" textlink="">
      <xdr:nvSpPr>
        <xdr:cNvPr id="16" name="Triángulo isósceles 15">
          <a:extLst>
            <a:ext uri="{FF2B5EF4-FFF2-40B4-BE49-F238E27FC236}">
              <a16:creationId xmlns:a16="http://schemas.microsoft.com/office/drawing/2014/main" id="{18427FFD-3A7B-409C-9734-D9FDF077ECA5}"/>
            </a:ext>
          </a:extLst>
        </xdr:cNvPr>
        <xdr:cNvSpPr/>
      </xdr:nvSpPr>
      <xdr:spPr>
        <a:xfrm>
          <a:off x="9540437" y="2979457"/>
          <a:ext cx="664393" cy="61998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13</xdr:col>
      <xdr:colOff>330307</xdr:colOff>
      <xdr:row>17</xdr:row>
      <xdr:rowOff>58674</xdr:rowOff>
    </xdr:from>
    <xdr:to>
      <xdr:col>14</xdr:col>
      <xdr:colOff>383098</xdr:colOff>
      <xdr:row>18</xdr:row>
      <xdr:rowOff>177138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13803132-F5D8-4523-9A36-35FF5EA6205E}"/>
            </a:ext>
          </a:extLst>
        </xdr:cNvPr>
        <xdr:cNvSpPr/>
      </xdr:nvSpPr>
      <xdr:spPr>
        <a:xfrm>
          <a:off x="9474307" y="3306245"/>
          <a:ext cx="814791" cy="29989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RECHAZO</a:t>
          </a:r>
        </a:p>
      </xdr:txBody>
    </xdr:sp>
    <xdr:clientData/>
  </xdr:twoCellAnchor>
  <xdr:twoCellAnchor>
    <xdr:from>
      <xdr:col>14</xdr:col>
      <xdr:colOff>257823</xdr:colOff>
      <xdr:row>26</xdr:row>
      <xdr:rowOff>192881</xdr:rowOff>
    </xdr:from>
    <xdr:to>
      <xdr:col>15</xdr:col>
      <xdr:colOff>634625</xdr:colOff>
      <xdr:row>29</xdr:row>
      <xdr:rowOff>122026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9D3CB0F3-47D4-463E-9ADF-1A97E2D4ABB8}"/>
            </a:ext>
          </a:extLst>
        </xdr:cNvPr>
        <xdr:cNvSpPr/>
      </xdr:nvSpPr>
      <xdr:spPr>
        <a:xfrm>
          <a:off x="10163823" y="5182167"/>
          <a:ext cx="1138802" cy="4915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PLANTA RECHAZOS</a:t>
          </a:r>
        </a:p>
      </xdr:txBody>
    </xdr:sp>
    <xdr:clientData/>
  </xdr:twoCellAnchor>
  <xdr:twoCellAnchor>
    <xdr:from>
      <xdr:col>14</xdr:col>
      <xdr:colOff>519169</xdr:colOff>
      <xdr:row>35</xdr:row>
      <xdr:rowOff>36005</xdr:rowOff>
    </xdr:from>
    <xdr:to>
      <xdr:col>15</xdr:col>
      <xdr:colOff>421562</xdr:colOff>
      <xdr:row>38</xdr:row>
      <xdr:rowOff>111704</xdr:rowOff>
    </xdr:to>
    <xdr:sp macro="" textlink="">
      <xdr:nvSpPr>
        <xdr:cNvPr id="19" name="Triángulo isósceles 18">
          <a:extLst>
            <a:ext uri="{FF2B5EF4-FFF2-40B4-BE49-F238E27FC236}">
              <a16:creationId xmlns:a16="http://schemas.microsoft.com/office/drawing/2014/main" id="{ED938CDE-E389-4997-8825-3B6A52D82DE9}"/>
            </a:ext>
          </a:extLst>
        </xdr:cNvPr>
        <xdr:cNvSpPr/>
      </xdr:nvSpPr>
      <xdr:spPr>
        <a:xfrm>
          <a:off x="10425169" y="6676291"/>
          <a:ext cx="664393" cy="619984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15</xdr:col>
      <xdr:colOff>174899</xdr:colOff>
      <xdr:row>36</xdr:row>
      <xdr:rowOff>175001</xdr:rowOff>
    </xdr:from>
    <xdr:to>
      <xdr:col>16</xdr:col>
      <xdr:colOff>227690</xdr:colOff>
      <xdr:row>38</xdr:row>
      <xdr:rowOff>109315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6C4AD1D5-26EA-40C2-B7A8-6B93A11C27F9}"/>
            </a:ext>
          </a:extLst>
        </xdr:cNvPr>
        <xdr:cNvSpPr/>
      </xdr:nvSpPr>
      <xdr:spPr>
        <a:xfrm>
          <a:off x="10842899" y="6996715"/>
          <a:ext cx="814791" cy="29717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</a:t>
          </a:r>
        </a:p>
        <a:p>
          <a:pPr algn="ctr"/>
          <a:r>
            <a:rPr lang="es-CL" sz="1000">
              <a:solidFill>
                <a:schemeClr val="tx1"/>
              </a:solidFill>
            </a:rPr>
            <a:t>P 40</a:t>
          </a:r>
        </a:p>
      </xdr:txBody>
    </xdr:sp>
    <xdr:clientData/>
  </xdr:twoCellAnchor>
  <xdr:twoCellAnchor>
    <xdr:from>
      <xdr:col>1</xdr:col>
      <xdr:colOff>355445</xdr:colOff>
      <xdr:row>25</xdr:row>
      <xdr:rowOff>136107</xdr:rowOff>
    </xdr:from>
    <xdr:to>
      <xdr:col>3</xdr:col>
      <xdr:colOff>11249</xdr:colOff>
      <xdr:row>26</xdr:row>
      <xdr:rowOff>161662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A68D24C3-29A5-4298-87F1-0CB0542A7F45}"/>
            </a:ext>
          </a:extLst>
        </xdr:cNvPr>
        <xdr:cNvSpPr/>
      </xdr:nvSpPr>
      <xdr:spPr>
        <a:xfrm>
          <a:off x="690263" y="4996743"/>
          <a:ext cx="1179804" cy="2218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 a Terceros</a:t>
          </a:r>
        </a:p>
      </xdr:txBody>
    </xdr:sp>
    <xdr:clientData/>
  </xdr:twoCellAnchor>
  <xdr:twoCellAnchor>
    <xdr:from>
      <xdr:col>15</xdr:col>
      <xdr:colOff>694392</xdr:colOff>
      <xdr:row>26</xdr:row>
      <xdr:rowOff>144052</xdr:rowOff>
    </xdr:from>
    <xdr:to>
      <xdr:col>17</xdr:col>
      <xdr:colOff>350196</xdr:colOff>
      <xdr:row>27</xdr:row>
      <xdr:rowOff>169607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CC66375B-F2C2-480E-8FEC-72F90725A4CC}"/>
            </a:ext>
          </a:extLst>
        </xdr:cNvPr>
        <xdr:cNvSpPr/>
      </xdr:nvSpPr>
      <xdr:spPr>
        <a:xfrm>
          <a:off x="11362392" y="5133338"/>
          <a:ext cx="1179804" cy="225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RECHAZO FINAL</a:t>
          </a:r>
        </a:p>
      </xdr:txBody>
    </xdr:sp>
    <xdr:clientData/>
  </xdr:twoCellAnchor>
  <xdr:twoCellAnchor>
    <xdr:from>
      <xdr:col>4</xdr:col>
      <xdr:colOff>467351</xdr:colOff>
      <xdr:row>5</xdr:row>
      <xdr:rowOff>2178</xdr:rowOff>
    </xdr:from>
    <xdr:to>
      <xdr:col>6</xdr:col>
      <xdr:colOff>397523</xdr:colOff>
      <xdr:row>9</xdr:row>
      <xdr:rowOff>9988</xdr:rowOff>
    </xdr:to>
    <xdr:cxnSp macro="">
      <xdr:nvCxnSpPr>
        <xdr:cNvPr id="23" name="Conector: angular 22">
          <a:extLst>
            <a:ext uri="{FF2B5EF4-FFF2-40B4-BE49-F238E27FC236}">
              <a16:creationId xmlns:a16="http://schemas.microsoft.com/office/drawing/2014/main" id="{D95DE344-DE3D-4C55-930F-70DB5471F8B7}"/>
            </a:ext>
          </a:extLst>
        </xdr:cNvPr>
        <xdr:cNvCxnSpPr>
          <a:cxnSpLocks/>
        </xdr:cNvCxnSpPr>
      </xdr:nvCxnSpPr>
      <xdr:spPr>
        <a:xfrm rot="16200000" flipH="1">
          <a:off x="3453441" y="572088"/>
          <a:ext cx="792901" cy="152344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631562</xdr:colOff>
      <xdr:row>4</xdr:row>
      <xdr:rowOff>103925</xdr:rowOff>
    </xdr:from>
    <xdr:to>
      <xdr:col>7</xdr:col>
      <xdr:colOff>504390</xdr:colOff>
      <xdr:row>8</xdr:row>
      <xdr:rowOff>163914</xdr:rowOff>
    </xdr:to>
    <xdr:cxnSp macro="">
      <xdr:nvCxnSpPr>
        <xdr:cNvPr id="24" name="Conector: angular 23">
          <a:extLst>
            <a:ext uri="{FF2B5EF4-FFF2-40B4-BE49-F238E27FC236}">
              <a16:creationId xmlns:a16="http://schemas.microsoft.com/office/drawing/2014/main" id="{91F4EFDE-ECD7-47FE-9072-F70BDA23DFA7}"/>
            </a:ext>
          </a:extLst>
        </xdr:cNvPr>
        <xdr:cNvCxnSpPr>
          <a:cxnSpLocks/>
          <a:stCxn id="7" idx="2"/>
          <a:endCxn id="5" idx="6"/>
        </xdr:cNvCxnSpPr>
      </xdr:nvCxnSpPr>
      <xdr:spPr>
        <a:xfrm rot="5400000">
          <a:off x="4360681" y="921406"/>
          <a:ext cx="796589" cy="63482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189654</xdr:colOff>
      <xdr:row>4</xdr:row>
      <xdr:rowOff>152271</xdr:rowOff>
    </xdr:from>
    <xdr:to>
      <xdr:col>6</xdr:col>
      <xdr:colOff>372411</xdr:colOff>
      <xdr:row>23</xdr:row>
      <xdr:rowOff>148771</xdr:rowOff>
    </xdr:to>
    <xdr:cxnSp macro="">
      <xdr:nvCxnSpPr>
        <xdr:cNvPr id="26" name="Conector: angular 25">
          <a:extLst>
            <a:ext uri="{FF2B5EF4-FFF2-40B4-BE49-F238E27FC236}">
              <a16:creationId xmlns:a16="http://schemas.microsoft.com/office/drawing/2014/main" id="{46DDC3BA-4ED0-472A-ADAC-235690531DE4}"/>
            </a:ext>
          </a:extLst>
        </xdr:cNvPr>
        <xdr:cNvCxnSpPr>
          <a:cxnSpLocks/>
          <a:stCxn id="12" idx="1"/>
          <a:endCxn id="2" idx="3"/>
        </xdr:cNvCxnSpPr>
      </xdr:nvCxnSpPr>
      <xdr:spPr>
        <a:xfrm rot="10800000">
          <a:off x="2475654" y="877985"/>
          <a:ext cx="1706757" cy="3770215"/>
        </a:xfrm>
        <a:prstGeom prst="bentConnector2">
          <a:avLst/>
        </a:prstGeom>
        <a:ln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391898</xdr:colOff>
      <xdr:row>14</xdr:row>
      <xdr:rowOff>56389</xdr:rowOff>
    </xdr:from>
    <xdr:to>
      <xdr:col>9</xdr:col>
      <xdr:colOff>696428</xdr:colOff>
      <xdr:row>15</xdr:row>
      <xdr:rowOff>94744</xdr:rowOff>
    </xdr:to>
    <xdr:cxnSp macro="">
      <xdr:nvCxnSpPr>
        <xdr:cNvPr id="27" name="Conector: angular 26">
          <a:extLst>
            <a:ext uri="{FF2B5EF4-FFF2-40B4-BE49-F238E27FC236}">
              <a16:creationId xmlns:a16="http://schemas.microsoft.com/office/drawing/2014/main" id="{08E9A7BD-5380-4112-A4C1-C16F60D89C32}"/>
            </a:ext>
          </a:extLst>
        </xdr:cNvPr>
        <xdr:cNvCxnSpPr>
          <a:cxnSpLocks/>
          <a:stCxn id="3" idx="3"/>
          <a:endCxn id="10" idx="0"/>
        </xdr:cNvCxnSpPr>
      </xdr:nvCxnSpPr>
      <xdr:spPr>
        <a:xfrm flipV="1">
          <a:off x="5127184" y="2759675"/>
          <a:ext cx="1828530" cy="237926"/>
        </a:xfrm>
        <a:prstGeom prst="bentConnector4">
          <a:avLst>
            <a:gd name="adj1" fmla="val 40916"/>
            <a:gd name="adj2" fmla="val 20701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694706</xdr:colOff>
      <xdr:row>17</xdr:row>
      <xdr:rowOff>132089</xdr:rowOff>
    </xdr:from>
    <xdr:to>
      <xdr:col>9</xdr:col>
      <xdr:colOff>696428</xdr:colOff>
      <xdr:row>22</xdr:row>
      <xdr:rowOff>37513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53B15AFA-36D9-437D-A1FA-353EB5331C11}"/>
            </a:ext>
          </a:extLst>
        </xdr:cNvPr>
        <xdr:cNvCxnSpPr>
          <a:cxnSpLocks/>
          <a:stCxn id="10" idx="3"/>
          <a:endCxn id="14" idx="0"/>
        </xdr:cNvCxnSpPr>
      </xdr:nvCxnSpPr>
      <xdr:spPr>
        <a:xfrm flipH="1">
          <a:off x="6790706" y="3379660"/>
          <a:ext cx="1722" cy="8851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740995</xdr:colOff>
      <xdr:row>23</xdr:row>
      <xdr:rowOff>101871</xdr:rowOff>
    </xdr:from>
    <xdr:to>
      <xdr:col>9</xdr:col>
      <xdr:colOff>125305</xdr:colOff>
      <xdr:row>23</xdr:row>
      <xdr:rowOff>148770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DF96B80E-3DFB-414B-82D1-E87EA283A089}"/>
            </a:ext>
          </a:extLst>
        </xdr:cNvPr>
        <xdr:cNvCxnSpPr>
          <a:cxnSpLocks/>
          <a:stCxn id="14" idx="1"/>
          <a:endCxn id="12" idx="5"/>
        </xdr:cNvCxnSpPr>
      </xdr:nvCxnSpPr>
      <xdr:spPr>
        <a:xfrm flipH="1">
          <a:off x="4550995" y="4601300"/>
          <a:ext cx="1833596" cy="46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502107</xdr:colOff>
      <xdr:row>23</xdr:row>
      <xdr:rowOff>84502</xdr:rowOff>
    </xdr:from>
    <xdr:to>
      <xdr:col>12</xdr:col>
      <xdr:colOff>302065</xdr:colOff>
      <xdr:row>23</xdr:row>
      <xdr:rowOff>101871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3ED04715-8EF9-4833-8F54-D9B4599EEAF2}"/>
            </a:ext>
          </a:extLst>
        </xdr:cNvPr>
        <xdr:cNvCxnSpPr>
          <a:cxnSpLocks/>
          <a:stCxn id="14" idx="3"/>
          <a:endCxn id="15" idx="2"/>
        </xdr:cNvCxnSpPr>
      </xdr:nvCxnSpPr>
      <xdr:spPr>
        <a:xfrm flipV="1">
          <a:off x="7360107" y="4319952"/>
          <a:ext cx="1323958" cy="173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413312</xdr:colOff>
      <xdr:row>17</xdr:row>
      <xdr:rowOff>41880</xdr:rowOff>
    </xdr:from>
    <xdr:to>
      <xdr:col>13</xdr:col>
      <xdr:colOff>562535</xdr:colOff>
      <xdr:row>22</xdr:row>
      <xdr:rowOff>170136</xdr:rowOff>
    </xdr:to>
    <xdr:cxnSp macro="">
      <xdr:nvCxnSpPr>
        <xdr:cNvPr id="31" name="Conector: angular 30">
          <a:extLst>
            <a:ext uri="{FF2B5EF4-FFF2-40B4-BE49-F238E27FC236}">
              <a16:creationId xmlns:a16="http://schemas.microsoft.com/office/drawing/2014/main" id="{F3DE39F7-AE4E-4E54-B10F-CF2B52BB0ABE}"/>
            </a:ext>
          </a:extLst>
        </xdr:cNvPr>
        <xdr:cNvCxnSpPr>
          <a:cxnSpLocks/>
          <a:stCxn id="15" idx="0"/>
          <a:endCxn id="16" idx="1"/>
        </xdr:cNvCxnSpPr>
      </xdr:nvCxnSpPr>
      <xdr:spPr>
        <a:xfrm rot="5400000" flipH="1" flipV="1">
          <a:off x="8696938" y="3387825"/>
          <a:ext cx="1107971" cy="91122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413311</xdr:colOff>
      <xdr:row>24</xdr:row>
      <xdr:rowOff>1589</xdr:rowOff>
    </xdr:from>
    <xdr:to>
      <xdr:col>14</xdr:col>
      <xdr:colOff>257822</xdr:colOff>
      <xdr:row>28</xdr:row>
      <xdr:rowOff>57668</xdr:rowOff>
    </xdr:to>
    <xdr:cxnSp macro="">
      <xdr:nvCxnSpPr>
        <xdr:cNvPr id="32" name="Conector: angular 31">
          <a:extLst>
            <a:ext uri="{FF2B5EF4-FFF2-40B4-BE49-F238E27FC236}">
              <a16:creationId xmlns:a16="http://schemas.microsoft.com/office/drawing/2014/main" id="{606578AE-1B21-4E40-ACE1-AB0D14F07399}"/>
            </a:ext>
          </a:extLst>
        </xdr:cNvPr>
        <xdr:cNvCxnSpPr>
          <a:cxnSpLocks/>
          <a:stCxn id="15" idx="4"/>
          <a:endCxn id="18" idx="1"/>
        </xdr:cNvCxnSpPr>
      </xdr:nvCxnSpPr>
      <xdr:spPr>
        <a:xfrm rot="16200000" flipH="1">
          <a:off x="9061456" y="4325587"/>
          <a:ext cx="836222" cy="136851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132732</xdr:colOff>
      <xdr:row>17</xdr:row>
      <xdr:rowOff>41879</xdr:rowOff>
    </xdr:from>
    <xdr:to>
      <xdr:col>15</xdr:col>
      <xdr:colOff>65224</xdr:colOff>
      <xdr:row>26</xdr:row>
      <xdr:rowOff>192881</xdr:rowOff>
    </xdr:to>
    <xdr:cxnSp macro="">
      <xdr:nvCxnSpPr>
        <xdr:cNvPr id="33" name="Conector: angular 32">
          <a:extLst>
            <a:ext uri="{FF2B5EF4-FFF2-40B4-BE49-F238E27FC236}">
              <a16:creationId xmlns:a16="http://schemas.microsoft.com/office/drawing/2014/main" id="{DE675EC4-D21D-4290-838B-A2B83EA22B27}"/>
            </a:ext>
          </a:extLst>
        </xdr:cNvPr>
        <xdr:cNvCxnSpPr>
          <a:cxnSpLocks/>
          <a:stCxn id="16" idx="5"/>
          <a:endCxn id="18" idx="0"/>
        </xdr:cNvCxnSpPr>
      </xdr:nvCxnSpPr>
      <xdr:spPr>
        <a:xfrm>
          <a:off x="10038732" y="3289450"/>
          <a:ext cx="694492" cy="189271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634625</xdr:colOff>
      <xdr:row>28</xdr:row>
      <xdr:rowOff>57668</xdr:rowOff>
    </xdr:from>
    <xdr:to>
      <xdr:col>17</xdr:col>
      <xdr:colOff>409964</xdr:colOff>
      <xdr:row>28</xdr:row>
      <xdr:rowOff>57668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3B91D281-FA54-45D4-9DB0-AF14DE90EC0A}"/>
            </a:ext>
          </a:extLst>
        </xdr:cNvPr>
        <xdr:cNvCxnSpPr>
          <a:cxnSpLocks/>
          <a:stCxn id="18" idx="3"/>
        </xdr:cNvCxnSpPr>
      </xdr:nvCxnSpPr>
      <xdr:spPr>
        <a:xfrm>
          <a:off x="11302625" y="5427954"/>
          <a:ext cx="129933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685268</xdr:colOff>
      <xdr:row>29</xdr:row>
      <xdr:rowOff>122026</xdr:rowOff>
    </xdr:from>
    <xdr:to>
      <xdr:col>15</xdr:col>
      <xdr:colOff>65225</xdr:colOff>
      <xdr:row>36</xdr:row>
      <xdr:rowOff>164569</xdr:rowOff>
    </xdr:to>
    <xdr:cxnSp macro="">
      <xdr:nvCxnSpPr>
        <xdr:cNvPr id="35" name="Conector: angular 34">
          <a:extLst>
            <a:ext uri="{FF2B5EF4-FFF2-40B4-BE49-F238E27FC236}">
              <a16:creationId xmlns:a16="http://schemas.microsoft.com/office/drawing/2014/main" id="{B01EF9E7-68E1-4D54-ACE7-214BC3216947}"/>
            </a:ext>
          </a:extLst>
        </xdr:cNvPr>
        <xdr:cNvCxnSpPr>
          <a:cxnSpLocks/>
          <a:stCxn id="18" idx="2"/>
          <a:endCxn id="19" idx="1"/>
        </xdr:cNvCxnSpPr>
      </xdr:nvCxnSpPr>
      <xdr:spPr>
        <a:xfrm rot="5400000">
          <a:off x="10005975" y="6259033"/>
          <a:ext cx="1312543" cy="141957"/>
        </a:xfrm>
        <a:prstGeom prst="bentConnector4">
          <a:avLst>
            <a:gd name="adj1" fmla="val 21604"/>
            <a:gd name="adj2" fmla="val 32376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681624</xdr:colOff>
      <xdr:row>35</xdr:row>
      <xdr:rowOff>104089</xdr:rowOff>
    </xdr:from>
    <xdr:to>
      <xdr:col>17</xdr:col>
      <xdr:colOff>337428</xdr:colOff>
      <xdr:row>36</xdr:row>
      <xdr:rowOff>129644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1517FE29-CD65-4590-9281-52D3C23FE0C5}"/>
            </a:ext>
          </a:extLst>
        </xdr:cNvPr>
        <xdr:cNvSpPr/>
      </xdr:nvSpPr>
      <xdr:spPr>
        <a:xfrm>
          <a:off x="11349624" y="6744375"/>
          <a:ext cx="1179804" cy="2069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</a:t>
          </a:r>
        </a:p>
      </xdr:txBody>
    </xdr:sp>
    <xdr:clientData/>
  </xdr:twoCellAnchor>
  <xdr:twoCellAnchor>
    <xdr:from>
      <xdr:col>15</xdr:col>
      <xdr:colOff>246392</xdr:colOff>
      <xdr:row>36</xdr:row>
      <xdr:rowOff>129645</xdr:rowOff>
    </xdr:from>
    <xdr:to>
      <xdr:col>17</xdr:col>
      <xdr:colOff>546434</xdr:colOff>
      <xdr:row>36</xdr:row>
      <xdr:rowOff>129645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15C3D472-94BB-46F6-B502-E6F0EA254766}"/>
            </a:ext>
          </a:extLst>
        </xdr:cNvPr>
        <xdr:cNvCxnSpPr>
          <a:cxnSpLocks/>
        </xdr:cNvCxnSpPr>
      </xdr:nvCxnSpPr>
      <xdr:spPr>
        <a:xfrm>
          <a:off x="10914392" y="6951359"/>
          <a:ext cx="182404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743858</xdr:colOff>
      <xdr:row>25</xdr:row>
      <xdr:rowOff>70755</xdr:rowOff>
    </xdr:from>
    <xdr:to>
      <xdr:col>6</xdr:col>
      <xdr:colOff>188118</xdr:colOff>
      <xdr:row>25</xdr:row>
      <xdr:rowOff>108860</xdr:rowOff>
    </xdr:to>
    <xdr:cxnSp macro="">
      <xdr:nvCxnSpPr>
        <xdr:cNvPr id="38" name="Conector: angular 37">
          <a:extLst>
            <a:ext uri="{FF2B5EF4-FFF2-40B4-BE49-F238E27FC236}">
              <a16:creationId xmlns:a16="http://schemas.microsoft.com/office/drawing/2014/main" id="{11B07FFB-D507-473D-AAB8-FA8501C1A0CB}"/>
            </a:ext>
          </a:extLst>
        </xdr:cNvPr>
        <xdr:cNvCxnSpPr>
          <a:cxnSpLocks/>
          <a:stCxn id="12" idx="2"/>
        </xdr:cNvCxnSpPr>
      </xdr:nvCxnSpPr>
      <xdr:spPr>
        <a:xfrm rot="5400000">
          <a:off x="2732935" y="3742249"/>
          <a:ext cx="38105" cy="24922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662221</xdr:colOff>
      <xdr:row>3</xdr:row>
      <xdr:rowOff>76135</xdr:rowOff>
    </xdr:from>
    <xdr:to>
      <xdr:col>4</xdr:col>
      <xdr:colOff>45032</xdr:colOff>
      <xdr:row>6</xdr:row>
      <xdr:rowOff>108858</xdr:rowOff>
    </xdr:to>
    <xdr:cxnSp macro="">
      <xdr:nvCxnSpPr>
        <xdr:cNvPr id="39" name="Conector: angular 38">
          <a:extLst>
            <a:ext uri="{FF2B5EF4-FFF2-40B4-BE49-F238E27FC236}">
              <a16:creationId xmlns:a16="http://schemas.microsoft.com/office/drawing/2014/main" id="{8588A35B-B26D-40CA-BFEA-9B858069BE61}"/>
            </a:ext>
          </a:extLst>
        </xdr:cNvPr>
        <xdr:cNvCxnSpPr>
          <a:cxnSpLocks/>
          <a:stCxn id="2" idx="1"/>
        </xdr:cNvCxnSpPr>
      </xdr:nvCxnSpPr>
      <xdr:spPr>
        <a:xfrm rot="10800000" flipV="1">
          <a:off x="662221" y="620421"/>
          <a:ext cx="1668811" cy="59515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347956</xdr:colOff>
      <xdr:row>25</xdr:row>
      <xdr:rowOff>79828</xdr:rowOff>
    </xdr:from>
    <xdr:to>
      <xdr:col>6</xdr:col>
      <xdr:colOff>362857</xdr:colOff>
      <xdr:row>34</xdr:row>
      <xdr:rowOff>145144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8795E0D4-FAF9-4272-8AE9-105FCD666CA4}"/>
            </a:ext>
          </a:extLst>
        </xdr:cNvPr>
        <xdr:cNvCxnSpPr>
          <a:cxnSpLocks/>
        </xdr:cNvCxnSpPr>
      </xdr:nvCxnSpPr>
      <xdr:spPr>
        <a:xfrm>
          <a:off x="4157956" y="4978399"/>
          <a:ext cx="14901" cy="18614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10731</xdr:colOff>
      <xdr:row>35</xdr:row>
      <xdr:rowOff>27249</xdr:rowOff>
    </xdr:from>
    <xdr:to>
      <xdr:col>6</xdr:col>
      <xdr:colOff>199571</xdr:colOff>
      <xdr:row>36</xdr:row>
      <xdr:rowOff>90714</xdr:rowOff>
    </xdr:to>
    <xdr:sp macro="" textlink="">
      <xdr:nvSpPr>
        <xdr:cNvPr id="75" name="Rectángulo 74">
          <a:extLst>
            <a:ext uri="{FF2B5EF4-FFF2-40B4-BE49-F238E27FC236}">
              <a16:creationId xmlns:a16="http://schemas.microsoft.com/office/drawing/2014/main" id="{0C75C753-651B-40EB-88EC-EEF50ED53781}"/>
            </a:ext>
          </a:extLst>
        </xdr:cNvPr>
        <xdr:cNvSpPr/>
      </xdr:nvSpPr>
      <xdr:spPr>
        <a:xfrm>
          <a:off x="3058731" y="6921535"/>
          <a:ext cx="950840" cy="2630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A</a:t>
          </a:r>
          <a:r>
            <a:rPr lang="es-CL" sz="1000" baseline="0">
              <a:solidFill>
                <a:schemeClr val="tx1"/>
              </a:solidFill>
            </a:rPr>
            <a:t> PLANTA PELLETS Y PUERTO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523829</xdr:colOff>
      <xdr:row>11</xdr:row>
      <xdr:rowOff>928</xdr:rowOff>
    </xdr:from>
    <xdr:to>
      <xdr:col>16</xdr:col>
      <xdr:colOff>39184</xdr:colOff>
      <xdr:row>13</xdr:row>
      <xdr:rowOff>126923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382591C4-7A57-7948-A23D-65021450B54C}"/>
            </a:ext>
          </a:extLst>
        </xdr:cNvPr>
        <xdr:cNvSpPr/>
      </xdr:nvSpPr>
      <xdr:spPr>
        <a:xfrm>
          <a:off x="11877629" y="2299628"/>
          <a:ext cx="1166355" cy="50699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Relaves</a:t>
          </a:r>
        </a:p>
      </xdr:txBody>
    </xdr:sp>
    <xdr:clientData/>
  </xdr:twoCellAnchor>
  <xdr:twoCellAnchor>
    <xdr:from>
      <xdr:col>6</xdr:col>
      <xdr:colOff>423165</xdr:colOff>
      <xdr:row>25</xdr:row>
      <xdr:rowOff>103966</xdr:rowOff>
    </xdr:from>
    <xdr:to>
      <xdr:col>6</xdr:col>
      <xdr:colOff>645659</xdr:colOff>
      <xdr:row>26</xdr:row>
      <xdr:rowOff>116849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BC2AF5F7-652A-BA42-A95D-C6B428B5D3C6}"/>
            </a:ext>
          </a:extLst>
        </xdr:cNvPr>
        <xdr:cNvSpPr/>
      </xdr:nvSpPr>
      <xdr:spPr>
        <a:xfrm>
          <a:off x="4969765" y="5069666"/>
          <a:ext cx="222494" cy="203383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9</xdr:col>
      <xdr:colOff>612635</xdr:colOff>
      <xdr:row>2</xdr:row>
      <xdr:rowOff>61856</xdr:rowOff>
    </xdr:from>
    <xdr:to>
      <xdr:col>9</xdr:col>
      <xdr:colOff>630009</xdr:colOff>
      <xdr:row>6</xdr:row>
      <xdr:rowOff>38801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6B511871-837D-E24F-A355-C79FA5D8BE25}"/>
            </a:ext>
          </a:extLst>
        </xdr:cNvPr>
        <xdr:cNvCxnSpPr>
          <a:cxnSpLocks/>
          <a:stCxn id="23" idx="2"/>
          <a:endCxn id="15" idx="0"/>
        </xdr:cNvCxnSpPr>
      </xdr:nvCxnSpPr>
      <xdr:spPr>
        <a:xfrm flipH="1">
          <a:off x="7635735" y="646056"/>
          <a:ext cx="17374" cy="7389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751089</xdr:colOff>
      <xdr:row>7</xdr:row>
      <xdr:rowOff>8283</xdr:rowOff>
    </xdr:from>
    <xdr:to>
      <xdr:col>4</xdr:col>
      <xdr:colOff>567574</xdr:colOff>
      <xdr:row>9</xdr:row>
      <xdr:rowOff>160553</xdr:rowOff>
    </xdr:to>
    <xdr:sp macro="" textlink="">
      <xdr:nvSpPr>
        <xdr:cNvPr id="5" name="Triángulo isósceles 4">
          <a:extLst>
            <a:ext uri="{FF2B5EF4-FFF2-40B4-BE49-F238E27FC236}">
              <a16:creationId xmlns:a16="http://schemas.microsoft.com/office/drawing/2014/main" id="{7B21DCF2-444B-5F49-AB64-C9F54550DEFE}"/>
            </a:ext>
          </a:extLst>
        </xdr:cNvPr>
        <xdr:cNvSpPr/>
      </xdr:nvSpPr>
      <xdr:spPr>
        <a:xfrm>
          <a:off x="2694189" y="1544983"/>
          <a:ext cx="641985" cy="53327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282074</xdr:colOff>
      <xdr:row>5</xdr:row>
      <xdr:rowOff>174873</xdr:rowOff>
    </xdr:from>
    <xdr:to>
      <xdr:col>4</xdr:col>
      <xdr:colOff>534801</xdr:colOff>
      <xdr:row>7</xdr:row>
      <xdr:rowOff>159168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88CEDF67-F7E1-E54D-B780-B0310CF54803}"/>
            </a:ext>
          </a:extLst>
        </xdr:cNvPr>
        <xdr:cNvSpPr/>
      </xdr:nvSpPr>
      <xdr:spPr>
        <a:xfrm>
          <a:off x="2225174" y="1330573"/>
          <a:ext cx="1078227" cy="3652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P55</a:t>
          </a:r>
        </a:p>
      </xdr:txBody>
    </xdr:sp>
    <xdr:clientData/>
  </xdr:twoCellAnchor>
  <xdr:twoCellAnchor>
    <xdr:from>
      <xdr:col>3</xdr:col>
      <xdr:colOff>751089</xdr:colOff>
      <xdr:row>18</xdr:row>
      <xdr:rowOff>165944</xdr:rowOff>
    </xdr:from>
    <xdr:to>
      <xdr:col>4</xdr:col>
      <xdr:colOff>567574</xdr:colOff>
      <xdr:row>21</xdr:row>
      <xdr:rowOff>134064</xdr:rowOff>
    </xdr:to>
    <xdr:sp macro="" textlink="">
      <xdr:nvSpPr>
        <xdr:cNvPr id="7" name="Triángulo isósceles 6">
          <a:extLst>
            <a:ext uri="{FF2B5EF4-FFF2-40B4-BE49-F238E27FC236}">
              <a16:creationId xmlns:a16="http://schemas.microsoft.com/office/drawing/2014/main" id="{72EEBCE9-6BEE-7645-8C4D-B64FE5EB8C46}"/>
            </a:ext>
          </a:extLst>
        </xdr:cNvPr>
        <xdr:cNvSpPr/>
      </xdr:nvSpPr>
      <xdr:spPr>
        <a:xfrm>
          <a:off x="2694189" y="3798144"/>
          <a:ext cx="641985" cy="53962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243725</xdr:colOff>
      <xdr:row>17</xdr:row>
      <xdr:rowOff>173796</xdr:rowOff>
    </xdr:from>
    <xdr:to>
      <xdr:col>4</xdr:col>
      <xdr:colOff>496452</xdr:colOff>
      <xdr:row>19</xdr:row>
      <xdr:rowOff>158091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564C3737-1C90-ED42-9407-B036A8D6AA30}"/>
            </a:ext>
          </a:extLst>
        </xdr:cNvPr>
        <xdr:cNvSpPr/>
      </xdr:nvSpPr>
      <xdr:spPr>
        <a:xfrm>
          <a:off x="2186825" y="3615496"/>
          <a:ext cx="1078227" cy="3652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Alianza</a:t>
          </a:r>
        </a:p>
      </xdr:txBody>
    </xdr:sp>
    <xdr:clientData/>
  </xdr:twoCellAnchor>
  <xdr:twoCellAnchor>
    <xdr:from>
      <xdr:col>3</xdr:col>
      <xdr:colOff>743235</xdr:colOff>
      <xdr:row>29</xdr:row>
      <xdr:rowOff>1613</xdr:rowOff>
    </xdr:from>
    <xdr:to>
      <xdr:col>4</xdr:col>
      <xdr:colOff>559720</xdr:colOff>
      <xdr:row>31</xdr:row>
      <xdr:rowOff>154460</xdr:rowOff>
    </xdr:to>
    <xdr:sp macro="" textlink="">
      <xdr:nvSpPr>
        <xdr:cNvPr id="9" name="Triángulo isósceles 8">
          <a:extLst>
            <a:ext uri="{FF2B5EF4-FFF2-40B4-BE49-F238E27FC236}">
              <a16:creationId xmlns:a16="http://schemas.microsoft.com/office/drawing/2014/main" id="{42A613B1-428C-B646-9102-8FA45BF5697B}"/>
            </a:ext>
          </a:extLst>
        </xdr:cNvPr>
        <xdr:cNvSpPr/>
      </xdr:nvSpPr>
      <xdr:spPr>
        <a:xfrm>
          <a:off x="2686335" y="5729313"/>
          <a:ext cx="641985" cy="533847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224326</xdr:colOff>
      <xdr:row>28</xdr:row>
      <xdr:rowOff>90283</xdr:rowOff>
    </xdr:from>
    <xdr:to>
      <xdr:col>4</xdr:col>
      <xdr:colOff>477053</xdr:colOff>
      <xdr:row>30</xdr:row>
      <xdr:rowOff>74578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3393DD46-FE4D-584A-BA0C-6F49F543844F}"/>
            </a:ext>
          </a:extLst>
        </xdr:cNvPr>
        <xdr:cNvSpPr/>
      </xdr:nvSpPr>
      <xdr:spPr>
        <a:xfrm>
          <a:off x="2167426" y="5627483"/>
          <a:ext cx="1078227" cy="3652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P40</a:t>
          </a:r>
        </a:p>
      </xdr:txBody>
    </xdr:sp>
    <xdr:clientData/>
  </xdr:twoCellAnchor>
  <xdr:twoCellAnchor>
    <xdr:from>
      <xdr:col>3</xdr:col>
      <xdr:colOff>744681</xdr:colOff>
      <xdr:row>39</xdr:row>
      <xdr:rowOff>37790</xdr:rowOff>
    </xdr:from>
    <xdr:to>
      <xdr:col>4</xdr:col>
      <xdr:colOff>561166</xdr:colOff>
      <xdr:row>42</xdr:row>
      <xdr:rowOff>5910</xdr:rowOff>
    </xdr:to>
    <xdr:sp macro="" textlink="">
      <xdr:nvSpPr>
        <xdr:cNvPr id="11" name="Triángulo isósceles 10">
          <a:extLst>
            <a:ext uri="{FF2B5EF4-FFF2-40B4-BE49-F238E27FC236}">
              <a16:creationId xmlns:a16="http://schemas.microsoft.com/office/drawing/2014/main" id="{F29B75CB-D744-6643-AE38-227A10070712}"/>
            </a:ext>
          </a:extLst>
        </xdr:cNvPr>
        <xdr:cNvSpPr/>
      </xdr:nvSpPr>
      <xdr:spPr>
        <a:xfrm>
          <a:off x="2687781" y="7670490"/>
          <a:ext cx="641985" cy="53962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264531</xdr:colOff>
      <xdr:row>38</xdr:row>
      <xdr:rowOff>81927</xdr:rowOff>
    </xdr:from>
    <xdr:to>
      <xdr:col>4</xdr:col>
      <xdr:colOff>517258</xdr:colOff>
      <xdr:row>40</xdr:row>
      <xdr:rowOff>66222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7F7C4197-5946-D44A-B80B-CA79C3D4E20E}"/>
            </a:ext>
          </a:extLst>
        </xdr:cNvPr>
        <xdr:cNvSpPr/>
      </xdr:nvSpPr>
      <xdr:spPr>
        <a:xfrm>
          <a:off x="2207631" y="7524127"/>
          <a:ext cx="1078227" cy="3652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MLC-SF</a:t>
          </a:r>
        </a:p>
      </xdr:txBody>
    </xdr:sp>
    <xdr:clientData/>
  </xdr:twoCellAnchor>
  <xdr:twoCellAnchor>
    <xdr:from>
      <xdr:col>4</xdr:col>
      <xdr:colOff>9895</xdr:colOff>
      <xdr:row>49</xdr:row>
      <xdr:rowOff>37334</xdr:rowOff>
    </xdr:from>
    <xdr:to>
      <xdr:col>4</xdr:col>
      <xdr:colOff>588380</xdr:colOff>
      <xdr:row>52</xdr:row>
      <xdr:rowOff>5454</xdr:rowOff>
    </xdr:to>
    <xdr:sp macro="" textlink="">
      <xdr:nvSpPr>
        <xdr:cNvPr id="13" name="Triángulo isósceles 12">
          <a:extLst>
            <a:ext uri="{FF2B5EF4-FFF2-40B4-BE49-F238E27FC236}">
              <a16:creationId xmlns:a16="http://schemas.microsoft.com/office/drawing/2014/main" id="{A51B9ABB-84EC-1B4F-B06F-26DABA09488C}"/>
            </a:ext>
          </a:extLst>
        </xdr:cNvPr>
        <xdr:cNvSpPr/>
      </xdr:nvSpPr>
      <xdr:spPr>
        <a:xfrm>
          <a:off x="2778495" y="9575034"/>
          <a:ext cx="578485" cy="53962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282074</xdr:colOff>
      <xdr:row>49</xdr:row>
      <xdr:rowOff>42730</xdr:rowOff>
    </xdr:from>
    <xdr:to>
      <xdr:col>4</xdr:col>
      <xdr:colOff>98559</xdr:colOff>
      <xdr:row>50</xdr:row>
      <xdr:rowOff>132200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E85395F6-3555-DA40-A084-6BE1B75659C2}"/>
            </a:ext>
          </a:extLst>
        </xdr:cNvPr>
        <xdr:cNvSpPr/>
      </xdr:nvSpPr>
      <xdr:spPr>
        <a:xfrm>
          <a:off x="2225174" y="9580430"/>
          <a:ext cx="641985" cy="27997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GC</a:t>
          </a:r>
        </a:p>
      </xdr:txBody>
    </xdr:sp>
    <xdr:clientData/>
  </xdr:twoCellAnchor>
  <xdr:twoCellAnchor>
    <xdr:from>
      <xdr:col>9</xdr:col>
      <xdr:colOff>19035</xdr:colOff>
      <xdr:row>6</xdr:row>
      <xdr:rowOff>38801</xdr:rowOff>
    </xdr:from>
    <xdr:to>
      <xdr:col>10</xdr:col>
      <xdr:colOff>444235</xdr:colOff>
      <xdr:row>8</xdr:row>
      <xdr:rowOff>164796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9B6F8F96-CA69-4345-84F1-6EC568E727E4}"/>
            </a:ext>
          </a:extLst>
        </xdr:cNvPr>
        <xdr:cNvSpPr/>
      </xdr:nvSpPr>
      <xdr:spPr>
        <a:xfrm>
          <a:off x="7042135" y="1385001"/>
          <a:ext cx="1250700" cy="50699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Rougher 1</a:t>
          </a:r>
        </a:p>
      </xdr:txBody>
    </xdr:sp>
    <xdr:clientData/>
  </xdr:twoCellAnchor>
  <xdr:twoCellAnchor>
    <xdr:from>
      <xdr:col>9</xdr:col>
      <xdr:colOff>9512</xdr:colOff>
      <xdr:row>14</xdr:row>
      <xdr:rowOff>27971</xdr:rowOff>
    </xdr:from>
    <xdr:to>
      <xdr:col>10</xdr:col>
      <xdr:colOff>434712</xdr:colOff>
      <xdr:row>16</xdr:row>
      <xdr:rowOff>147616</xdr:rowOff>
    </xdr:to>
    <xdr:sp macro="" textlink="">
      <xdr:nvSpPr>
        <xdr:cNvPr id="16" name="Rectángulo 15">
          <a:extLst>
            <a:ext uri="{FF2B5EF4-FFF2-40B4-BE49-F238E27FC236}">
              <a16:creationId xmlns:a16="http://schemas.microsoft.com/office/drawing/2014/main" id="{B9219847-EFD3-CB4A-B717-BEDE17068940}"/>
            </a:ext>
          </a:extLst>
        </xdr:cNvPr>
        <xdr:cNvSpPr/>
      </xdr:nvSpPr>
      <xdr:spPr>
        <a:xfrm>
          <a:off x="7032612" y="2898171"/>
          <a:ext cx="1250700" cy="50064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Rougher 2</a:t>
          </a:r>
        </a:p>
      </xdr:txBody>
    </xdr:sp>
    <xdr:clientData/>
  </xdr:twoCellAnchor>
  <xdr:twoCellAnchor>
    <xdr:from>
      <xdr:col>8</xdr:col>
      <xdr:colOff>710901</xdr:colOff>
      <xdr:row>25</xdr:row>
      <xdr:rowOff>113988</xdr:rowOff>
    </xdr:from>
    <xdr:to>
      <xdr:col>10</xdr:col>
      <xdr:colOff>489604</xdr:colOff>
      <xdr:row>28</xdr:row>
      <xdr:rowOff>58554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A5441D86-70D6-4F43-8593-76A1F80E4292}"/>
            </a:ext>
          </a:extLst>
        </xdr:cNvPr>
        <xdr:cNvSpPr/>
      </xdr:nvSpPr>
      <xdr:spPr>
        <a:xfrm>
          <a:off x="6908501" y="5079688"/>
          <a:ext cx="1429703" cy="51606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HIDROSEPARACIÓN</a:t>
          </a:r>
        </a:p>
      </xdr:txBody>
    </xdr:sp>
    <xdr:clientData/>
  </xdr:twoCellAnchor>
  <xdr:twoCellAnchor>
    <xdr:from>
      <xdr:col>8</xdr:col>
      <xdr:colOff>709072</xdr:colOff>
      <xdr:row>32</xdr:row>
      <xdr:rowOff>110981</xdr:rowOff>
    </xdr:from>
    <xdr:to>
      <xdr:col>10</xdr:col>
      <xdr:colOff>487775</xdr:colOff>
      <xdr:row>35</xdr:row>
      <xdr:rowOff>55547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D52132C1-ACDE-BF4E-8450-4E779765036E}"/>
            </a:ext>
          </a:extLst>
        </xdr:cNvPr>
        <xdr:cNvSpPr/>
      </xdr:nvSpPr>
      <xdr:spPr>
        <a:xfrm>
          <a:off x="6906672" y="6410181"/>
          <a:ext cx="1429703" cy="51606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FINISHER</a:t>
          </a:r>
        </a:p>
      </xdr:txBody>
    </xdr:sp>
    <xdr:clientData/>
  </xdr:twoCellAnchor>
  <xdr:twoCellAnchor>
    <xdr:from>
      <xdr:col>8</xdr:col>
      <xdr:colOff>708466</xdr:colOff>
      <xdr:row>39</xdr:row>
      <xdr:rowOff>48229</xdr:rowOff>
    </xdr:from>
    <xdr:to>
      <xdr:col>10</xdr:col>
      <xdr:colOff>487169</xdr:colOff>
      <xdr:row>41</xdr:row>
      <xdr:rowOff>176945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8B0D1A24-726D-554A-A7E7-164FA915CB95}"/>
            </a:ext>
          </a:extLst>
        </xdr:cNvPr>
        <xdr:cNvSpPr/>
      </xdr:nvSpPr>
      <xdr:spPr>
        <a:xfrm>
          <a:off x="6906066" y="7680929"/>
          <a:ext cx="1429703" cy="50971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FLOTACIÓN </a:t>
          </a:r>
        </a:p>
      </xdr:txBody>
    </xdr:sp>
    <xdr:clientData/>
  </xdr:twoCellAnchor>
  <xdr:twoCellAnchor>
    <xdr:from>
      <xdr:col>8</xdr:col>
      <xdr:colOff>699394</xdr:colOff>
      <xdr:row>46</xdr:row>
      <xdr:rowOff>98164</xdr:rowOff>
    </xdr:from>
    <xdr:to>
      <xdr:col>10</xdr:col>
      <xdr:colOff>478097</xdr:colOff>
      <xdr:row>49</xdr:row>
      <xdr:rowOff>42730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A93BCCE3-194F-1246-8031-00D2C0384E25}"/>
            </a:ext>
          </a:extLst>
        </xdr:cNvPr>
        <xdr:cNvSpPr/>
      </xdr:nvSpPr>
      <xdr:spPr>
        <a:xfrm>
          <a:off x="6896994" y="9064364"/>
          <a:ext cx="1429703" cy="51606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ESPESADOR </a:t>
          </a:r>
        </a:p>
      </xdr:txBody>
    </xdr:sp>
    <xdr:clientData/>
  </xdr:twoCellAnchor>
  <xdr:twoCellAnchor>
    <xdr:from>
      <xdr:col>6</xdr:col>
      <xdr:colOff>248497</xdr:colOff>
      <xdr:row>55</xdr:row>
      <xdr:rowOff>114415</xdr:rowOff>
    </xdr:from>
    <xdr:to>
      <xdr:col>7</xdr:col>
      <xdr:colOff>64982</xdr:colOff>
      <xdr:row>58</xdr:row>
      <xdr:rowOff>82535</xdr:rowOff>
    </xdr:to>
    <xdr:sp macro="" textlink="">
      <xdr:nvSpPr>
        <xdr:cNvPr id="21" name="Triángulo isósceles 20">
          <a:extLst>
            <a:ext uri="{FF2B5EF4-FFF2-40B4-BE49-F238E27FC236}">
              <a16:creationId xmlns:a16="http://schemas.microsoft.com/office/drawing/2014/main" id="{3F036A88-0446-CA4A-B635-D56E5B6FE761}"/>
            </a:ext>
          </a:extLst>
        </xdr:cNvPr>
        <xdr:cNvSpPr/>
      </xdr:nvSpPr>
      <xdr:spPr>
        <a:xfrm>
          <a:off x="4795097" y="10858615"/>
          <a:ext cx="641985" cy="52692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5</xdr:col>
      <xdr:colOff>702298</xdr:colOff>
      <xdr:row>56</xdr:row>
      <xdr:rowOff>91324</xdr:rowOff>
    </xdr:from>
    <xdr:to>
      <xdr:col>7</xdr:col>
      <xdr:colOff>77570</xdr:colOff>
      <xdr:row>58</xdr:row>
      <xdr:rowOff>75619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89254F07-7287-5341-995D-E9D84EB2524E}"/>
            </a:ext>
          </a:extLst>
        </xdr:cNvPr>
        <xdr:cNvSpPr/>
      </xdr:nvSpPr>
      <xdr:spPr>
        <a:xfrm>
          <a:off x="4296398" y="11013324"/>
          <a:ext cx="1153272" cy="3652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INTERMEDIO</a:t>
          </a:r>
        </a:p>
      </xdr:txBody>
    </xdr:sp>
    <xdr:clientData/>
  </xdr:twoCellAnchor>
  <xdr:twoCellAnchor>
    <xdr:from>
      <xdr:col>9</xdr:col>
      <xdr:colOff>122645</xdr:colOff>
      <xdr:row>0</xdr:row>
      <xdr:rowOff>83911</xdr:rowOff>
    </xdr:from>
    <xdr:to>
      <xdr:col>10</xdr:col>
      <xdr:colOff>375372</xdr:colOff>
      <xdr:row>2</xdr:row>
      <xdr:rowOff>61856</xdr:rowOff>
    </xdr:to>
    <xdr:sp macro="" textlink="">
      <xdr:nvSpPr>
        <xdr:cNvPr id="23" name="Rectángulo 22">
          <a:extLst>
            <a:ext uri="{FF2B5EF4-FFF2-40B4-BE49-F238E27FC236}">
              <a16:creationId xmlns:a16="http://schemas.microsoft.com/office/drawing/2014/main" id="{F6B91CED-08C9-224E-90F1-BBE52F4C40F1}"/>
            </a:ext>
          </a:extLst>
        </xdr:cNvPr>
        <xdr:cNvSpPr/>
      </xdr:nvSpPr>
      <xdr:spPr>
        <a:xfrm>
          <a:off x="7145745" y="287111"/>
          <a:ext cx="1078227" cy="3589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 b="1">
              <a:solidFill>
                <a:schemeClr val="tx1"/>
              </a:solidFill>
            </a:rPr>
            <a:t>ALIMENTACIÓN CMCC</a:t>
          </a:r>
        </a:p>
      </xdr:txBody>
    </xdr:sp>
    <xdr:clientData/>
  </xdr:twoCellAnchor>
  <xdr:twoCellAnchor>
    <xdr:from>
      <xdr:col>3</xdr:col>
      <xdr:colOff>194235</xdr:colOff>
      <xdr:row>8</xdr:row>
      <xdr:rowOff>74706</xdr:rowOff>
    </xdr:from>
    <xdr:to>
      <xdr:col>4</xdr:col>
      <xdr:colOff>133710</xdr:colOff>
      <xdr:row>8</xdr:row>
      <xdr:rowOff>84418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3E5DE8C2-A71D-154C-98DE-F450892CCF3C}"/>
            </a:ext>
          </a:extLst>
        </xdr:cNvPr>
        <xdr:cNvCxnSpPr>
          <a:cxnSpLocks/>
          <a:endCxn id="5" idx="1"/>
        </xdr:cNvCxnSpPr>
      </xdr:nvCxnSpPr>
      <xdr:spPr>
        <a:xfrm>
          <a:off x="2137335" y="1801906"/>
          <a:ext cx="764975" cy="97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117929</xdr:colOff>
      <xdr:row>20</xdr:row>
      <xdr:rowOff>54429</xdr:rowOff>
    </xdr:from>
    <xdr:to>
      <xdr:col>4</xdr:col>
      <xdr:colOff>133710</xdr:colOff>
      <xdr:row>20</xdr:row>
      <xdr:rowOff>59290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6619EE39-92DF-A649-91A7-3A7B22A2EE44}"/>
            </a:ext>
          </a:extLst>
        </xdr:cNvPr>
        <xdr:cNvCxnSpPr>
          <a:cxnSpLocks/>
          <a:endCxn id="7" idx="1"/>
        </xdr:cNvCxnSpPr>
      </xdr:nvCxnSpPr>
      <xdr:spPr>
        <a:xfrm>
          <a:off x="2061029" y="4067629"/>
          <a:ext cx="841281" cy="48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11545</xdr:colOff>
      <xdr:row>30</xdr:row>
      <xdr:rowOff>77748</xdr:rowOff>
    </xdr:from>
    <xdr:to>
      <xdr:col>4</xdr:col>
      <xdr:colOff>125856</xdr:colOff>
      <xdr:row>30</xdr:row>
      <xdr:rowOff>87404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6031208F-DC08-A042-8545-DE7A90C934F0}"/>
            </a:ext>
          </a:extLst>
        </xdr:cNvPr>
        <xdr:cNvCxnSpPr>
          <a:cxnSpLocks/>
          <a:endCxn id="9" idx="1"/>
        </xdr:cNvCxnSpPr>
      </xdr:nvCxnSpPr>
      <xdr:spPr>
        <a:xfrm flipV="1">
          <a:off x="1954645" y="5995948"/>
          <a:ext cx="939811" cy="96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108253</xdr:colOff>
      <xdr:row>40</xdr:row>
      <xdr:rowOff>113925</xdr:rowOff>
    </xdr:from>
    <xdr:to>
      <xdr:col>4</xdr:col>
      <xdr:colOff>127302</xdr:colOff>
      <xdr:row>40</xdr:row>
      <xdr:rowOff>113925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C2DECBEF-D6D0-4D43-9E25-0F3EC257C1A2}"/>
            </a:ext>
          </a:extLst>
        </xdr:cNvPr>
        <xdr:cNvCxnSpPr>
          <a:cxnSpLocks/>
          <a:endCxn id="11" idx="1"/>
        </xdr:cNvCxnSpPr>
      </xdr:nvCxnSpPr>
      <xdr:spPr>
        <a:xfrm>
          <a:off x="2051353" y="7937125"/>
          <a:ext cx="8445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422953</xdr:colOff>
      <xdr:row>20</xdr:row>
      <xdr:rowOff>59290</xdr:rowOff>
    </xdr:from>
    <xdr:to>
      <xdr:col>6</xdr:col>
      <xdr:colOff>423165</xdr:colOff>
      <xdr:row>26</xdr:row>
      <xdr:rowOff>19694</xdr:rowOff>
    </xdr:to>
    <xdr:cxnSp macro="">
      <xdr:nvCxnSpPr>
        <xdr:cNvPr id="28" name="Conector: angular 27">
          <a:extLst>
            <a:ext uri="{FF2B5EF4-FFF2-40B4-BE49-F238E27FC236}">
              <a16:creationId xmlns:a16="http://schemas.microsoft.com/office/drawing/2014/main" id="{781E4D06-1F98-4143-8D2D-21F7DC1A788C}"/>
            </a:ext>
          </a:extLst>
        </xdr:cNvPr>
        <xdr:cNvCxnSpPr>
          <a:cxnSpLocks/>
          <a:stCxn id="7" idx="5"/>
          <a:endCxn id="3" idx="2"/>
        </xdr:cNvCxnSpPr>
      </xdr:nvCxnSpPr>
      <xdr:spPr>
        <a:xfrm>
          <a:off x="3191553" y="4072490"/>
          <a:ext cx="1778212" cy="110340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415099</xdr:colOff>
      <xdr:row>26</xdr:row>
      <xdr:rowOff>19694</xdr:rowOff>
    </xdr:from>
    <xdr:to>
      <xdr:col>6</xdr:col>
      <xdr:colOff>423165</xdr:colOff>
      <xdr:row>30</xdr:row>
      <xdr:rowOff>78036</xdr:rowOff>
    </xdr:to>
    <xdr:cxnSp macro="">
      <xdr:nvCxnSpPr>
        <xdr:cNvPr id="29" name="Conector: angular 28">
          <a:extLst>
            <a:ext uri="{FF2B5EF4-FFF2-40B4-BE49-F238E27FC236}">
              <a16:creationId xmlns:a16="http://schemas.microsoft.com/office/drawing/2014/main" id="{118634DC-835A-8049-9FF7-19978311CF72}"/>
            </a:ext>
          </a:extLst>
        </xdr:cNvPr>
        <xdr:cNvCxnSpPr>
          <a:cxnSpLocks/>
          <a:stCxn id="9" idx="5"/>
          <a:endCxn id="3" idx="2"/>
        </xdr:cNvCxnSpPr>
      </xdr:nvCxnSpPr>
      <xdr:spPr>
        <a:xfrm flipV="1">
          <a:off x="3183699" y="5175894"/>
          <a:ext cx="1786066" cy="82034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416545</xdr:colOff>
      <xdr:row>26</xdr:row>
      <xdr:rowOff>19694</xdr:rowOff>
    </xdr:from>
    <xdr:to>
      <xdr:col>6</xdr:col>
      <xdr:colOff>423165</xdr:colOff>
      <xdr:row>40</xdr:row>
      <xdr:rowOff>112565</xdr:rowOff>
    </xdr:to>
    <xdr:cxnSp macro="">
      <xdr:nvCxnSpPr>
        <xdr:cNvPr id="30" name="Conector: angular 29">
          <a:extLst>
            <a:ext uri="{FF2B5EF4-FFF2-40B4-BE49-F238E27FC236}">
              <a16:creationId xmlns:a16="http://schemas.microsoft.com/office/drawing/2014/main" id="{D11469AD-B0AE-F743-9982-3D63CE5C103F}"/>
            </a:ext>
          </a:extLst>
        </xdr:cNvPr>
        <xdr:cNvCxnSpPr>
          <a:cxnSpLocks/>
          <a:stCxn id="11" idx="5"/>
          <a:endCxn id="3" idx="2"/>
        </xdr:cNvCxnSpPr>
      </xdr:nvCxnSpPr>
      <xdr:spPr>
        <a:xfrm flipV="1">
          <a:off x="3185145" y="5175894"/>
          <a:ext cx="1784620" cy="275987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443759</xdr:colOff>
      <xdr:row>26</xdr:row>
      <xdr:rowOff>19694</xdr:rowOff>
    </xdr:from>
    <xdr:to>
      <xdr:col>6</xdr:col>
      <xdr:colOff>423165</xdr:colOff>
      <xdr:row>50</xdr:row>
      <xdr:rowOff>112109</xdr:rowOff>
    </xdr:to>
    <xdr:cxnSp macro="">
      <xdr:nvCxnSpPr>
        <xdr:cNvPr id="31" name="Conector: angular 30">
          <a:extLst>
            <a:ext uri="{FF2B5EF4-FFF2-40B4-BE49-F238E27FC236}">
              <a16:creationId xmlns:a16="http://schemas.microsoft.com/office/drawing/2014/main" id="{B0D9BA64-4AA5-B14F-AA98-9B530D784B1C}"/>
            </a:ext>
          </a:extLst>
        </xdr:cNvPr>
        <xdr:cNvCxnSpPr>
          <a:cxnSpLocks/>
          <a:stCxn id="13" idx="5"/>
          <a:endCxn id="3" idx="2"/>
        </xdr:cNvCxnSpPr>
      </xdr:nvCxnSpPr>
      <xdr:spPr>
        <a:xfrm flipV="1">
          <a:off x="3212359" y="5175894"/>
          <a:ext cx="1757406" cy="46644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422953</xdr:colOff>
      <xdr:row>8</xdr:row>
      <xdr:rowOff>84419</xdr:rowOff>
    </xdr:from>
    <xdr:to>
      <xdr:col>6</xdr:col>
      <xdr:colOff>423165</xdr:colOff>
      <xdr:row>26</xdr:row>
      <xdr:rowOff>19694</xdr:rowOff>
    </xdr:to>
    <xdr:cxnSp macro="">
      <xdr:nvCxnSpPr>
        <xdr:cNvPr id="32" name="Conector: angular 31">
          <a:extLst>
            <a:ext uri="{FF2B5EF4-FFF2-40B4-BE49-F238E27FC236}">
              <a16:creationId xmlns:a16="http://schemas.microsoft.com/office/drawing/2014/main" id="{8EA199CA-50E8-574C-8DDD-05711B64871D}"/>
            </a:ext>
          </a:extLst>
        </xdr:cNvPr>
        <xdr:cNvCxnSpPr>
          <a:cxnSpLocks/>
          <a:stCxn id="5" idx="5"/>
          <a:endCxn id="3" idx="2"/>
        </xdr:cNvCxnSpPr>
      </xdr:nvCxnSpPr>
      <xdr:spPr>
        <a:xfrm>
          <a:off x="3191553" y="1811619"/>
          <a:ext cx="1778212" cy="33642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95262</xdr:colOff>
      <xdr:row>50</xdr:row>
      <xdr:rowOff>113469</xdr:rowOff>
    </xdr:from>
    <xdr:to>
      <xdr:col>4</xdr:col>
      <xdr:colOff>154516</xdr:colOff>
      <xdr:row>50</xdr:row>
      <xdr:rowOff>113469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6557E38E-E836-B54D-AC4C-7B8AEBCAA9E6}"/>
            </a:ext>
          </a:extLst>
        </xdr:cNvPr>
        <xdr:cNvCxnSpPr>
          <a:cxnSpLocks/>
          <a:endCxn id="13" idx="1"/>
        </xdr:cNvCxnSpPr>
      </xdr:nvCxnSpPr>
      <xdr:spPr>
        <a:xfrm>
          <a:off x="2038362" y="9841669"/>
          <a:ext cx="8847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534412</xdr:colOff>
      <xdr:row>26</xdr:row>
      <xdr:rowOff>116849</xdr:rowOff>
    </xdr:from>
    <xdr:to>
      <xdr:col>6</xdr:col>
      <xdr:colOff>537740</xdr:colOff>
      <xdr:row>55</xdr:row>
      <xdr:rowOff>114415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63BA65B5-DF76-8243-8F50-EB9746C841EC}"/>
            </a:ext>
          </a:extLst>
        </xdr:cNvPr>
        <xdr:cNvCxnSpPr>
          <a:cxnSpLocks/>
          <a:stCxn id="21" idx="0"/>
          <a:endCxn id="3" idx="4"/>
        </xdr:cNvCxnSpPr>
      </xdr:nvCxnSpPr>
      <xdr:spPr>
        <a:xfrm flipH="1" flipV="1">
          <a:off x="5081012" y="5273049"/>
          <a:ext cx="3328" cy="55855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600253</xdr:colOff>
      <xdr:row>22</xdr:row>
      <xdr:rowOff>36285</xdr:rowOff>
    </xdr:from>
    <xdr:to>
      <xdr:col>9</xdr:col>
      <xdr:colOff>603111</xdr:colOff>
      <xdr:row>25</xdr:row>
      <xdr:rowOff>113988</xdr:rowOff>
    </xdr:to>
    <xdr:cxnSp macro="">
      <xdr:nvCxnSpPr>
        <xdr:cNvPr id="35" name="Conector: angular 34">
          <a:extLst>
            <a:ext uri="{FF2B5EF4-FFF2-40B4-BE49-F238E27FC236}">
              <a16:creationId xmlns:a16="http://schemas.microsoft.com/office/drawing/2014/main" id="{537D96E9-2293-1D49-9C05-E93B25CFCB19}"/>
            </a:ext>
          </a:extLst>
        </xdr:cNvPr>
        <xdr:cNvCxnSpPr>
          <a:cxnSpLocks/>
          <a:stCxn id="50" idx="2"/>
          <a:endCxn id="17" idx="0"/>
        </xdr:cNvCxnSpPr>
      </xdr:nvCxnSpPr>
      <xdr:spPr>
        <a:xfrm rot="5400000">
          <a:off x="7300180" y="4753658"/>
          <a:ext cx="649203" cy="285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603112</xdr:colOff>
      <xdr:row>8</xdr:row>
      <xdr:rowOff>164796</xdr:rowOff>
    </xdr:from>
    <xdr:to>
      <xdr:col>9</xdr:col>
      <xdr:colOff>612635</xdr:colOff>
      <xdr:row>14</xdr:row>
      <xdr:rowOff>27971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id="{8C106878-C5E8-DE4D-9049-462795FC01F2}"/>
            </a:ext>
          </a:extLst>
        </xdr:cNvPr>
        <xdr:cNvCxnSpPr>
          <a:cxnSpLocks/>
          <a:stCxn id="15" idx="2"/>
          <a:endCxn id="16" idx="0"/>
        </xdr:cNvCxnSpPr>
      </xdr:nvCxnSpPr>
      <xdr:spPr>
        <a:xfrm flipH="1">
          <a:off x="7626212" y="1891996"/>
          <a:ext cx="9523" cy="1006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603111</xdr:colOff>
      <xdr:row>16</xdr:row>
      <xdr:rowOff>147616</xdr:rowOff>
    </xdr:from>
    <xdr:to>
      <xdr:col>9</xdr:col>
      <xdr:colOff>603112</xdr:colOff>
      <xdr:row>20</xdr:row>
      <xdr:rowOff>37044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DC7BF3D9-25A7-3948-A983-A9065BA8557F}"/>
            </a:ext>
          </a:extLst>
        </xdr:cNvPr>
        <xdr:cNvCxnSpPr>
          <a:cxnSpLocks/>
          <a:stCxn id="16" idx="2"/>
          <a:endCxn id="50" idx="0"/>
        </xdr:cNvCxnSpPr>
      </xdr:nvCxnSpPr>
      <xdr:spPr>
        <a:xfrm flipH="1">
          <a:off x="7626211" y="3398816"/>
          <a:ext cx="1" cy="6514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598424</xdr:colOff>
      <xdr:row>28</xdr:row>
      <xdr:rowOff>58554</xdr:rowOff>
    </xdr:from>
    <xdr:to>
      <xdr:col>9</xdr:col>
      <xdr:colOff>600253</xdr:colOff>
      <xdr:row>32</xdr:row>
      <xdr:rowOff>110981</xdr:rowOff>
    </xdr:to>
    <xdr:cxnSp macro="">
      <xdr:nvCxnSpPr>
        <xdr:cNvPr id="38" name="Conector recto de flecha 37">
          <a:extLst>
            <a:ext uri="{FF2B5EF4-FFF2-40B4-BE49-F238E27FC236}">
              <a16:creationId xmlns:a16="http://schemas.microsoft.com/office/drawing/2014/main" id="{1059B9FB-9350-3E42-9AD6-368E2F14468E}"/>
            </a:ext>
          </a:extLst>
        </xdr:cNvPr>
        <xdr:cNvCxnSpPr>
          <a:cxnSpLocks/>
          <a:stCxn id="17" idx="2"/>
          <a:endCxn id="18" idx="0"/>
        </xdr:cNvCxnSpPr>
      </xdr:nvCxnSpPr>
      <xdr:spPr>
        <a:xfrm flipH="1">
          <a:off x="7621524" y="5595754"/>
          <a:ext cx="1829" cy="8144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597818</xdr:colOff>
      <xdr:row>35</xdr:row>
      <xdr:rowOff>55547</xdr:rowOff>
    </xdr:from>
    <xdr:to>
      <xdr:col>9</xdr:col>
      <xdr:colOff>598424</xdr:colOff>
      <xdr:row>39</xdr:row>
      <xdr:rowOff>48229</xdr:rowOff>
    </xdr:to>
    <xdr:cxnSp macro="">
      <xdr:nvCxnSpPr>
        <xdr:cNvPr id="39" name="Conector recto de flecha 38">
          <a:extLst>
            <a:ext uri="{FF2B5EF4-FFF2-40B4-BE49-F238E27FC236}">
              <a16:creationId xmlns:a16="http://schemas.microsoft.com/office/drawing/2014/main" id="{90906A45-CC5C-9F41-84A7-B42A7D010344}"/>
            </a:ext>
          </a:extLst>
        </xdr:cNvPr>
        <xdr:cNvCxnSpPr>
          <a:cxnSpLocks/>
          <a:stCxn id="18" idx="2"/>
          <a:endCxn id="19" idx="0"/>
        </xdr:cNvCxnSpPr>
      </xdr:nvCxnSpPr>
      <xdr:spPr>
        <a:xfrm flipH="1">
          <a:off x="7620918" y="6926247"/>
          <a:ext cx="606" cy="7546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588746</xdr:colOff>
      <xdr:row>41</xdr:row>
      <xdr:rowOff>176945</xdr:rowOff>
    </xdr:from>
    <xdr:to>
      <xdr:col>9</xdr:col>
      <xdr:colOff>597818</xdr:colOff>
      <xdr:row>46</xdr:row>
      <xdr:rowOff>98164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2972FC75-FA70-8941-B9CF-0D066914A713}"/>
            </a:ext>
          </a:extLst>
        </xdr:cNvPr>
        <xdr:cNvCxnSpPr>
          <a:cxnSpLocks/>
          <a:stCxn id="19" idx="2"/>
          <a:endCxn id="20" idx="0"/>
        </xdr:cNvCxnSpPr>
      </xdr:nvCxnSpPr>
      <xdr:spPr>
        <a:xfrm flipH="1">
          <a:off x="7611846" y="8190645"/>
          <a:ext cx="9072" cy="8737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699394</xdr:colOff>
      <xdr:row>40</xdr:row>
      <xdr:rowOff>112588</xdr:rowOff>
    </xdr:from>
    <xdr:to>
      <xdr:col>8</xdr:col>
      <xdr:colOff>708466</xdr:colOff>
      <xdr:row>47</xdr:row>
      <xdr:rowOff>161162</xdr:rowOff>
    </xdr:to>
    <xdr:cxnSp macro="">
      <xdr:nvCxnSpPr>
        <xdr:cNvPr id="41" name="Conector: angular 40">
          <a:extLst>
            <a:ext uri="{FF2B5EF4-FFF2-40B4-BE49-F238E27FC236}">
              <a16:creationId xmlns:a16="http://schemas.microsoft.com/office/drawing/2014/main" id="{9C1FEFAE-01E4-7749-8FE1-C62EC7A0BBDF}"/>
            </a:ext>
          </a:extLst>
        </xdr:cNvPr>
        <xdr:cNvCxnSpPr>
          <a:cxnSpLocks/>
          <a:stCxn id="20" idx="1"/>
          <a:endCxn id="19" idx="1"/>
        </xdr:cNvCxnSpPr>
      </xdr:nvCxnSpPr>
      <xdr:spPr>
        <a:xfrm rot="10800000" flipH="1">
          <a:off x="6896994" y="7935788"/>
          <a:ext cx="9072" cy="1382074"/>
        </a:xfrm>
        <a:prstGeom prst="bentConnector3">
          <a:avLst>
            <a:gd name="adj1" fmla="val -931941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682362</xdr:colOff>
      <xdr:row>49</xdr:row>
      <xdr:rowOff>42730</xdr:rowOff>
    </xdr:from>
    <xdr:to>
      <xdr:col>9</xdr:col>
      <xdr:colOff>588747</xdr:colOff>
      <xdr:row>57</xdr:row>
      <xdr:rowOff>7761</xdr:rowOff>
    </xdr:to>
    <xdr:cxnSp macro="">
      <xdr:nvCxnSpPr>
        <xdr:cNvPr id="42" name="Conector: angular 41">
          <a:extLst>
            <a:ext uri="{FF2B5EF4-FFF2-40B4-BE49-F238E27FC236}">
              <a16:creationId xmlns:a16="http://schemas.microsoft.com/office/drawing/2014/main" id="{F925906E-690F-E647-A90F-FA1DB686C5B8}"/>
            </a:ext>
          </a:extLst>
        </xdr:cNvPr>
        <xdr:cNvCxnSpPr>
          <a:cxnSpLocks/>
          <a:stCxn id="20" idx="2"/>
          <a:endCxn id="21" idx="5"/>
        </xdr:cNvCxnSpPr>
      </xdr:nvCxnSpPr>
      <xdr:spPr>
        <a:xfrm rot="5400000">
          <a:off x="5644139" y="9165253"/>
          <a:ext cx="1552531" cy="238288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478097</xdr:colOff>
      <xdr:row>47</xdr:row>
      <xdr:rowOff>162522</xdr:rowOff>
    </xdr:from>
    <xdr:to>
      <xdr:col>10</xdr:col>
      <xdr:colOff>670681</xdr:colOff>
      <xdr:row>58</xdr:row>
      <xdr:rowOff>146641</xdr:rowOff>
    </xdr:to>
    <xdr:cxnSp macro="">
      <xdr:nvCxnSpPr>
        <xdr:cNvPr id="43" name="Conector: angular 42">
          <a:extLst>
            <a:ext uri="{FF2B5EF4-FFF2-40B4-BE49-F238E27FC236}">
              <a16:creationId xmlns:a16="http://schemas.microsoft.com/office/drawing/2014/main" id="{B95DD37B-AC24-524D-BC31-7E72D30BB3DD}"/>
            </a:ext>
          </a:extLst>
        </xdr:cNvPr>
        <xdr:cNvCxnSpPr>
          <a:cxnSpLocks/>
          <a:stCxn id="20" idx="3"/>
        </xdr:cNvCxnSpPr>
      </xdr:nvCxnSpPr>
      <xdr:spPr>
        <a:xfrm>
          <a:off x="8326697" y="9319222"/>
          <a:ext cx="192584" cy="213041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487169</xdr:colOff>
      <xdr:row>12</xdr:row>
      <xdr:rowOff>63926</xdr:rowOff>
    </xdr:from>
    <xdr:to>
      <xdr:col>14</xdr:col>
      <xdr:colOff>523829</xdr:colOff>
      <xdr:row>40</xdr:row>
      <xdr:rowOff>112588</xdr:rowOff>
    </xdr:to>
    <xdr:cxnSp macro="">
      <xdr:nvCxnSpPr>
        <xdr:cNvPr id="44" name="Conector: angular 43">
          <a:extLst>
            <a:ext uri="{FF2B5EF4-FFF2-40B4-BE49-F238E27FC236}">
              <a16:creationId xmlns:a16="http://schemas.microsoft.com/office/drawing/2014/main" id="{447CD08E-88C1-2145-8E70-8F2DA04AEBAB}"/>
            </a:ext>
          </a:extLst>
        </xdr:cNvPr>
        <xdr:cNvCxnSpPr>
          <a:cxnSpLocks/>
          <a:stCxn id="19" idx="3"/>
          <a:endCxn id="2" idx="1"/>
        </xdr:cNvCxnSpPr>
      </xdr:nvCxnSpPr>
      <xdr:spPr>
        <a:xfrm flipV="1">
          <a:off x="8335769" y="2553126"/>
          <a:ext cx="3541860" cy="538266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487775</xdr:colOff>
      <xdr:row>12</xdr:row>
      <xdr:rowOff>63926</xdr:rowOff>
    </xdr:from>
    <xdr:to>
      <xdr:col>14</xdr:col>
      <xdr:colOff>523829</xdr:colOff>
      <xdr:row>33</xdr:row>
      <xdr:rowOff>173979</xdr:rowOff>
    </xdr:to>
    <xdr:cxnSp macro="">
      <xdr:nvCxnSpPr>
        <xdr:cNvPr id="45" name="Conector: angular 44">
          <a:extLst>
            <a:ext uri="{FF2B5EF4-FFF2-40B4-BE49-F238E27FC236}">
              <a16:creationId xmlns:a16="http://schemas.microsoft.com/office/drawing/2014/main" id="{C2C2149B-06FE-2445-B055-093728EB4FA7}"/>
            </a:ext>
          </a:extLst>
        </xdr:cNvPr>
        <xdr:cNvCxnSpPr>
          <a:cxnSpLocks/>
          <a:stCxn id="18" idx="3"/>
          <a:endCxn id="2" idx="1"/>
        </xdr:cNvCxnSpPr>
      </xdr:nvCxnSpPr>
      <xdr:spPr>
        <a:xfrm flipV="1">
          <a:off x="8336375" y="2553126"/>
          <a:ext cx="3541254" cy="411055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489604</xdr:colOff>
      <xdr:row>12</xdr:row>
      <xdr:rowOff>63926</xdr:rowOff>
    </xdr:from>
    <xdr:to>
      <xdr:col>14</xdr:col>
      <xdr:colOff>523829</xdr:colOff>
      <xdr:row>26</xdr:row>
      <xdr:rowOff>176986</xdr:rowOff>
    </xdr:to>
    <xdr:cxnSp macro="">
      <xdr:nvCxnSpPr>
        <xdr:cNvPr id="46" name="Conector: angular 45">
          <a:extLst>
            <a:ext uri="{FF2B5EF4-FFF2-40B4-BE49-F238E27FC236}">
              <a16:creationId xmlns:a16="http://schemas.microsoft.com/office/drawing/2014/main" id="{152D7AFA-5836-0B46-A63B-F10A87AD5FD9}"/>
            </a:ext>
          </a:extLst>
        </xdr:cNvPr>
        <xdr:cNvCxnSpPr>
          <a:cxnSpLocks/>
          <a:stCxn id="17" idx="3"/>
          <a:endCxn id="2" idx="1"/>
        </xdr:cNvCxnSpPr>
      </xdr:nvCxnSpPr>
      <xdr:spPr>
        <a:xfrm flipV="1">
          <a:off x="8338204" y="2553126"/>
          <a:ext cx="3539425" cy="27800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434712</xdr:colOff>
      <xdr:row>12</xdr:row>
      <xdr:rowOff>63926</xdr:rowOff>
    </xdr:from>
    <xdr:to>
      <xdr:col>14</xdr:col>
      <xdr:colOff>523829</xdr:colOff>
      <xdr:row>15</xdr:row>
      <xdr:rowOff>87794</xdr:rowOff>
    </xdr:to>
    <xdr:cxnSp macro="">
      <xdr:nvCxnSpPr>
        <xdr:cNvPr id="47" name="Conector: angular 46">
          <a:extLst>
            <a:ext uri="{FF2B5EF4-FFF2-40B4-BE49-F238E27FC236}">
              <a16:creationId xmlns:a16="http://schemas.microsoft.com/office/drawing/2014/main" id="{FAA0D5FC-5F13-6D42-B8CE-08B0E21BFCDF}"/>
            </a:ext>
          </a:extLst>
        </xdr:cNvPr>
        <xdr:cNvCxnSpPr>
          <a:cxnSpLocks/>
          <a:stCxn id="16" idx="3"/>
          <a:endCxn id="2" idx="1"/>
        </xdr:cNvCxnSpPr>
      </xdr:nvCxnSpPr>
      <xdr:spPr>
        <a:xfrm flipV="1">
          <a:off x="8283312" y="2553126"/>
          <a:ext cx="3594317" cy="595368"/>
        </a:xfrm>
        <a:prstGeom prst="bentConnector3">
          <a:avLst>
            <a:gd name="adj1" fmla="val 5086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444235</xdr:colOff>
      <xdr:row>7</xdr:row>
      <xdr:rowOff>101799</xdr:rowOff>
    </xdr:from>
    <xdr:to>
      <xdr:col>14</xdr:col>
      <xdr:colOff>523829</xdr:colOff>
      <xdr:row>12</xdr:row>
      <xdr:rowOff>63925</xdr:rowOff>
    </xdr:to>
    <xdr:cxnSp macro="">
      <xdr:nvCxnSpPr>
        <xdr:cNvPr id="48" name="Conector: angular 47">
          <a:extLst>
            <a:ext uri="{FF2B5EF4-FFF2-40B4-BE49-F238E27FC236}">
              <a16:creationId xmlns:a16="http://schemas.microsoft.com/office/drawing/2014/main" id="{6B8DEDF7-9571-8E40-8477-83A45A70F0A0}"/>
            </a:ext>
          </a:extLst>
        </xdr:cNvPr>
        <xdr:cNvCxnSpPr>
          <a:cxnSpLocks/>
          <a:stCxn id="15" idx="3"/>
          <a:endCxn id="2" idx="1"/>
        </xdr:cNvCxnSpPr>
      </xdr:nvCxnSpPr>
      <xdr:spPr>
        <a:xfrm>
          <a:off x="8292835" y="1638499"/>
          <a:ext cx="3584794" cy="914626"/>
        </a:xfrm>
        <a:prstGeom prst="bentConnector3">
          <a:avLst>
            <a:gd name="adj1" fmla="val 5054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534413</xdr:colOff>
      <xdr:row>21</xdr:row>
      <xdr:rowOff>36665</xdr:rowOff>
    </xdr:from>
    <xdr:to>
      <xdr:col>9</xdr:col>
      <xdr:colOff>63475</xdr:colOff>
      <xdr:row>25</xdr:row>
      <xdr:rowOff>103966</xdr:rowOff>
    </xdr:to>
    <xdr:cxnSp macro="">
      <xdr:nvCxnSpPr>
        <xdr:cNvPr id="49" name="Conector: angular 56">
          <a:extLst>
            <a:ext uri="{FF2B5EF4-FFF2-40B4-BE49-F238E27FC236}">
              <a16:creationId xmlns:a16="http://schemas.microsoft.com/office/drawing/2014/main" id="{FE2A1ECB-6982-9441-8BC6-26F52BE95D74}"/>
            </a:ext>
          </a:extLst>
        </xdr:cNvPr>
        <xdr:cNvCxnSpPr>
          <a:cxnSpLocks/>
          <a:stCxn id="3" idx="0"/>
          <a:endCxn id="50" idx="1"/>
        </xdr:cNvCxnSpPr>
      </xdr:nvCxnSpPr>
      <xdr:spPr>
        <a:xfrm rot="5400000" flipH="1" flipV="1">
          <a:off x="5669143" y="3652235"/>
          <a:ext cx="829301" cy="20055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63474</xdr:colOff>
      <xdr:row>20</xdr:row>
      <xdr:rowOff>37044</xdr:rowOff>
    </xdr:from>
    <xdr:to>
      <xdr:col>10</xdr:col>
      <xdr:colOff>380747</xdr:colOff>
      <xdr:row>22</xdr:row>
      <xdr:rowOff>36285</xdr:rowOff>
    </xdr:to>
    <xdr:sp macro="" textlink="">
      <xdr:nvSpPr>
        <xdr:cNvPr id="50" name="Rectángulo 66">
          <a:extLst>
            <a:ext uri="{FF2B5EF4-FFF2-40B4-BE49-F238E27FC236}">
              <a16:creationId xmlns:a16="http://schemas.microsoft.com/office/drawing/2014/main" id="{1907BE04-94A6-F943-9A80-E6F67A9019FC}"/>
            </a:ext>
          </a:extLst>
        </xdr:cNvPr>
        <xdr:cNvSpPr/>
      </xdr:nvSpPr>
      <xdr:spPr>
        <a:xfrm>
          <a:off x="7086574" y="4050244"/>
          <a:ext cx="1142773" cy="38024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Molienda /clasif</a:t>
          </a:r>
        </a:p>
      </xdr:txBody>
    </xdr:sp>
    <xdr:clientData/>
  </xdr:twoCellAnchor>
  <xdr:twoCellAnchor>
    <xdr:from>
      <xdr:col>10</xdr:col>
      <xdr:colOff>380747</xdr:colOff>
      <xdr:row>12</xdr:row>
      <xdr:rowOff>63925</xdr:rowOff>
    </xdr:from>
    <xdr:to>
      <xdr:col>14</xdr:col>
      <xdr:colOff>523829</xdr:colOff>
      <xdr:row>21</xdr:row>
      <xdr:rowOff>36665</xdr:rowOff>
    </xdr:to>
    <xdr:cxnSp macro="">
      <xdr:nvCxnSpPr>
        <xdr:cNvPr id="51" name="Conector: angular 69">
          <a:extLst>
            <a:ext uri="{FF2B5EF4-FFF2-40B4-BE49-F238E27FC236}">
              <a16:creationId xmlns:a16="http://schemas.microsoft.com/office/drawing/2014/main" id="{AF299374-DFC1-0746-90C6-871C9A47DB8F}"/>
            </a:ext>
          </a:extLst>
        </xdr:cNvPr>
        <xdr:cNvCxnSpPr>
          <a:cxnSpLocks/>
          <a:stCxn id="50" idx="3"/>
          <a:endCxn id="2" idx="1"/>
        </xdr:cNvCxnSpPr>
      </xdr:nvCxnSpPr>
      <xdr:spPr>
        <a:xfrm flipV="1">
          <a:off x="8229347" y="2553125"/>
          <a:ext cx="3648282" cy="1687240"/>
        </a:xfrm>
        <a:prstGeom prst="bentConnector3">
          <a:avLst>
            <a:gd name="adj1" fmla="val 5187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824</xdr:colOff>
      <xdr:row>56</xdr:row>
      <xdr:rowOff>28262</xdr:rowOff>
    </xdr:from>
    <xdr:to>
      <xdr:col>4</xdr:col>
      <xdr:colOff>579309</xdr:colOff>
      <xdr:row>58</xdr:row>
      <xdr:rowOff>177811</xdr:rowOff>
    </xdr:to>
    <xdr:sp macro="" textlink="">
      <xdr:nvSpPr>
        <xdr:cNvPr id="52" name="Triángulo isósceles 79">
          <a:extLst>
            <a:ext uri="{FF2B5EF4-FFF2-40B4-BE49-F238E27FC236}">
              <a16:creationId xmlns:a16="http://schemas.microsoft.com/office/drawing/2014/main" id="{05F4D993-6BC1-0E4C-BBCA-0AC1AD374B74}"/>
            </a:ext>
          </a:extLst>
        </xdr:cNvPr>
        <xdr:cNvSpPr/>
      </xdr:nvSpPr>
      <xdr:spPr>
        <a:xfrm>
          <a:off x="2769424" y="10950262"/>
          <a:ext cx="578485" cy="530549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706581</xdr:colOff>
      <xdr:row>63</xdr:row>
      <xdr:rowOff>135305</xdr:rowOff>
    </xdr:from>
    <xdr:to>
      <xdr:col>4</xdr:col>
      <xdr:colOff>523066</xdr:colOff>
      <xdr:row>66</xdr:row>
      <xdr:rowOff>103425</xdr:rowOff>
    </xdr:to>
    <xdr:sp macro="" textlink="">
      <xdr:nvSpPr>
        <xdr:cNvPr id="53" name="Triángulo isósceles 80">
          <a:extLst>
            <a:ext uri="{FF2B5EF4-FFF2-40B4-BE49-F238E27FC236}">
              <a16:creationId xmlns:a16="http://schemas.microsoft.com/office/drawing/2014/main" id="{41B5A891-22AC-944C-BB53-2E9AF391E06B}"/>
            </a:ext>
          </a:extLst>
        </xdr:cNvPr>
        <xdr:cNvSpPr/>
      </xdr:nvSpPr>
      <xdr:spPr>
        <a:xfrm>
          <a:off x="2649681" y="12378105"/>
          <a:ext cx="641985" cy="60312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676728</xdr:colOff>
      <xdr:row>70</xdr:row>
      <xdr:rowOff>87309</xdr:rowOff>
    </xdr:from>
    <xdr:to>
      <xdr:col>4</xdr:col>
      <xdr:colOff>493213</xdr:colOff>
      <xdr:row>73</xdr:row>
      <xdr:rowOff>52130</xdr:rowOff>
    </xdr:to>
    <xdr:sp macro="" textlink="">
      <xdr:nvSpPr>
        <xdr:cNvPr id="54" name="Triángulo isósceles 81">
          <a:extLst>
            <a:ext uri="{FF2B5EF4-FFF2-40B4-BE49-F238E27FC236}">
              <a16:creationId xmlns:a16="http://schemas.microsoft.com/office/drawing/2014/main" id="{FEAFCD7B-A987-6147-A704-A0DCE683C0DA}"/>
            </a:ext>
          </a:extLst>
        </xdr:cNvPr>
        <xdr:cNvSpPr/>
      </xdr:nvSpPr>
      <xdr:spPr>
        <a:xfrm>
          <a:off x="2619828" y="13790609"/>
          <a:ext cx="641985" cy="612521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0</xdr:colOff>
      <xdr:row>58</xdr:row>
      <xdr:rowOff>18143</xdr:rowOff>
    </xdr:from>
    <xdr:to>
      <xdr:col>4</xdr:col>
      <xdr:colOff>59254</xdr:colOff>
      <xdr:row>58</xdr:row>
      <xdr:rowOff>18143</xdr:rowOff>
    </xdr:to>
    <xdr:cxnSp macro="">
      <xdr:nvCxnSpPr>
        <xdr:cNvPr id="55" name="Conector recto de flecha 55">
          <a:extLst>
            <a:ext uri="{FF2B5EF4-FFF2-40B4-BE49-F238E27FC236}">
              <a16:creationId xmlns:a16="http://schemas.microsoft.com/office/drawing/2014/main" id="{400BDD9C-E6CF-D94C-8FFC-5F6234051128}"/>
            </a:ext>
          </a:extLst>
        </xdr:cNvPr>
        <xdr:cNvCxnSpPr>
          <a:cxnSpLocks/>
        </xdr:cNvCxnSpPr>
      </xdr:nvCxnSpPr>
      <xdr:spPr>
        <a:xfrm>
          <a:off x="1943100" y="11321143"/>
          <a:ext cx="8847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760185</xdr:colOff>
      <xdr:row>65</xdr:row>
      <xdr:rowOff>97971</xdr:rowOff>
    </xdr:from>
    <xdr:to>
      <xdr:col>4</xdr:col>
      <xdr:colOff>57439</xdr:colOff>
      <xdr:row>65</xdr:row>
      <xdr:rowOff>97971</xdr:rowOff>
    </xdr:to>
    <xdr:cxnSp macro="">
      <xdr:nvCxnSpPr>
        <xdr:cNvPr id="56" name="Conector recto de flecha 57">
          <a:extLst>
            <a:ext uri="{FF2B5EF4-FFF2-40B4-BE49-F238E27FC236}">
              <a16:creationId xmlns:a16="http://schemas.microsoft.com/office/drawing/2014/main" id="{3067EBDE-E7AF-E44F-B01E-6E2725A7031B}"/>
            </a:ext>
          </a:extLst>
        </xdr:cNvPr>
        <xdr:cNvCxnSpPr>
          <a:cxnSpLocks/>
        </xdr:cNvCxnSpPr>
      </xdr:nvCxnSpPr>
      <xdr:spPr>
        <a:xfrm>
          <a:off x="1877785" y="12785271"/>
          <a:ext cx="9482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12864</xdr:colOff>
      <xdr:row>72</xdr:row>
      <xdr:rowOff>23585</xdr:rowOff>
    </xdr:from>
    <xdr:to>
      <xdr:col>4</xdr:col>
      <xdr:colOff>72118</xdr:colOff>
      <xdr:row>72</xdr:row>
      <xdr:rowOff>23585</xdr:rowOff>
    </xdr:to>
    <xdr:cxnSp macro="">
      <xdr:nvCxnSpPr>
        <xdr:cNvPr id="57" name="Conector recto de flecha 58">
          <a:extLst>
            <a:ext uri="{FF2B5EF4-FFF2-40B4-BE49-F238E27FC236}">
              <a16:creationId xmlns:a16="http://schemas.microsoft.com/office/drawing/2014/main" id="{C7DC51FF-D750-B74B-B682-C80264D5C501}"/>
            </a:ext>
          </a:extLst>
        </xdr:cNvPr>
        <xdr:cNvCxnSpPr>
          <a:cxnSpLocks/>
        </xdr:cNvCxnSpPr>
      </xdr:nvCxnSpPr>
      <xdr:spPr>
        <a:xfrm>
          <a:off x="1955964" y="14171385"/>
          <a:ext cx="8847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434688</xdr:colOff>
      <xdr:row>26</xdr:row>
      <xdr:rowOff>174625</xdr:rowOff>
    </xdr:from>
    <xdr:to>
      <xdr:col>5</xdr:col>
      <xdr:colOff>492125</xdr:colOff>
      <xdr:row>57</xdr:row>
      <xdr:rowOff>103037</xdr:rowOff>
    </xdr:to>
    <xdr:cxnSp macro="">
      <xdr:nvCxnSpPr>
        <xdr:cNvPr id="58" name="Conector: angular 59">
          <a:extLst>
            <a:ext uri="{FF2B5EF4-FFF2-40B4-BE49-F238E27FC236}">
              <a16:creationId xmlns:a16="http://schemas.microsoft.com/office/drawing/2014/main" id="{28B3A7A9-4C51-A44E-AA0A-2D171364F4C0}"/>
            </a:ext>
          </a:extLst>
        </xdr:cNvPr>
        <xdr:cNvCxnSpPr>
          <a:cxnSpLocks/>
          <a:stCxn id="52" idx="5"/>
        </xdr:cNvCxnSpPr>
      </xdr:nvCxnSpPr>
      <xdr:spPr>
        <a:xfrm flipV="1">
          <a:off x="3203288" y="5330825"/>
          <a:ext cx="882937" cy="589741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378445</xdr:colOff>
      <xdr:row>27</xdr:row>
      <xdr:rowOff>79375</xdr:rowOff>
    </xdr:from>
    <xdr:to>
      <xdr:col>5</xdr:col>
      <xdr:colOff>476250</xdr:colOff>
      <xdr:row>65</xdr:row>
      <xdr:rowOff>24115</xdr:rowOff>
    </xdr:to>
    <xdr:cxnSp macro="">
      <xdr:nvCxnSpPr>
        <xdr:cNvPr id="59" name="Conector: angular 61">
          <a:extLst>
            <a:ext uri="{FF2B5EF4-FFF2-40B4-BE49-F238E27FC236}">
              <a16:creationId xmlns:a16="http://schemas.microsoft.com/office/drawing/2014/main" id="{2A8219AE-2CE4-4940-9086-DE08B3499C3A}"/>
            </a:ext>
          </a:extLst>
        </xdr:cNvPr>
        <xdr:cNvCxnSpPr>
          <a:cxnSpLocks/>
          <a:stCxn id="53" idx="5"/>
        </xdr:cNvCxnSpPr>
      </xdr:nvCxnSpPr>
      <xdr:spPr>
        <a:xfrm flipV="1">
          <a:off x="3147045" y="5426075"/>
          <a:ext cx="923305" cy="728534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348592</xdr:colOff>
      <xdr:row>27</xdr:row>
      <xdr:rowOff>183369</xdr:rowOff>
    </xdr:from>
    <xdr:to>
      <xdr:col>5</xdr:col>
      <xdr:colOff>512754</xdr:colOff>
      <xdr:row>71</xdr:row>
      <xdr:rowOff>162084</xdr:rowOff>
    </xdr:to>
    <xdr:cxnSp macro="">
      <xdr:nvCxnSpPr>
        <xdr:cNvPr id="60" name="Conector: angular 64">
          <a:extLst>
            <a:ext uri="{FF2B5EF4-FFF2-40B4-BE49-F238E27FC236}">
              <a16:creationId xmlns:a16="http://schemas.microsoft.com/office/drawing/2014/main" id="{80EC4457-170B-AD4A-8215-1428E16190D9}"/>
            </a:ext>
          </a:extLst>
        </xdr:cNvPr>
        <xdr:cNvCxnSpPr>
          <a:cxnSpLocks/>
          <a:stCxn id="54" idx="5"/>
        </xdr:cNvCxnSpPr>
      </xdr:nvCxnSpPr>
      <xdr:spPr>
        <a:xfrm flipV="1">
          <a:off x="3117192" y="5530069"/>
          <a:ext cx="989662" cy="857661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-my.sharepoint.com/Users/mfrez/Downloads/02.%20BALANCE%20METALURGICO%2001%20AL%2028%20DE%20FEBRERO%20201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-mac/Desktop/BALANCE%20mensual%20Julio%20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cion Planta"/>
      <sheetName val="Calc Nodos Stock"/>
      <sheetName val="Bal Fe Tot"/>
      <sheetName val="Bal Fe Mag"/>
      <sheetName val="Reporte"/>
      <sheetName val="Diagrama Fe T"/>
    </sheetNames>
    <sheetDataSet>
      <sheetData sheetId="0"/>
      <sheetData sheetId="1"/>
      <sheetData sheetId="2">
        <row r="51">
          <cell r="O51" t="str">
            <v>TMS</v>
          </cell>
          <cell r="P51" t="str">
            <v>%FeT</v>
          </cell>
          <cell r="Q51" t="str">
            <v>TMF Fe</v>
          </cell>
        </row>
        <row r="52">
          <cell r="O52">
            <v>10590.195200000004</v>
          </cell>
          <cell r="P52">
            <v>0.5946070573377733</v>
          </cell>
          <cell r="Q52">
            <v>6297.0048045046142</v>
          </cell>
        </row>
        <row r="53">
          <cell r="O53">
            <v>1179.0912000000044</v>
          </cell>
          <cell r="Q53">
            <v>702.41463620181344</v>
          </cell>
        </row>
        <row r="54">
          <cell r="O54">
            <v>9411.1039999999994</v>
          </cell>
          <cell r="P54">
            <v>0.59446693696114739</v>
          </cell>
          <cell r="Q54">
            <v>5594.5901683028014</v>
          </cell>
        </row>
        <row r="55">
          <cell r="O55">
            <v>4946.938778831196</v>
          </cell>
          <cell r="Q55">
            <v>2126.1868606704375</v>
          </cell>
        </row>
        <row r="56">
          <cell r="O56">
            <v>6331.2064022236336</v>
          </cell>
          <cell r="P56">
            <v>0.42946989250089573</v>
          </cell>
          <cell r="Q56">
            <v>2719.062532963967</v>
          </cell>
        </row>
        <row r="57">
          <cell r="O57">
            <v>11278.14518105483</v>
          </cell>
          <cell r="P57">
            <v>0.42961402924434744</v>
          </cell>
          <cell r="Q57">
            <v>4845.2493936356859</v>
          </cell>
        </row>
        <row r="58">
          <cell r="O58">
            <v>14155.084933000002</v>
          </cell>
          <cell r="Q58">
            <v>6338.1574311699114</v>
          </cell>
        </row>
        <row r="59">
          <cell r="O59">
            <v>17272.342980199999</v>
          </cell>
          <cell r="P59">
            <v>0.44667881855571506</v>
          </cell>
          <cell r="Q59">
            <v>7715.1897560848338</v>
          </cell>
        </row>
        <row r="60">
          <cell r="O60">
            <v>31427.427913200001</v>
          </cell>
          <cell r="P60">
            <v>0.44716822598619738</v>
          </cell>
          <cell r="Q60">
            <v>14053.347187254745</v>
          </cell>
        </row>
        <row r="61">
          <cell r="O61">
            <v>0</v>
          </cell>
          <cell r="Q61">
            <v>0</v>
          </cell>
        </row>
        <row r="62">
          <cell r="O62">
            <v>0</v>
          </cell>
          <cell r="P62">
            <v>0</v>
          </cell>
          <cell r="Q62">
            <v>0</v>
          </cell>
        </row>
        <row r="63">
          <cell r="O63">
            <v>0</v>
          </cell>
          <cell r="P63">
            <v>0</v>
          </cell>
          <cell r="Q63">
            <v>0</v>
          </cell>
        </row>
        <row r="64">
          <cell r="O64">
            <v>0</v>
          </cell>
          <cell r="Q64">
            <v>0</v>
          </cell>
        </row>
        <row r="65">
          <cell r="O65">
            <v>0</v>
          </cell>
          <cell r="P65">
            <v>0</v>
          </cell>
          <cell r="Q65">
            <v>0</v>
          </cell>
        </row>
        <row r="66">
          <cell r="O66">
            <v>0</v>
          </cell>
          <cell r="Q66">
            <v>0</v>
          </cell>
        </row>
        <row r="67">
          <cell r="O67">
            <v>82</v>
          </cell>
          <cell r="Q67">
            <v>33.745144798627614</v>
          </cell>
        </row>
        <row r="68">
          <cell r="O68">
            <v>1182.8172880254308</v>
          </cell>
          <cell r="P68">
            <v>0.4112671097311294</v>
          </cell>
          <cell r="Q68">
            <v>486.45384738623176</v>
          </cell>
        </row>
        <row r="69">
          <cell r="O69">
            <v>1264.8172880254308</v>
          </cell>
          <cell r="P69">
            <v>0.41128390409413823</v>
          </cell>
          <cell r="Q69">
            <v>520.19899218485932</v>
          </cell>
        </row>
        <row r="70">
          <cell r="O70">
            <v>4972.4866576199074</v>
          </cell>
          <cell r="Q70">
            <v>2523.9227107876786</v>
          </cell>
        </row>
        <row r="71">
          <cell r="O71">
            <v>4972.4866576199074</v>
          </cell>
          <cell r="P71">
            <v>0.50757757326909758</v>
          </cell>
          <cell r="Q71">
            <v>2523.9227107876786</v>
          </cell>
        </row>
        <row r="72">
          <cell r="O72">
            <v>0</v>
          </cell>
          <cell r="P72">
            <v>0</v>
          </cell>
          <cell r="Q72">
            <v>0</v>
          </cell>
        </row>
        <row r="73">
          <cell r="O73">
            <v>8594.5835851428656</v>
          </cell>
          <cell r="Q73">
            <v>4366.7606438773519</v>
          </cell>
        </row>
        <row r="74">
          <cell r="O74">
            <v>5651.121271066173</v>
          </cell>
          <cell r="P74">
            <v>0.50872577900648142</v>
          </cell>
          <cell r="Q74">
            <v>2874.8710708832364</v>
          </cell>
        </row>
        <row r="75">
          <cell r="O75">
            <v>2943.462314076693</v>
          </cell>
          <cell r="P75">
            <v>0.50684853883107817</v>
          </cell>
          <cell r="Q75">
            <v>1491.889572994116</v>
          </cell>
        </row>
        <row r="76">
          <cell r="O76">
            <v>0</v>
          </cell>
          <cell r="Q76">
            <v>0</v>
          </cell>
        </row>
        <row r="77">
          <cell r="O77">
            <v>0</v>
          </cell>
          <cell r="P77">
            <v>0</v>
          </cell>
          <cell r="Q77">
            <v>0</v>
          </cell>
        </row>
        <row r="78">
          <cell r="O78">
            <v>0</v>
          </cell>
          <cell r="P78">
            <v>0</v>
          </cell>
          <cell r="Q78">
            <v>0</v>
          </cell>
        </row>
        <row r="79">
          <cell r="O79">
            <v>1306055.4733624873</v>
          </cell>
          <cell r="P79">
            <v>0.15986515728933584</v>
          </cell>
          <cell r="Q79">
            <v>208792.76367769201</v>
          </cell>
        </row>
        <row r="80">
          <cell r="O80">
            <v>745435.87394205853</v>
          </cell>
          <cell r="P80">
            <v>5.8870051917735776E-2</v>
          </cell>
          <cell r="Q80">
            <v>43883.848600311729</v>
          </cell>
        </row>
        <row r="81">
          <cell r="O81">
            <v>560619.59942042874</v>
          </cell>
          <cell r="P81">
            <v>0.29415474458592822</v>
          </cell>
          <cell r="Q81">
            <v>164908.91507738162</v>
          </cell>
        </row>
        <row r="82">
          <cell r="O82">
            <v>131707.02285804838</v>
          </cell>
          <cell r="P82">
            <v>6.3753470010810262E-2</v>
          </cell>
          <cell r="Q82">
            <v>8396.779731993689</v>
          </cell>
        </row>
        <row r="84">
          <cell r="O84">
            <v>0</v>
          </cell>
          <cell r="P84">
            <v>0</v>
          </cell>
          <cell r="Q84">
            <v>0</v>
          </cell>
        </row>
        <row r="86">
          <cell r="O86">
            <v>485237.53325873724</v>
          </cell>
          <cell r="P86">
            <v>0.37717076300893287</v>
          </cell>
          <cell r="Q86">
            <v>183017.41065977036</v>
          </cell>
        </row>
        <row r="87">
          <cell r="O87">
            <v>120122.59998160222</v>
          </cell>
          <cell r="P87">
            <v>5.9027619443946258E-2</v>
          </cell>
          <cell r="Q87">
            <v>7090.551118331402</v>
          </cell>
        </row>
        <row r="88">
          <cell r="O88">
            <v>365114.93327713502</v>
          </cell>
          <cell r="P88">
            <v>0.48183967158607427</v>
          </cell>
          <cell r="Q88">
            <v>175926.85954142615</v>
          </cell>
        </row>
        <row r="89">
          <cell r="O89">
            <v>79142.297460037342</v>
          </cell>
          <cell r="P89">
            <v>8.2243767021714709E-2</v>
          </cell>
          <cell r="Q89">
            <v>6508.9606738665552</v>
          </cell>
        </row>
        <row r="90">
          <cell r="O90">
            <v>285972.63581709767</v>
          </cell>
          <cell r="P90">
            <v>0.59242695855668626</v>
          </cell>
          <cell r="Q90">
            <v>169417.89886756206</v>
          </cell>
        </row>
        <row r="91">
          <cell r="O91">
            <v>156923.6358170977</v>
          </cell>
          <cell r="P91">
            <v>0.54738335382242032</v>
          </cell>
          <cell r="Q91">
            <v>85897.386067571017</v>
          </cell>
        </row>
        <row r="92">
          <cell r="O92">
            <v>129612.17039575435</v>
          </cell>
          <cell r="P92">
            <v>0.64655244164111236</v>
          </cell>
          <cell r="Q92">
            <v>83801.065235778879</v>
          </cell>
        </row>
        <row r="94">
          <cell r="O94">
            <v>0</v>
          </cell>
          <cell r="P94">
            <v>0</v>
          </cell>
          <cell r="Q94">
            <v>0</v>
          </cell>
        </row>
        <row r="100">
          <cell r="S100" t="str">
            <v>TMS</v>
          </cell>
          <cell r="T100" t="str">
            <v>%FeT</v>
          </cell>
          <cell r="U100" t="str">
            <v>TMF FeT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I26"/>
  <sheetViews>
    <sheetView zoomScale="210" zoomScaleNormal="210" workbookViewId="0">
      <selection activeCell="C20" sqref="C20"/>
    </sheetView>
  </sheetViews>
  <sheetFormatPr baseColWidth="10" defaultRowHeight="15" outlineLevelRow="1"/>
  <cols>
    <col min="2" max="2" width="29.1640625" bestFit="1" customWidth="1"/>
    <col min="3" max="3" width="25.5" style="109" customWidth="1"/>
    <col min="4" max="4" width="15.5" bestFit="1" customWidth="1"/>
  </cols>
  <sheetData>
    <row r="4" spans="2:9">
      <c r="C4" s="109" t="s">
        <v>95</v>
      </c>
      <c r="D4" t="s">
        <v>34</v>
      </c>
      <c r="E4" t="s">
        <v>35</v>
      </c>
      <c r="F4" t="s">
        <v>9</v>
      </c>
    </row>
    <row r="5" spans="2:9" hidden="1" outlineLevel="1">
      <c r="B5" s="35" t="s">
        <v>21</v>
      </c>
      <c r="C5" s="111"/>
      <c r="D5" s="93" t="e">
        <f>+#REF!</f>
        <v>#REF!</v>
      </c>
      <c r="E5" s="94" t="e">
        <f t="shared" ref="E5:E10" si="0">+ABS(D5)</f>
        <v>#REF!</v>
      </c>
      <c r="F5" s="95" t="e">
        <f>+#REF!</f>
        <v>#REF!</v>
      </c>
      <c r="G5" s="96" t="e">
        <f>+IF(D5=0,0,IF(D5&lt;0,1,-1))</f>
        <v>#REF!</v>
      </c>
      <c r="H5" s="35" t="e">
        <f>+IF(G5=1,"consume",IF(G5=0,"mantiene","aumenta"))</f>
        <v>#REF!</v>
      </c>
      <c r="I5" t="e">
        <f>+IF(D5&gt;0,1,IF(D5&lt;&gt;0,-1,0))</f>
        <v>#REF!</v>
      </c>
    </row>
    <row r="6" spans="2:9" hidden="1" outlineLevel="1">
      <c r="B6" s="35" t="s">
        <v>22</v>
      </c>
      <c r="C6" s="111"/>
      <c r="D6" s="93" t="e">
        <f>+#REF!</f>
        <v>#REF!</v>
      </c>
      <c r="E6" s="94" t="e">
        <f t="shared" ref="E6" si="1">+ABS(D6)</f>
        <v>#REF!</v>
      </c>
      <c r="F6" s="95" t="e">
        <f>+#REF!</f>
        <v>#REF!</v>
      </c>
      <c r="G6" s="96" t="e">
        <f t="shared" ref="G6:G7" si="2">+IF(D6=0,0,IF(D6&lt;0,1,-1))</f>
        <v>#REF!</v>
      </c>
      <c r="H6" s="35" t="e">
        <f t="shared" ref="H6:H14" si="3">+IF(G6=1,"consume",IF(G6=0,"mantiene","aumenta"))</f>
        <v>#REF!</v>
      </c>
      <c r="I6" t="e">
        <f t="shared" ref="I6:I14" si="4">+IF(D6&gt;0,1,IF(D6&lt;&gt;0,-1,0))</f>
        <v>#REF!</v>
      </c>
    </row>
    <row r="7" spans="2:9" hidden="1" outlineLevel="1">
      <c r="B7" s="35" t="s">
        <v>23</v>
      </c>
      <c r="C7" s="111"/>
      <c r="D7" s="103" t="e">
        <f>+'Bal Los Colorados'!D56</f>
        <v>#REF!</v>
      </c>
      <c r="E7" s="94" t="e">
        <f t="shared" si="0"/>
        <v>#REF!</v>
      </c>
      <c r="F7" s="95" t="e">
        <f>+'Bal Los Colorados'!F56</f>
        <v>#REF!</v>
      </c>
      <c r="G7" s="96" t="e">
        <f t="shared" si="2"/>
        <v>#REF!</v>
      </c>
      <c r="H7" s="35" t="e">
        <f t="shared" si="3"/>
        <v>#REF!</v>
      </c>
      <c r="I7" t="e">
        <f t="shared" si="4"/>
        <v>#REF!</v>
      </c>
    </row>
    <row r="8" spans="2:9" hidden="1" outlineLevel="1">
      <c r="B8" s="102" t="s">
        <v>25</v>
      </c>
      <c r="C8" s="102"/>
      <c r="D8" s="103" t="e">
        <f>+#REF!</f>
        <v>#REF!</v>
      </c>
      <c r="E8" s="94" t="e">
        <f t="shared" si="0"/>
        <v>#REF!</v>
      </c>
      <c r="F8" s="95" t="e">
        <f>+#REF!</f>
        <v>#REF!</v>
      </c>
      <c r="G8" s="96" t="e">
        <f t="shared" ref="G8:G9" si="5">+IF(D8=0,0,IF(D8&lt;0,1,-1))</f>
        <v>#REF!</v>
      </c>
      <c r="H8" s="35" t="e">
        <f t="shared" si="3"/>
        <v>#REF!</v>
      </c>
      <c r="I8" t="e">
        <f t="shared" si="4"/>
        <v>#REF!</v>
      </c>
    </row>
    <row r="9" spans="2:9" hidden="1" outlineLevel="1">
      <c r="B9" s="35" t="s">
        <v>11</v>
      </c>
      <c r="C9" s="111"/>
      <c r="D9" s="93" t="e">
        <f>+#REF!</f>
        <v>#REF!</v>
      </c>
      <c r="E9" s="94" t="e">
        <f t="shared" si="0"/>
        <v>#REF!</v>
      </c>
      <c r="F9" s="95" t="e">
        <f>+#REF!</f>
        <v>#REF!</v>
      </c>
      <c r="G9" s="96" t="e">
        <f t="shared" si="5"/>
        <v>#REF!</v>
      </c>
      <c r="H9" s="35" t="e">
        <f t="shared" si="3"/>
        <v>#REF!</v>
      </c>
      <c r="I9" t="e">
        <f t="shared" si="4"/>
        <v>#REF!</v>
      </c>
    </row>
    <row r="10" spans="2:9" collapsed="1">
      <c r="B10" s="97" t="s">
        <v>37</v>
      </c>
      <c r="C10" s="114" t="e">
        <f>+#REF!</f>
        <v>#REF!</v>
      </c>
      <c r="D10" s="98" t="e">
        <f>+#REF!</f>
        <v>#REF!</v>
      </c>
      <c r="E10" s="99" t="e">
        <f t="shared" si="0"/>
        <v>#REF!</v>
      </c>
      <c r="F10" s="100" t="e">
        <f>+#REF!</f>
        <v>#REF!</v>
      </c>
      <c r="G10" s="101" t="e">
        <f>+IF(D10=0,0,IF(D10&lt;0,1,-1))</f>
        <v>#REF!</v>
      </c>
      <c r="H10" s="97" t="e">
        <f t="shared" si="3"/>
        <v>#REF!</v>
      </c>
      <c r="I10" t="e">
        <f t="shared" si="4"/>
        <v>#REF!</v>
      </c>
    </row>
    <row r="11" spans="2:9">
      <c r="B11" s="97" t="s">
        <v>29</v>
      </c>
      <c r="C11" s="114" t="e">
        <f>+#REF!</f>
        <v>#REF!</v>
      </c>
      <c r="D11" s="98" t="e">
        <f>+#REF!</f>
        <v>#REF!</v>
      </c>
      <c r="E11" s="99" t="e">
        <f t="shared" ref="E11:E22" si="6">+ABS(D11)</f>
        <v>#REF!</v>
      </c>
      <c r="F11" s="100" t="e">
        <f>+#REF!</f>
        <v>#REF!</v>
      </c>
      <c r="G11" s="101" t="e">
        <f t="shared" ref="G11" si="7">+IF(D11=0,0,IF(D11&lt;0,1,-1))</f>
        <v>#REF!</v>
      </c>
      <c r="H11" s="97" t="e">
        <f t="shared" si="3"/>
        <v>#REF!</v>
      </c>
      <c r="I11" t="e">
        <f t="shared" si="4"/>
        <v>#REF!</v>
      </c>
    </row>
    <row r="12" spans="2:9">
      <c r="B12" s="97" t="s">
        <v>54</v>
      </c>
      <c r="C12" s="114" t="e">
        <f>+#REF!</f>
        <v>#REF!</v>
      </c>
      <c r="D12" s="98" t="e">
        <f>+#REF!</f>
        <v>#REF!</v>
      </c>
      <c r="E12" s="99" t="e">
        <f t="shared" si="6"/>
        <v>#REF!</v>
      </c>
      <c r="F12" s="100" t="e">
        <f>+#REF!</f>
        <v>#REF!</v>
      </c>
      <c r="G12" s="101" t="e">
        <f t="shared" ref="G12" si="8">+IF(D12=0,0,IF(D12&lt;0,1,-1))</f>
        <v>#REF!</v>
      </c>
      <c r="H12" s="97" t="e">
        <f t="shared" si="3"/>
        <v>#REF!</v>
      </c>
      <c r="I12" t="e">
        <f t="shared" si="4"/>
        <v>#REF!</v>
      </c>
    </row>
    <row r="13" spans="2:9">
      <c r="B13" s="97" t="s">
        <v>12</v>
      </c>
      <c r="C13" s="114" t="e">
        <f>+#REF!</f>
        <v>#REF!</v>
      </c>
      <c r="D13" s="98" t="e">
        <f>+#REF!</f>
        <v>#REF!</v>
      </c>
      <c r="E13" s="99" t="e">
        <f t="shared" si="6"/>
        <v>#REF!</v>
      </c>
      <c r="F13" s="100" t="e">
        <f>+#REF!</f>
        <v>#REF!</v>
      </c>
      <c r="G13" s="101" t="e">
        <f>+IF(D13=0,0,IF(D13&lt;0,1,-1))</f>
        <v>#REF!</v>
      </c>
      <c r="H13" s="97" t="e">
        <f t="shared" si="3"/>
        <v>#REF!</v>
      </c>
      <c r="I13" t="e">
        <f t="shared" si="4"/>
        <v>#REF!</v>
      </c>
    </row>
    <row r="14" spans="2:9">
      <c r="B14" s="97" t="s">
        <v>13</v>
      </c>
      <c r="C14" s="114" t="e">
        <f>+#REF!</f>
        <v>#REF!</v>
      </c>
      <c r="D14" s="98" t="e">
        <f>+#REF!</f>
        <v>#REF!</v>
      </c>
      <c r="E14" s="99" t="e">
        <f t="shared" si="6"/>
        <v>#REF!</v>
      </c>
      <c r="F14" s="100" t="e">
        <f>+#REF!</f>
        <v>#REF!</v>
      </c>
      <c r="G14" s="101" t="e">
        <f t="shared" ref="G14" si="9">+IF(D14=0,0,IF(D14&lt;0,1,-1))</f>
        <v>#REF!</v>
      </c>
      <c r="H14" s="97" t="e">
        <f t="shared" si="3"/>
        <v>#REF!</v>
      </c>
      <c r="I14" t="e">
        <f t="shared" si="4"/>
        <v>#REF!</v>
      </c>
    </row>
    <row r="15" spans="2:9">
      <c r="B15" s="97" t="s">
        <v>65</v>
      </c>
      <c r="C15" s="114"/>
      <c r="D15" s="112">
        <f>+Utilidad!D95</f>
        <v>0</v>
      </c>
      <c r="E15" s="99">
        <f t="shared" si="6"/>
        <v>0</v>
      </c>
      <c r="F15" s="100" t="e">
        <f>+#REF!</f>
        <v>#REF!</v>
      </c>
      <c r="G15" s="101">
        <f t="shared" ref="G15" si="10">+IF(D15=0,0,IF(D15&lt;0,1,-1))</f>
        <v>0</v>
      </c>
      <c r="H15" s="97" t="str">
        <f t="shared" ref="H15" si="11">+IF(G15=1,"consume",IF(G15=0,"mantiene","aumenta"))</f>
        <v>mantiene</v>
      </c>
      <c r="I15">
        <f t="shared" ref="I15:I16" si="12">+IF(D15&gt;0,1,IF(D15&lt;&gt;0,-1,0))</f>
        <v>0</v>
      </c>
    </row>
    <row r="16" spans="2:9">
      <c r="B16" s="97" t="s">
        <v>68</v>
      </c>
      <c r="C16" s="114"/>
      <c r="D16" s="112">
        <f>+Utilidad!D93</f>
        <v>0</v>
      </c>
      <c r="E16" s="99">
        <f t="shared" si="6"/>
        <v>0</v>
      </c>
      <c r="F16" s="100" t="e">
        <f>+#REF!</f>
        <v>#REF!</v>
      </c>
      <c r="G16" s="101">
        <f t="shared" ref="G16" si="13">+IF(D16=0,0,IF(D16&lt;0,1,-1))</f>
        <v>0</v>
      </c>
      <c r="H16" s="97" t="str">
        <f t="shared" ref="H16" si="14">+IF(G16=1,"consume",IF(G16=0,"mantiene","aumenta"))</f>
        <v>mantiene</v>
      </c>
      <c r="I16">
        <f t="shared" si="12"/>
        <v>0</v>
      </c>
    </row>
    <row r="17" spans="2:9">
      <c r="B17" s="97" t="s">
        <v>30</v>
      </c>
      <c r="C17" s="114" t="e">
        <f>+#REF!</f>
        <v>#REF!</v>
      </c>
      <c r="D17" s="112">
        <f>+Utilidad!D100</f>
        <v>0</v>
      </c>
      <c r="E17" s="99">
        <f t="shared" si="6"/>
        <v>0</v>
      </c>
      <c r="F17" s="113">
        <f>+Utilidad!F100</f>
        <v>0</v>
      </c>
      <c r="G17" s="101">
        <f t="shared" ref="G17:G19" si="15">+IF(D17=0,0,IF(D17&lt;0,1,-1))</f>
        <v>0</v>
      </c>
      <c r="H17" s="97" t="str">
        <f>+IF(G17=1,"consume",IF(G17=0,"mantiene","aumenta"))</f>
        <v>mantiene</v>
      </c>
      <c r="I17">
        <f>+IF(D17&gt;0,1,IF(D17&lt;&gt;0,-1,0))</f>
        <v>0</v>
      </c>
    </row>
    <row r="18" spans="2:9">
      <c r="B18" s="97" t="s">
        <v>66</v>
      </c>
      <c r="C18" s="114" t="e">
        <f>+#REF!</f>
        <v>#REF!</v>
      </c>
      <c r="D18" s="112">
        <f>+Utilidad!D102</f>
        <v>0</v>
      </c>
      <c r="E18" s="99">
        <f t="shared" si="6"/>
        <v>0</v>
      </c>
      <c r="F18" s="100" t="e">
        <f>+#REF!</f>
        <v>#REF!</v>
      </c>
      <c r="G18" s="101">
        <f t="shared" si="15"/>
        <v>0</v>
      </c>
      <c r="H18" s="97" t="str">
        <f t="shared" ref="H18" si="16">+IF(G18=1,"consume",IF(G18=0,"mantiene","aumenta"))</f>
        <v>mantiene</v>
      </c>
      <c r="I18">
        <f t="shared" ref="I18" si="17">+IF(D18&gt;0,1,IF(D18&lt;&gt;0,-1,0))</f>
        <v>0</v>
      </c>
    </row>
    <row r="19" spans="2:9">
      <c r="B19" s="97" t="s">
        <v>15</v>
      </c>
      <c r="C19" s="114" t="e">
        <f>+#REF!</f>
        <v>#REF!</v>
      </c>
      <c r="D19" s="112">
        <f>+Utilidad!D104</f>
        <v>0</v>
      </c>
      <c r="E19" s="99">
        <f t="shared" si="6"/>
        <v>0</v>
      </c>
      <c r="F19" s="100" t="e">
        <f>+#REF!</f>
        <v>#REF!</v>
      </c>
      <c r="G19" s="101">
        <f t="shared" si="15"/>
        <v>0</v>
      </c>
      <c r="H19" s="97" t="str">
        <f>+IF(G19=1,"consume",IF(G19=0,"mantiene","aumenta"))</f>
        <v>mantiene</v>
      </c>
      <c r="I19">
        <f>+IF(D19&gt;0,1,IF(D19&lt;&gt;0,-1,0))</f>
        <v>0</v>
      </c>
    </row>
    <row r="20" spans="2:9">
      <c r="B20" s="97" t="s">
        <v>14</v>
      </c>
      <c r="C20" s="114" t="e">
        <f>+#REF!</f>
        <v>#REF!</v>
      </c>
      <c r="D20" s="112">
        <f>+Utilidad!D121</f>
        <v>0</v>
      </c>
      <c r="E20" s="99">
        <f t="shared" si="6"/>
        <v>0</v>
      </c>
      <c r="F20" s="113">
        <f>+Utilidad!F121</f>
        <v>0</v>
      </c>
      <c r="G20" s="101">
        <f t="shared" ref="G20" si="18">+IF(D20=0,0,IF(D20&lt;0,1,-1))</f>
        <v>0</v>
      </c>
      <c r="H20" s="97" t="str">
        <f>+IF(G20=1,"consume",IF(G20=0,"mantiene","aumenta"))</f>
        <v>mantiene</v>
      </c>
      <c r="I20">
        <f>+IF(D20&gt;0,1,IF(D20&lt;&gt;0,-1,0))</f>
        <v>0</v>
      </c>
    </row>
    <row r="21" spans="2:9">
      <c r="B21" s="97" t="s">
        <v>31</v>
      </c>
      <c r="C21" s="114" t="e">
        <f>+#REF!</f>
        <v>#REF!</v>
      </c>
      <c r="D21" s="112">
        <f>+Utilidad!D123</f>
        <v>0</v>
      </c>
      <c r="E21" s="99">
        <f t="shared" si="6"/>
        <v>0</v>
      </c>
      <c r="F21" s="100" t="e">
        <f>+#REF!</f>
        <v>#REF!</v>
      </c>
      <c r="G21" s="101">
        <f t="shared" ref="G21" si="19">+IF(D21=0,0,IF(D21&lt;0,1,-1))</f>
        <v>0</v>
      </c>
      <c r="H21" s="97" t="str">
        <f>+IF(G21=1,"consume",IF(G21=0,"mantiene","aumenta"))</f>
        <v>mantiene</v>
      </c>
      <c r="I21">
        <f>+IF(D21&gt;0,1,IF(D21&lt;&gt;0,-1,0))</f>
        <v>0</v>
      </c>
    </row>
    <row r="22" spans="2:9">
      <c r="B22" s="97" t="s">
        <v>32</v>
      </c>
      <c r="C22" s="114" t="e">
        <f>+#REF!</f>
        <v>#REF!</v>
      </c>
      <c r="D22" s="112">
        <f>+Utilidad!D125</f>
        <v>0</v>
      </c>
      <c r="E22" s="99">
        <f t="shared" si="6"/>
        <v>0</v>
      </c>
      <c r="F22" s="113">
        <f>+Utilidad!F125</f>
        <v>0</v>
      </c>
      <c r="G22" s="101">
        <f t="shared" ref="G22" si="20">+IF(D22=0,0,IF(D22&lt;0,1,-1))</f>
        <v>0</v>
      </c>
      <c r="H22" s="97" t="str">
        <f>+IF(G22=1,"consume",IF(G22=0,"mantiene","aumenta"))</f>
        <v>mantiene</v>
      </c>
      <c r="I22">
        <f>+IF(D22&gt;0,1,IF(D22&lt;&gt;0,-1,0))</f>
        <v>0</v>
      </c>
    </row>
    <row r="26" spans="2:9">
      <c r="D26" s="110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59999389629810485"/>
  </sheetPr>
  <dimension ref="A1:AU123"/>
  <sheetViews>
    <sheetView topLeftCell="H34" zoomScale="70" zoomScaleNormal="70" workbookViewId="0">
      <selection activeCell="O67" sqref="O67"/>
    </sheetView>
  </sheetViews>
  <sheetFormatPr baseColWidth="10" defaultRowHeight="15" outlineLevelRow="1" outlineLevelCol="1"/>
  <cols>
    <col min="1" max="3" width="10.83203125" hidden="1" customWidth="1" outlineLevel="1"/>
    <col min="4" max="4" width="15.5" hidden="1" customWidth="1" outlineLevel="1"/>
    <col min="5" max="6" width="10.83203125" hidden="1" customWidth="1" outlineLevel="1"/>
    <col min="7" max="7" width="5.5" customWidth="1" collapsed="1"/>
    <col min="8" max="8" width="4" customWidth="1"/>
    <col min="9" max="9" width="44.5" bestFit="1" customWidth="1"/>
    <col min="10" max="14" width="10.83203125" customWidth="1"/>
    <col min="15" max="15" width="10.5" customWidth="1"/>
    <col min="16" max="19" width="10.83203125" customWidth="1"/>
    <col min="21" max="21" width="14.5" customWidth="1"/>
    <col min="23" max="23" width="12.5" customWidth="1"/>
    <col min="24" max="24" width="12.5" bestFit="1" customWidth="1"/>
    <col min="26" max="26" width="10.5" customWidth="1"/>
    <col min="27" max="27" width="20.83203125" customWidth="1"/>
  </cols>
  <sheetData>
    <row r="1" spans="7:47" outlineLevel="1"/>
    <row r="2" spans="7:47" outlineLevel="1"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S2">
        <v>9</v>
      </c>
      <c r="T2">
        <v>10</v>
      </c>
    </row>
    <row r="3" spans="7:47" s="2" customFormat="1" ht="51" customHeight="1" outlineLevel="1">
      <c r="J3" s="5" t="s">
        <v>0</v>
      </c>
      <c r="K3" s="3" t="s">
        <v>1</v>
      </c>
      <c r="L3" s="3" t="s">
        <v>2</v>
      </c>
      <c r="M3" s="5" t="s">
        <v>3</v>
      </c>
      <c r="N3" s="5" t="s">
        <v>4</v>
      </c>
      <c r="O3" s="3" t="s">
        <v>5</v>
      </c>
      <c r="P3" s="3" t="s">
        <v>6</v>
      </c>
      <c r="Q3" s="5" t="s">
        <v>7</v>
      </c>
      <c r="R3" s="3" t="s">
        <v>50</v>
      </c>
      <c r="S3" s="3" t="s">
        <v>24</v>
      </c>
      <c r="T3" s="5" t="s">
        <v>8</v>
      </c>
      <c r="U3" s="1"/>
      <c r="V3" s="1"/>
      <c r="W3" s="1" cm="1">
        <f t="array" ref="W3:AU14">+TRANSPOSE(I3:T27)</f>
        <v>0</v>
      </c>
      <c r="X3" s="1" t="e">
        <v>#VALUE!</v>
      </c>
      <c r="Y3" s="1" t="e">
        <v>#VALUE!</v>
      </c>
      <c r="Z3" s="1" t="e">
        <v>#VALUE!</v>
      </c>
      <c r="AA3" s="1" t="e">
        <v>#VALUE!</v>
      </c>
      <c r="AB3" s="1" t="e">
        <v>#VALUE!</v>
      </c>
      <c r="AC3" s="1" t="e">
        <v>#VALUE!</v>
      </c>
      <c r="AD3" s="1" t="e">
        <v>#VALUE!</v>
      </c>
      <c r="AE3" s="1" t="e">
        <v>#VALUE!</v>
      </c>
      <c r="AF3" s="1" t="e">
        <v>#VALUE!</v>
      </c>
      <c r="AG3" s="1" t="e">
        <v>#VALUE!</v>
      </c>
      <c r="AH3" s="1" t="e">
        <v>#VALUE!</v>
      </c>
      <c r="AI3" s="1" t="e">
        <v>#VALUE!</v>
      </c>
      <c r="AJ3" s="1" t="e">
        <v>#VALUE!</v>
      </c>
      <c r="AK3" s="1" t="e">
        <v>#VALUE!</v>
      </c>
      <c r="AL3" s="1" t="e">
        <v>#VALUE!</v>
      </c>
      <c r="AM3" s="1" t="e">
        <v>#VALUE!</v>
      </c>
      <c r="AN3" s="1" t="e">
        <v>#VALUE!</v>
      </c>
      <c r="AO3" s="1" t="e">
        <v>#VALUE!</v>
      </c>
      <c r="AP3" s="1" t="e">
        <v>#VALUE!</v>
      </c>
      <c r="AQ3" s="1" t="e">
        <v>#VALUE!</v>
      </c>
      <c r="AR3" s="1" t="e">
        <v>#VALUE!</v>
      </c>
      <c r="AS3" s="1" t="e">
        <v>#VALUE!</v>
      </c>
      <c r="AT3" s="1" t="e">
        <v>#VALUE!</v>
      </c>
      <c r="AU3" s="1" t="e">
        <v>#VALUE!</v>
      </c>
    </row>
    <row r="4" spans="7:47" outlineLevel="1">
      <c r="G4" s="16" t="s">
        <v>58</v>
      </c>
      <c r="H4">
        <v>1</v>
      </c>
      <c r="I4" s="6" t="s">
        <v>16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W4" t="e">
        <v>#VALUE!</v>
      </c>
      <c r="X4">
        <v>0</v>
      </c>
      <c r="Y4">
        <v>-1</v>
      </c>
      <c r="Z4">
        <v>-1</v>
      </c>
      <c r="AA4" t="str">
        <v/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7:47" outlineLevel="1">
      <c r="G5" s="16" t="s">
        <v>58</v>
      </c>
      <c r="H5">
        <v>2</v>
      </c>
      <c r="I5" s="6" t="s">
        <v>45</v>
      </c>
      <c r="J5">
        <v>-1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W5" t="e">
        <v>#VALUE!</v>
      </c>
      <c r="X5">
        <v>1</v>
      </c>
      <c r="Y5">
        <v>1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7:47" outlineLevel="1">
      <c r="G6" s="16" t="s">
        <v>58</v>
      </c>
      <c r="H6">
        <v>3</v>
      </c>
      <c r="I6" s="6" t="s">
        <v>17</v>
      </c>
      <c r="J6">
        <v>-1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W6" t="e">
        <v>#VALUE!</v>
      </c>
      <c r="X6">
        <v>0</v>
      </c>
      <c r="Y6">
        <v>0</v>
      </c>
      <c r="Z6">
        <v>0</v>
      </c>
      <c r="AA6">
        <v>0</v>
      </c>
      <c r="AB6">
        <v>1</v>
      </c>
      <c r="AC6">
        <v>-1</v>
      </c>
      <c r="AD6">
        <v>-1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7:47" outlineLevel="1">
      <c r="G7" s="16" t="s">
        <v>58</v>
      </c>
      <c r="H7">
        <v>4</v>
      </c>
      <c r="I7" s="6" t="s">
        <v>21</v>
      </c>
      <c r="J7" s="4" t="e">
        <f>+'Nodos Variac Inventarios'!G5</f>
        <v>#REF!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W7" t="e">
        <v>#VALUE!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-1</v>
      </c>
      <c r="AH7" t="str">
        <v/>
      </c>
      <c r="AI7">
        <v>-1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-1</v>
      </c>
    </row>
    <row r="8" spans="7:47" outlineLevel="1">
      <c r="G8" s="16" t="s">
        <v>58</v>
      </c>
      <c r="H8">
        <v>5</v>
      </c>
      <c r="I8" s="6" t="s">
        <v>18</v>
      </c>
      <c r="J8">
        <v>0</v>
      </c>
      <c r="K8">
        <v>-1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W8" t="e">
        <v>#VALUE!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 t="str">
        <v/>
      </c>
      <c r="AF8">
        <v>-1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7:47" outlineLevel="1">
      <c r="G9" s="16" t="s">
        <v>58</v>
      </c>
      <c r="H9">
        <v>6</v>
      </c>
      <c r="I9" s="6" t="s">
        <v>19</v>
      </c>
      <c r="J9">
        <v>0</v>
      </c>
      <c r="K9">
        <v>0</v>
      </c>
      <c r="L9">
        <v>-1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W9" t="e">
        <v>#VALUE!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-1</v>
      </c>
      <c r="AK9">
        <v>-1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7:47" outlineLevel="1">
      <c r="G10" s="16" t="s">
        <v>58</v>
      </c>
      <c r="H10">
        <v>7</v>
      </c>
      <c r="I10" s="6" t="s">
        <v>20</v>
      </c>
      <c r="J10">
        <v>0</v>
      </c>
      <c r="K10">
        <v>0</v>
      </c>
      <c r="L10">
        <v>-1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W10" t="e">
        <v>#VALUE!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-1</v>
      </c>
      <c r="AM10">
        <v>-1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7:47" outlineLevel="1">
      <c r="G11" s="16" t="s">
        <v>58</v>
      </c>
      <c r="H11">
        <v>8</v>
      </c>
      <c r="I11" s="6" t="s">
        <v>22</v>
      </c>
      <c r="J11">
        <v>0</v>
      </c>
      <c r="K11">
        <v>0</v>
      </c>
      <c r="L11">
        <v>0</v>
      </c>
      <c r="M11">
        <v>0</v>
      </c>
      <c r="N11" s="4" t="e">
        <f>+'Nodos Variac Inventarios'!G6</f>
        <v>#REF!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W11" t="e">
        <v>#VALUE!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 t="str">
        <v/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7:47" outlineLevel="1">
      <c r="G12" s="16" t="s">
        <v>58</v>
      </c>
      <c r="H12">
        <v>9</v>
      </c>
      <c r="I12" s="6" t="s">
        <v>46</v>
      </c>
      <c r="J12">
        <v>0</v>
      </c>
      <c r="K12">
        <v>0</v>
      </c>
      <c r="L12">
        <v>0</v>
      </c>
      <c r="M12">
        <v>0</v>
      </c>
      <c r="N12">
        <v>-1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W12" t="e">
        <v>#VALUE!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-1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7:47" outlineLevel="1">
      <c r="G13" s="16" t="s">
        <v>58</v>
      </c>
      <c r="H13">
        <v>10</v>
      </c>
      <c r="I13" s="6" t="s">
        <v>94</v>
      </c>
      <c r="J13" s="64">
        <v>1</v>
      </c>
      <c r="K13">
        <v>0</v>
      </c>
      <c r="L13">
        <v>0</v>
      </c>
      <c r="M13" s="64">
        <v>-1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W13" t="e">
        <v>#VALUE!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-1</v>
      </c>
      <c r="AR13">
        <v>-1</v>
      </c>
      <c r="AS13">
        <v>0</v>
      </c>
      <c r="AT13">
        <v>0</v>
      </c>
      <c r="AU13">
        <v>0</v>
      </c>
    </row>
    <row r="14" spans="7:47" outlineLevel="1">
      <c r="G14" s="16" t="s">
        <v>58</v>
      </c>
      <c r="H14">
        <v>11</v>
      </c>
      <c r="I14" s="6" t="s">
        <v>23</v>
      </c>
      <c r="J14">
        <v>0</v>
      </c>
      <c r="K14">
        <v>0</v>
      </c>
      <c r="L14">
        <v>0</v>
      </c>
      <c r="M14" s="4" t="e">
        <f>+'Nodos Variac Inventarios'!G7</f>
        <v>#REF!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W14" t="e">
        <v>#VALUE!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 t="str">
        <v/>
      </c>
      <c r="AT14">
        <v>-1</v>
      </c>
      <c r="AU14">
        <v>0</v>
      </c>
    </row>
    <row r="15" spans="7:47" outlineLevel="1">
      <c r="G15" s="16" t="s">
        <v>58</v>
      </c>
      <c r="H15">
        <v>12</v>
      </c>
      <c r="I15" s="6" t="s">
        <v>48</v>
      </c>
      <c r="J15">
        <v>0</v>
      </c>
      <c r="K15">
        <v>0</v>
      </c>
      <c r="L15">
        <v>0</v>
      </c>
      <c r="M15">
        <v>-1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7:47" outlineLevel="1">
      <c r="G16" s="16" t="s">
        <v>58</v>
      </c>
      <c r="H16">
        <v>13</v>
      </c>
      <c r="I16" s="6" t="s">
        <v>47</v>
      </c>
      <c r="J16">
        <v>0</v>
      </c>
      <c r="K16">
        <v>0</v>
      </c>
      <c r="L16">
        <v>0</v>
      </c>
      <c r="M16">
        <v>1</v>
      </c>
      <c r="N16">
        <v>0</v>
      </c>
      <c r="O16">
        <v>-1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7:36" outlineLevel="1">
      <c r="G17" s="16" t="s">
        <v>58</v>
      </c>
      <c r="H17">
        <v>14</v>
      </c>
      <c r="I17" s="6" t="s">
        <v>55</v>
      </c>
      <c r="J17">
        <v>0</v>
      </c>
      <c r="K17">
        <v>0</v>
      </c>
      <c r="L17">
        <v>0</v>
      </c>
      <c r="M17">
        <v>0</v>
      </c>
      <c r="N17">
        <v>0</v>
      </c>
      <c r="O17">
        <v>-1</v>
      </c>
      <c r="P17">
        <v>1</v>
      </c>
      <c r="Q17">
        <v>0</v>
      </c>
      <c r="R17">
        <v>0</v>
      </c>
      <c r="S17">
        <v>0</v>
      </c>
      <c r="T17">
        <v>0</v>
      </c>
    </row>
    <row r="18" spans="7:36" outlineLevel="1">
      <c r="G18" s="16" t="s">
        <v>58</v>
      </c>
      <c r="H18">
        <v>15</v>
      </c>
      <c r="I18" s="6" t="s">
        <v>49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-1</v>
      </c>
      <c r="Q18">
        <v>1</v>
      </c>
      <c r="R18">
        <v>0</v>
      </c>
      <c r="S18">
        <v>0</v>
      </c>
      <c r="T18">
        <v>0</v>
      </c>
      <c r="AG18" t="s">
        <v>33</v>
      </c>
      <c r="AH18" t="s">
        <v>10</v>
      </c>
    </row>
    <row r="19" spans="7:36" outlineLevel="1">
      <c r="G19" s="16" t="s">
        <v>58</v>
      </c>
      <c r="H19">
        <v>16</v>
      </c>
      <c r="I19" s="6" t="s">
        <v>146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-1</v>
      </c>
      <c r="Q19">
        <v>0</v>
      </c>
      <c r="R19">
        <v>1</v>
      </c>
      <c r="S19">
        <v>0</v>
      </c>
      <c r="T19">
        <v>0</v>
      </c>
      <c r="AF19" s="65">
        <v>1</v>
      </c>
      <c r="AG19" s="31">
        <f t="shared" ref="AG19:AG42" si="0">+M46</f>
        <v>502781.82030850503</v>
      </c>
      <c r="AH19" s="31">
        <f t="shared" ref="AH19:AH42" si="1">+O46</f>
        <v>231983.78607040126</v>
      </c>
    </row>
    <row r="20" spans="7:36" outlineLevel="1">
      <c r="G20" s="16" t="s">
        <v>58</v>
      </c>
      <c r="H20">
        <v>17</v>
      </c>
      <c r="I20" s="6" t="s">
        <v>25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4" t="e">
        <f>+'Nodos Variac Inventarios'!G8</f>
        <v>#REF!</v>
      </c>
      <c r="R20">
        <v>0</v>
      </c>
      <c r="S20">
        <v>0</v>
      </c>
      <c r="T20">
        <v>0</v>
      </c>
      <c r="AF20" s="65">
        <v>2</v>
      </c>
      <c r="AG20" s="31">
        <f t="shared" si="0"/>
        <v>0</v>
      </c>
      <c r="AH20" s="31">
        <f t="shared" si="1"/>
        <v>0</v>
      </c>
    </row>
    <row r="21" spans="7:36" outlineLevel="1">
      <c r="G21" s="16" t="s">
        <v>58</v>
      </c>
      <c r="H21">
        <v>18</v>
      </c>
      <c r="I21" s="6" t="s">
        <v>147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-1</v>
      </c>
      <c r="R21">
        <v>1</v>
      </c>
      <c r="S21">
        <v>0</v>
      </c>
      <c r="T21">
        <v>0</v>
      </c>
      <c r="AF21" s="65">
        <v>3</v>
      </c>
      <c r="AG21" s="31">
        <f t="shared" si="0"/>
        <v>12961.629000000001</v>
      </c>
      <c r="AH21" s="31">
        <f t="shared" si="1"/>
        <v>7704.8210577451482</v>
      </c>
    </row>
    <row r="22" spans="7:36" outlineLevel="1">
      <c r="G22" s="16" t="s">
        <v>58</v>
      </c>
      <c r="H22">
        <v>19</v>
      </c>
      <c r="I22" s="6" t="s">
        <v>51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-1</v>
      </c>
      <c r="S22">
        <v>1</v>
      </c>
      <c r="T22">
        <v>0</v>
      </c>
      <c r="AF22" s="65">
        <v>4</v>
      </c>
      <c r="AG22" s="31">
        <f t="shared" si="0"/>
        <v>1770.5761999999995</v>
      </c>
      <c r="AH22" s="31">
        <f t="shared" si="1"/>
        <v>1150.0815539081302</v>
      </c>
    </row>
    <row r="23" spans="7:36" outlineLevel="1">
      <c r="G23" s="16" t="s">
        <v>58</v>
      </c>
      <c r="H23">
        <v>20</v>
      </c>
      <c r="I23" s="6" t="s">
        <v>26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-1</v>
      </c>
      <c r="T23">
        <v>0</v>
      </c>
      <c r="AF23" s="65">
        <v>5</v>
      </c>
      <c r="AG23" s="31">
        <f t="shared" si="0"/>
        <v>502781.82030850503</v>
      </c>
      <c r="AH23" s="31">
        <f t="shared" si="1"/>
        <v>231983.78607040123</v>
      </c>
    </row>
    <row r="24" spans="7:36" outlineLevel="1">
      <c r="G24" s="16" t="s">
        <v>58</v>
      </c>
      <c r="H24">
        <v>21</v>
      </c>
      <c r="I24" s="6" t="s">
        <v>89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-1</v>
      </c>
      <c r="T24">
        <v>1</v>
      </c>
      <c r="AF24" s="65">
        <v>6</v>
      </c>
      <c r="AG24" s="31">
        <f t="shared" si="0"/>
        <v>0</v>
      </c>
      <c r="AH24" s="31">
        <f t="shared" si="1"/>
        <v>0</v>
      </c>
    </row>
    <row r="25" spans="7:36" outlineLevel="1">
      <c r="G25" s="16" t="s">
        <v>58</v>
      </c>
      <c r="H25">
        <v>22</v>
      </c>
      <c r="I25" s="6" t="s">
        <v>11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4" t="e">
        <f>+'Nodos Variac Inventarios'!G9</f>
        <v>#REF!</v>
      </c>
      <c r="AF25" s="65">
        <v>7</v>
      </c>
      <c r="AG25" s="31">
        <f t="shared" si="0"/>
        <v>502781.82030850503</v>
      </c>
      <c r="AH25" s="31">
        <f t="shared" si="1"/>
        <v>231983.78607040123</v>
      </c>
    </row>
    <row r="26" spans="7:36" ht="16" outlineLevel="1" thickBot="1">
      <c r="G26" s="16" t="s">
        <v>58</v>
      </c>
      <c r="H26">
        <v>23</v>
      </c>
      <c r="I26" s="6" t="s">
        <v>27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AF26" s="65">
        <v>8</v>
      </c>
      <c r="AG26" s="31">
        <f t="shared" si="0"/>
        <v>44584.890479999987</v>
      </c>
      <c r="AH26" s="31">
        <f t="shared" si="1"/>
        <v>15862.288869787022</v>
      </c>
    </row>
    <row r="27" spans="7:36" outlineLevel="1">
      <c r="G27" s="16" t="s">
        <v>58</v>
      </c>
      <c r="H27">
        <v>24</v>
      </c>
      <c r="I27" s="27" t="s">
        <v>28</v>
      </c>
      <c r="J27" s="25">
        <v>0</v>
      </c>
      <c r="K27" s="25">
        <v>0</v>
      </c>
      <c r="L27" s="25">
        <v>0</v>
      </c>
      <c r="M27" s="25">
        <v>-1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5">
        <v>0</v>
      </c>
      <c r="AF27" s="65">
        <v>9</v>
      </c>
      <c r="AG27" s="31">
        <f t="shared" si="0"/>
        <v>458196.92982851854</v>
      </c>
      <c r="AH27" s="31">
        <f t="shared" si="1"/>
        <v>216121.49720061384</v>
      </c>
    </row>
    <row r="28" spans="7:36" outlineLevel="1">
      <c r="G28" s="16"/>
      <c r="AF28" s="65">
        <v>10</v>
      </c>
      <c r="AG28" s="31">
        <f t="shared" si="0"/>
        <v>14732.2052</v>
      </c>
      <c r="AH28" s="31">
        <f t="shared" si="1"/>
        <v>8854.9026116532787</v>
      </c>
      <c r="AI28" s="31"/>
      <c r="AJ28" s="31"/>
    </row>
    <row r="29" spans="7:36" outlineLevel="1">
      <c r="G29" s="16"/>
      <c r="AF29" s="65">
        <v>11</v>
      </c>
      <c r="AG29" s="31">
        <f t="shared" si="0"/>
        <v>30901.954517017632</v>
      </c>
      <c r="AH29" s="31">
        <f t="shared" si="1"/>
        <v>28476.531242053443</v>
      </c>
      <c r="AI29" s="31"/>
      <c r="AJ29" s="31"/>
    </row>
    <row r="30" spans="7:36" outlineLevel="1">
      <c r="G30" s="16"/>
      <c r="AF30" s="65">
        <v>12</v>
      </c>
      <c r="AG30" s="31">
        <f t="shared" si="0"/>
        <v>16162.331</v>
      </c>
      <c r="AH30" s="31">
        <f t="shared" si="1"/>
        <v>9675.4587302503223</v>
      </c>
      <c r="AI30" s="31"/>
      <c r="AJ30" s="31"/>
    </row>
    <row r="31" spans="7:36" outlineLevel="1">
      <c r="G31" s="16"/>
      <c r="AF31" s="65">
        <v>13</v>
      </c>
      <c r="AG31" s="31">
        <f t="shared" si="0"/>
        <v>345267.33650650288</v>
      </c>
      <c r="AH31" s="31">
        <f t="shared" si="1"/>
        <v>198183.7605973435</v>
      </c>
      <c r="AI31" s="31"/>
      <c r="AJ31" s="31"/>
    </row>
    <row r="32" spans="7:36" outlineLevel="1">
      <c r="G32" s="16"/>
      <c r="AF32" s="65">
        <v>14</v>
      </c>
      <c r="AG32" s="31">
        <f t="shared" si="0"/>
        <v>112929.59332199999</v>
      </c>
      <c r="AH32" s="31">
        <f t="shared" si="1"/>
        <v>17937.73660326648</v>
      </c>
      <c r="AI32" s="31"/>
      <c r="AJ32" s="31"/>
    </row>
    <row r="33" spans="4:36" outlineLevel="1">
      <c r="G33" s="16"/>
      <c r="AF33" s="65">
        <v>15</v>
      </c>
      <c r="AG33" s="31">
        <f t="shared" si="0"/>
        <v>30174.414309067877</v>
      </c>
      <c r="AH33" s="31">
        <f t="shared" si="1"/>
        <v>5989.7466433757972</v>
      </c>
      <c r="AI33" s="31"/>
      <c r="AJ33" s="31"/>
    </row>
    <row r="34" spans="4:36" outlineLevel="1">
      <c r="G34" s="16"/>
      <c r="AF34" s="65">
        <v>16</v>
      </c>
      <c r="AG34" s="31">
        <f t="shared" si="0"/>
        <v>82755.179012932131</v>
      </c>
      <c r="AH34" s="31">
        <f t="shared" si="1"/>
        <v>11947.989959159877</v>
      </c>
      <c r="AI34" s="31"/>
      <c r="AJ34" s="31"/>
    </row>
    <row r="35" spans="4:36" outlineLevel="1">
      <c r="G35" s="16"/>
      <c r="AF35" s="65">
        <v>17</v>
      </c>
      <c r="AG35" s="31">
        <f t="shared" si="0"/>
        <v>14174.322317347074</v>
      </c>
      <c r="AH35" s="31">
        <f t="shared" si="1"/>
        <v>3614.2837117004206</v>
      </c>
      <c r="AI35" s="31"/>
      <c r="AJ35" s="31"/>
    </row>
    <row r="36" spans="4:36" outlineLevel="1">
      <c r="G36" s="16"/>
      <c r="AF36" s="65">
        <v>18</v>
      </c>
      <c r="AG36" s="31">
        <f t="shared" si="0"/>
        <v>44348.736626414939</v>
      </c>
      <c r="AH36" s="31">
        <f t="shared" si="1"/>
        <v>9604.0303558096184</v>
      </c>
      <c r="AI36" s="31"/>
      <c r="AJ36" s="31"/>
    </row>
    <row r="37" spans="4:36" outlineLevel="1">
      <c r="G37" s="16"/>
      <c r="AF37" s="65">
        <v>19</v>
      </c>
      <c r="AG37" s="31">
        <f t="shared" si="0"/>
        <v>127103.91563934706</v>
      </c>
      <c r="AH37" s="31">
        <f t="shared" si="1"/>
        <v>21552.0203149669</v>
      </c>
      <c r="AI37" s="31"/>
      <c r="AJ37" s="31"/>
    </row>
    <row r="38" spans="4:36" outlineLevel="1">
      <c r="G38" s="16"/>
      <c r="AF38" s="65">
        <v>20</v>
      </c>
      <c r="AG38" s="31">
        <f t="shared" si="0"/>
        <v>108284.65870939114</v>
      </c>
      <c r="AH38" s="31">
        <f t="shared" si="1"/>
        <v>14049.347154701374</v>
      </c>
      <c r="AI38" s="31"/>
      <c r="AJ38" s="31"/>
    </row>
    <row r="39" spans="4:36" outlineLevel="1">
      <c r="G39" s="16"/>
      <c r="AF39" s="65">
        <v>21</v>
      </c>
      <c r="AG39" s="31">
        <f t="shared" si="0"/>
        <v>18819.256929955947</v>
      </c>
      <c r="AH39" s="31">
        <f t="shared" si="1"/>
        <v>7502.6731602655373</v>
      </c>
      <c r="AI39" s="31"/>
      <c r="AJ39" s="31"/>
    </row>
    <row r="40" spans="4:36" outlineLevel="1">
      <c r="G40" s="16"/>
      <c r="AF40" s="65">
        <v>22</v>
      </c>
      <c r="AG40" s="31">
        <f t="shared" si="0"/>
        <v>311.60807004405655</v>
      </c>
      <c r="AH40" s="31">
        <f t="shared" si="1"/>
        <v>117.65024330446384</v>
      </c>
      <c r="AI40" s="31"/>
      <c r="AJ40" s="31"/>
    </row>
    <row r="41" spans="4:36" outlineLevel="1">
      <c r="G41" s="16"/>
      <c r="AF41" s="65">
        <v>23</v>
      </c>
      <c r="AG41" s="31">
        <f t="shared" si="0"/>
        <v>19130.865000000002</v>
      </c>
      <c r="AH41" s="31">
        <f t="shared" si="1"/>
        <v>7620.3234035700007</v>
      </c>
      <c r="AI41" s="31"/>
      <c r="AJ41" s="31"/>
    </row>
    <row r="42" spans="4:36" outlineLevel="1">
      <c r="G42" s="16"/>
      <c r="AF42" s="65">
        <v>24</v>
      </c>
      <c r="AG42" s="31">
        <f t="shared" si="0"/>
        <v>673884.94200000004</v>
      </c>
      <c r="AH42" s="31">
        <f t="shared" si="1"/>
        <v>410848.95586592209</v>
      </c>
      <c r="AI42" s="31"/>
      <c r="AJ42" s="31"/>
    </row>
    <row r="43" spans="4:36" ht="16" thickBot="1">
      <c r="D43" s="7"/>
      <c r="AB43" s="20" t="s">
        <v>53</v>
      </c>
      <c r="AC43" s="20"/>
      <c r="AI43" s="31"/>
      <c r="AJ43" s="31"/>
    </row>
    <row r="44" spans="4:36" ht="32.25" customHeight="1">
      <c r="D44" s="7"/>
      <c r="J44" s="187" t="s">
        <v>38</v>
      </c>
      <c r="K44" s="188"/>
      <c r="M44" s="184" t="s">
        <v>39</v>
      </c>
      <c r="N44" s="185"/>
      <c r="O44" s="186"/>
      <c r="R44" s="190" t="s">
        <v>41</v>
      </c>
      <c r="S44" s="191"/>
      <c r="T44" s="40" t="s">
        <v>56</v>
      </c>
      <c r="V44" s="38" t="s">
        <v>57</v>
      </c>
      <c r="AB44" s="20" t="s">
        <v>33</v>
      </c>
      <c r="AC44" s="20" t="s">
        <v>10</v>
      </c>
      <c r="AE44" s="45" t="e">
        <f>+V45</f>
        <v>#REF!</v>
      </c>
      <c r="AI44" s="31"/>
      <c r="AJ44" s="31"/>
    </row>
    <row r="45" spans="4:36">
      <c r="D45" s="7"/>
      <c r="J45" s="34" t="s">
        <v>33</v>
      </c>
      <c r="K45" s="34" t="s">
        <v>9</v>
      </c>
      <c r="M45" s="11" t="s">
        <v>33</v>
      </c>
      <c r="N45" s="12" t="s">
        <v>9</v>
      </c>
      <c r="O45" s="13" t="s">
        <v>40</v>
      </c>
      <c r="R45" s="14" t="s">
        <v>33</v>
      </c>
      <c r="S45" s="14" t="s">
        <v>36</v>
      </c>
      <c r="T45" s="39" t="e">
        <f>+MAX(T46:T69)</f>
        <v>#REF!</v>
      </c>
      <c r="V45" s="39" t="e">
        <f>+MAX(V46:V69)</f>
        <v>#REF!</v>
      </c>
      <c r="AA45" s="44" t="s">
        <v>0</v>
      </c>
      <c r="AB45" s="20" t="e" cm="1">
        <f t="array" ref="AB45:AC55">+MMULT(X4:AU14,AG19:AH42)</f>
        <v>#VALUE!</v>
      </c>
      <c r="AC45" s="20" t="str">
        <v/>
      </c>
      <c r="AI45" s="31"/>
      <c r="AJ45" s="31"/>
    </row>
    <row r="46" spans="4:36">
      <c r="G46" s="16"/>
      <c r="H46">
        <f>+H4</f>
        <v>1</v>
      </c>
      <c r="I46" s="35" t="str">
        <f t="shared" ref="I46:I57" si="2">+I4</f>
        <v>Alimentación Mina</v>
      </c>
      <c r="J46" s="58" t="e">
        <f>+#REF!</f>
        <v>#REF!</v>
      </c>
      <c r="K46" s="59" t="e">
        <f>+#REF!</f>
        <v>#REF!</v>
      </c>
      <c r="L46" s="44" t="s">
        <v>60</v>
      </c>
      <c r="M46" s="48">
        <v>502781.82030850503</v>
      </c>
      <c r="N46" s="47">
        <v>0.46140050554742984</v>
      </c>
      <c r="O46" s="48">
        <f>+M46*N46</f>
        <v>231983.78607040126</v>
      </c>
      <c r="R46" s="36" t="e">
        <f>+IF(J46&lt;&gt;0,(M46-J46)/J46,0)</f>
        <v>#REF!</v>
      </c>
      <c r="S46" s="36" t="e">
        <f>+IF(K46&lt;&gt;0,(N46-K46)/K46,0)</f>
        <v>#REF!</v>
      </c>
      <c r="T46" s="104" t="e">
        <f>+IF(R46&lt;&gt;"",ABS(R46),0)</f>
        <v>#REF!</v>
      </c>
      <c r="U46" s="108"/>
      <c r="V46" s="104" t="e">
        <f t="shared" ref="V46:V69" si="3">+IF(S46&lt;&gt;"",ABS(S46),0)</f>
        <v>#REF!</v>
      </c>
      <c r="W46" s="108">
        <v>0.02</v>
      </c>
      <c r="AA46" s="44" t="s">
        <v>1</v>
      </c>
      <c r="AB46" s="20" t="str">
        <v/>
      </c>
      <c r="AC46" s="20" t="str">
        <v/>
      </c>
      <c r="AI46" s="31"/>
      <c r="AJ46" s="31"/>
    </row>
    <row r="47" spans="4:36">
      <c r="G47" s="16"/>
      <c r="H47">
        <f t="shared" ref="H47" si="4">+H5</f>
        <v>2</v>
      </c>
      <c r="I47" s="35" t="str">
        <f t="shared" si="2"/>
        <v>Alim a Planta desde Acopio Mina</v>
      </c>
      <c r="J47" s="58" t="e">
        <f>+#REF!</f>
        <v>#REF!</v>
      </c>
      <c r="K47" s="59" t="e">
        <f>+#REF!</f>
        <v>#REF!</v>
      </c>
      <c r="L47" s="44"/>
      <c r="M47" s="48">
        <v>0</v>
      </c>
      <c r="N47" s="47">
        <v>0</v>
      </c>
      <c r="O47" s="48">
        <f t="shared" ref="O47:O69" si="5">+M47*N47</f>
        <v>0</v>
      </c>
      <c r="R47" s="19" t="e">
        <f t="shared" ref="R47:R69" si="6">+IF(J47&lt;&gt;0,(M47-J47)/J47,0)</f>
        <v>#REF!</v>
      </c>
      <c r="S47" s="19" t="e">
        <f t="shared" ref="S47:S69" si="7">+IF(K47&lt;&gt;0,(N47-K47)/K47,0)</f>
        <v>#REF!</v>
      </c>
      <c r="T47" s="36" t="e">
        <f t="shared" ref="T47:T69" si="8">+IF(R47&lt;&gt;"",ABS(R47),0)</f>
        <v>#REF!</v>
      </c>
      <c r="U47" s="108"/>
      <c r="V47" s="36" t="e">
        <f t="shared" si="3"/>
        <v>#REF!</v>
      </c>
      <c r="W47" s="108"/>
      <c r="AA47" s="44" t="s">
        <v>2</v>
      </c>
      <c r="AB47" s="20" t="str">
        <v/>
      </c>
      <c r="AC47" s="20" t="str">
        <v/>
      </c>
      <c r="AI47" s="31"/>
      <c r="AJ47" s="31"/>
    </row>
    <row r="48" spans="4:36">
      <c r="D48" t="s">
        <v>34</v>
      </c>
      <c r="E48" t="s">
        <v>35</v>
      </c>
      <c r="F48" t="s">
        <v>9</v>
      </c>
      <c r="G48" s="16"/>
      <c r="H48">
        <f t="shared" ref="H48" si="9">+H6</f>
        <v>3</v>
      </c>
      <c r="I48" s="37" t="str">
        <f t="shared" si="2"/>
        <v>Acopio Mina a Terceros</v>
      </c>
      <c r="J48" s="58" t="e">
        <f>+#REF!</f>
        <v>#REF!</v>
      </c>
      <c r="K48" s="59" t="e">
        <f>+#REF!</f>
        <v>#REF!</v>
      </c>
      <c r="L48" s="44"/>
      <c r="M48" s="48">
        <v>12961.629000000001</v>
      </c>
      <c r="N48" s="47">
        <v>0.59443308072967893</v>
      </c>
      <c r="O48" s="48">
        <f t="shared" si="5"/>
        <v>7704.8210577451482</v>
      </c>
      <c r="P48" s="32"/>
      <c r="R48" s="19" t="e">
        <f t="shared" si="6"/>
        <v>#REF!</v>
      </c>
      <c r="S48" s="19" t="e">
        <f t="shared" si="7"/>
        <v>#REF!</v>
      </c>
      <c r="T48" s="36" t="e">
        <f t="shared" si="8"/>
        <v>#REF!</v>
      </c>
      <c r="U48" s="108">
        <v>0</v>
      </c>
      <c r="V48" s="36" t="e">
        <f t="shared" si="3"/>
        <v>#REF!</v>
      </c>
      <c r="W48" s="108"/>
      <c r="AA48" s="44" t="s">
        <v>3</v>
      </c>
      <c r="AB48" s="20" t="str">
        <v/>
      </c>
      <c r="AC48" s="20" t="str">
        <v/>
      </c>
      <c r="AI48" s="31"/>
      <c r="AJ48" s="31"/>
    </row>
    <row r="49" spans="4:36">
      <c r="D49" s="8" t="e">
        <f>+'Nodos Variac Inventarios'!D5</f>
        <v>#REF!</v>
      </c>
      <c r="E49" s="9" t="e">
        <f>+'Nodos Variac Inventarios'!E5</f>
        <v>#REF!</v>
      </c>
      <c r="F49" s="10" t="e">
        <f>+'Nodos Variac Inventarios'!F5</f>
        <v>#REF!</v>
      </c>
      <c r="G49" t="e">
        <f>+IF(D49&gt;0,1,IF(D49&lt;&gt;0,-1,0))</f>
        <v>#REF!</v>
      </c>
      <c r="H49">
        <f t="shared" ref="H49" si="10">+H7</f>
        <v>4</v>
      </c>
      <c r="I49" s="35" t="str">
        <f t="shared" si="2"/>
        <v>Delta S Acopio Mina</v>
      </c>
      <c r="J49" s="58" t="e">
        <f>+E49</f>
        <v>#REF!</v>
      </c>
      <c r="K49" s="59" t="e">
        <f>+F49</f>
        <v>#REF!</v>
      </c>
      <c r="L49" s="44" t="s">
        <v>61</v>
      </c>
      <c r="M49" s="48">
        <v>1770.5761999999995</v>
      </c>
      <c r="N49" s="47">
        <v>0.64955213670449796</v>
      </c>
      <c r="O49" s="48">
        <f t="shared" si="5"/>
        <v>1150.0815539081302</v>
      </c>
      <c r="P49" t="e">
        <f>+'Nodos Variac Inventarios'!H5</f>
        <v>#REF!</v>
      </c>
      <c r="Q49" s="7" t="e">
        <f>+M49-J49</f>
        <v>#REF!</v>
      </c>
      <c r="R49" s="19" t="e">
        <f t="shared" si="6"/>
        <v>#REF!</v>
      </c>
      <c r="S49" s="19" t="e">
        <f t="shared" si="7"/>
        <v>#REF!</v>
      </c>
      <c r="T49" s="36" t="e">
        <f t="shared" si="8"/>
        <v>#REF!</v>
      </c>
      <c r="U49" s="108"/>
      <c r="V49" s="36" t="e">
        <f t="shared" si="3"/>
        <v>#REF!</v>
      </c>
      <c r="W49" s="108"/>
      <c r="AA49" s="44" t="s">
        <v>4</v>
      </c>
      <c r="AB49" s="20" t="str">
        <v/>
      </c>
      <c r="AC49" s="20" t="str">
        <v/>
      </c>
      <c r="AI49" s="31"/>
      <c r="AJ49" s="31"/>
    </row>
    <row r="50" spans="4:36">
      <c r="G50" s="16"/>
      <c r="H50">
        <f t="shared" ref="H50" si="11">+H8</f>
        <v>5</v>
      </c>
      <c r="I50" s="35" t="str">
        <f t="shared" si="2"/>
        <v>Alim a Chancado</v>
      </c>
      <c r="J50" s="55" t="e">
        <f>+J46+J47</f>
        <v>#REF!</v>
      </c>
      <c r="K50" s="56" t="e">
        <f>+(J46*K46+J47*K47)/J50</f>
        <v>#REF!</v>
      </c>
      <c r="L50" s="44"/>
      <c r="M50" s="48">
        <v>502781.82030850503</v>
      </c>
      <c r="N50" s="47">
        <v>0.46140050554742978</v>
      </c>
      <c r="O50" s="48">
        <f t="shared" si="5"/>
        <v>231983.78607040123</v>
      </c>
      <c r="R50" s="19" t="e">
        <f t="shared" si="6"/>
        <v>#REF!</v>
      </c>
      <c r="S50" s="19" t="e">
        <f t="shared" si="7"/>
        <v>#REF!</v>
      </c>
      <c r="T50" s="36" t="e">
        <f t="shared" si="8"/>
        <v>#REF!</v>
      </c>
      <c r="U50" s="108"/>
      <c r="V50" s="36" t="e">
        <f t="shared" si="3"/>
        <v>#REF!</v>
      </c>
      <c r="W50" s="108"/>
      <c r="AA50" s="44" t="s">
        <v>5</v>
      </c>
      <c r="AB50" s="20" t="str">
        <v/>
      </c>
      <c r="AC50" s="20" t="str">
        <v/>
      </c>
      <c r="AI50" s="31"/>
      <c r="AJ50" s="31"/>
    </row>
    <row r="51" spans="4:36">
      <c r="G51" s="16"/>
      <c r="H51">
        <f t="shared" ref="H51" si="12">+H9</f>
        <v>6</v>
      </c>
      <c r="I51" s="35" t="str">
        <f t="shared" si="2"/>
        <v>Chanc a Stock Prec Los Col.</v>
      </c>
      <c r="J51" s="55">
        <v>0</v>
      </c>
      <c r="K51" s="56">
        <f>+IF(J51&lt;&gt;0,(J50*K50-J52*K52)/J51,0)</f>
        <v>0</v>
      </c>
      <c r="L51" s="44"/>
      <c r="M51" s="48">
        <v>0</v>
      </c>
      <c r="N51" s="47">
        <v>0</v>
      </c>
      <c r="O51" s="48">
        <f t="shared" si="5"/>
        <v>0</v>
      </c>
      <c r="R51" s="19">
        <f t="shared" si="6"/>
        <v>0</v>
      </c>
      <c r="S51" s="19">
        <f t="shared" si="7"/>
        <v>0</v>
      </c>
      <c r="T51" s="36">
        <f t="shared" si="8"/>
        <v>0</v>
      </c>
      <c r="U51" s="108"/>
      <c r="V51" s="36">
        <f t="shared" si="3"/>
        <v>0</v>
      </c>
      <c r="W51" s="108"/>
      <c r="AA51" s="44" t="s">
        <v>6</v>
      </c>
      <c r="AB51" s="20" t="str">
        <v/>
      </c>
      <c r="AC51" s="20" t="str">
        <v/>
      </c>
      <c r="AI51" s="31"/>
      <c r="AJ51" s="31"/>
    </row>
    <row r="52" spans="4:36">
      <c r="G52" s="16"/>
      <c r="H52">
        <f t="shared" ref="H52" si="13">+H10</f>
        <v>7</v>
      </c>
      <c r="I52" s="35" t="str">
        <f t="shared" si="2"/>
        <v>Chanc a Stock Grueso</v>
      </c>
      <c r="J52" s="55" t="e">
        <f>+J50</f>
        <v>#REF!</v>
      </c>
      <c r="K52" s="56" t="e">
        <f>+K50</f>
        <v>#REF!</v>
      </c>
      <c r="L52" s="44"/>
      <c r="M52" s="48">
        <v>502781.82030850503</v>
      </c>
      <c r="N52" s="47">
        <v>0.46140050554742978</v>
      </c>
      <c r="O52" s="48">
        <f t="shared" si="5"/>
        <v>231983.78607040123</v>
      </c>
      <c r="R52" s="19" t="e">
        <f t="shared" si="6"/>
        <v>#REF!</v>
      </c>
      <c r="S52" s="19" t="e">
        <f t="shared" si="7"/>
        <v>#REF!</v>
      </c>
      <c r="T52" s="36" t="e">
        <f t="shared" si="8"/>
        <v>#REF!</v>
      </c>
      <c r="U52" s="108"/>
      <c r="V52" s="36" t="e">
        <f t="shared" si="3"/>
        <v>#REF!</v>
      </c>
      <c r="W52" s="108"/>
      <c r="AA52" s="44" t="s">
        <v>7</v>
      </c>
      <c r="AB52" s="20" t="str">
        <v/>
      </c>
      <c r="AC52" s="20" t="str">
        <v/>
      </c>
      <c r="AI52" s="31"/>
      <c r="AJ52" s="31"/>
    </row>
    <row r="53" spans="4:36">
      <c r="D53" s="8" t="e">
        <f>+'Nodos Variac Inventarios'!D6</f>
        <v>#REF!</v>
      </c>
      <c r="E53" s="9" t="e">
        <f>+'Nodos Variac Inventarios'!E6</f>
        <v>#REF!</v>
      </c>
      <c r="F53" s="10" t="e">
        <f>+'Nodos Variac Inventarios'!F6</f>
        <v>#REF!</v>
      </c>
      <c r="G53" t="e">
        <f>+IF(D53&gt;0,1,IF(D53&lt;&gt;0,-1,0))</f>
        <v>#REF!</v>
      </c>
      <c r="H53">
        <f t="shared" ref="H53" si="14">+H11</f>
        <v>8</v>
      </c>
      <c r="I53" s="35" t="str">
        <f t="shared" si="2"/>
        <v>Delta Stock de Grueso</v>
      </c>
      <c r="J53" s="58" t="e">
        <f>+E53</f>
        <v>#REF!</v>
      </c>
      <c r="K53" s="59" t="e">
        <f>+IF(J53&lt;&gt;0,F53,0)</f>
        <v>#REF!</v>
      </c>
      <c r="L53" s="44" t="s">
        <v>61</v>
      </c>
      <c r="M53" s="48">
        <v>44584.890479999987</v>
      </c>
      <c r="N53" s="47">
        <v>0.35577723078410545</v>
      </c>
      <c r="O53" s="48">
        <f t="shared" si="5"/>
        <v>15862.288869787022</v>
      </c>
      <c r="P53" t="e">
        <f>+'Nodos Variac Inventarios'!H6</f>
        <v>#REF!</v>
      </c>
      <c r="Q53" s="7" t="e">
        <f>+M53-J53</f>
        <v>#REF!</v>
      </c>
      <c r="R53" s="19" t="e">
        <f t="shared" si="6"/>
        <v>#REF!</v>
      </c>
      <c r="S53" s="19" t="e">
        <f t="shared" si="7"/>
        <v>#REF!</v>
      </c>
      <c r="T53" s="36" t="e">
        <f t="shared" si="8"/>
        <v>#REF!</v>
      </c>
      <c r="U53" s="108">
        <v>0.1</v>
      </c>
      <c r="V53" s="36" t="e">
        <f t="shared" si="3"/>
        <v>#REF!</v>
      </c>
      <c r="W53" s="108"/>
      <c r="AA53" s="44" t="s">
        <v>50</v>
      </c>
      <c r="AB53" s="20" t="str">
        <v/>
      </c>
      <c r="AC53" s="20" t="str">
        <v/>
      </c>
      <c r="AI53" s="31"/>
      <c r="AJ53" s="31"/>
    </row>
    <row r="54" spans="4:36">
      <c r="G54" s="16"/>
      <c r="H54">
        <f t="shared" ref="H54" si="15">+H12</f>
        <v>9</v>
      </c>
      <c r="I54" s="35" t="str">
        <f t="shared" si="2"/>
        <v>De Stock Grueso a conc magn (alim A52 y A82)</v>
      </c>
      <c r="J54" s="58" t="e">
        <f>+#REF!</f>
        <v>#REF!</v>
      </c>
      <c r="K54" s="59" t="e">
        <f>+#REF!</f>
        <v>#REF!</v>
      </c>
      <c r="L54" s="44"/>
      <c r="M54" s="48">
        <v>458196.92982851854</v>
      </c>
      <c r="N54" s="47">
        <v>0.47167818710941145</v>
      </c>
      <c r="O54" s="48">
        <f t="shared" si="5"/>
        <v>216121.49720061384</v>
      </c>
      <c r="R54" s="19" t="e">
        <f t="shared" si="6"/>
        <v>#REF!</v>
      </c>
      <c r="S54" s="19" t="e">
        <f t="shared" si="7"/>
        <v>#REF!</v>
      </c>
      <c r="T54" s="36" t="e">
        <f t="shared" si="8"/>
        <v>#REF!</v>
      </c>
      <c r="U54" s="108"/>
      <c r="V54" s="36" t="e">
        <f t="shared" si="3"/>
        <v>#REF!</v>
      </c>
      <c r="W54" s="108"/>
      <c r="AA54" s="44" t="s">
        <v>24</v>
      </c>
      <c r="AB54" s="20" t="str">
        <v/>
      </c>
      <c r="AC54" s="20" t="str">
        <v/>
      </c>
      <c r="AI54" s="31"/>
      <c r="AJ54" s="31"/>
    </row>
    <row r="55" spans="4:36">
      <c r="G55" s="16"/>
      <c r="H55">
        <f t="shared" ref="H55" si="16">+H13</f>
        <v>10</v>
      </c>
      <c r="I55" s="35" t="str">
        <f t="shared" si="2"/>
        <v>Stock Prec a (o desde) Acopio Mina</v>
      </c>
      <c r="J55" s="58" t="e">
        <f>+#REF!</f>
        <v>#REF!</v>
      </c>
      <c r="K55" s="59" t="e">
        <f>+#REF!</f>
        <v>#REF!</v>
      </c>
      <c r="L55" s="44"/>
      <c r="M55" s="48">
        <v>14732.2052</v>
      </c>
      <c r="N55" s="47">
        <v>0.60105751253405559</v>
      </c>
      <c r="O55" s="48">
        <f t="shared" si="5"/>
        <v>8854.9026116532787</v>
      </c>
      <c r="R55" s="19" t="e">
        <f t="shared" si="6"/>
        <v>#REF!</v>
      </c>
      <c r="S55" s="19" t="e">
        <f t="shared" si="7"/>
        <v>#REF!</v>
      </c>
      <c r="T55" s="36" t="e">
        <f t="shared" si="8"/>
        <v>#REF!</v>
      </c>
      <c r="U55" s="108">
        <v>0</v>
      </c>
      <c r="V55" s="36" t="e">
        <f t="shared" si="3"/>
        <v>#REF!</v>
      </c>
      <c r="W55" s="108">
        <v>0.05</v>
      </c>
      <c r="AA55" s="44" t="s">
        <v>8</v>
      </c>
      <c r="AB55" s="20" t="str">
        <v/>
      </c>
      <c r="AC55" s="20" t="str">
        <v/>
      </c>
      <c r="AI55" s="31"/>
      <c r="AJ55" s="31"/>
    </row>
    <row r="56" spans="4:36">
      <c r="D56" s="8" t="e">
        <f>+J58+J51-J69-J57-J55</f>
        <v>#REF!</v>
      </c>
      <c r="E56" s="9" t="e">
        <f>+'Nodos Variac Inventarios'!E7</f>
        <v>#REF!</v>
      </c>
      <c r="F56" s="10" t="e">
        <f>+(J58*K58+J51*K51-J69*K69-J57*K57-J55*K55)/(J58+J51-J69-J57-J55)</f>
        <v>#REF!</v>
      </c>
      <c r="G56" t="e">
        <f>+IF(D56&gt;0,1,IF(D56&lt;&gt;0,-1,0))</f>
        <v>#REF!</v>
      </c>
      <c r="H56">
        <f t="shared" ref="H56" si="17">+H14</f>
        <v>11</v>
      </c>
      <c r="I56" s="35" t="str">
        <f t="shared" si="2"/>
        <v>Delta Stock Prec</v>
      </c>
      <c r="J56" s="58" t="e">
        <f>+E56</f>
        <v>#REF!</v>
      </c>
      <c r="K56" s="59" t="e">
        <f>+F56</f>
        <v>#REF!</v>
      </c>
      <c r="L56" s="44" t="s">
        <v>61</v>
      </c>
      <c r="M56" s="48">
        <v>30901.954517017632</v>
      </c>
      <c r="N56" s="47">
        <v>0.92151230196043055</v>
      </c>
      <c r="O56" s="48">
        <f t="shared" si="5"/>
        <v>28476.531242053443</v>
      </c>
      <c r="P56" t="e">
        <f>+'Nodos Variac Inventarios'!H7</f>
        <v>#REF!</v>
      </c>
      <c r="Q56" s="7" t="e">
        <f>+M56-J56</f>
        <v>#REF!</v>
      </c>
      <c r="R56" s="19" t="e">
        <f t="shared" si="6"/>
        <v>#REF!</v>
      </c>
      <c r="S56" s="19" t="e">
        <f t="shared" si="7"/>
        <v>#REF!</v>
      </c>
      <c r="T56" s="36" t="e">
        <f t="shared" si="8"/>
        <v>#REF!</v>
      </c>
      <c r="U56" s="108"/>
      <c r="V56" s="36" t="e">
        <f t="shared" si="3"/>
        <v>#REF!</v>
      </c>
      <c r="W56" s="108"/>
      <c r="AI56" s="31"/>
      <c r="AJ56" s="31"/>
    </row>
    <row r="57" spans="4:36">
      <c r="G57" s="16"/>
      <c r="H57">
        <f t="shared" ref="H57" si="18">+H15</f>
        <v>12</v>
      </c>
      <c r="I57" s="37" t="str">
        <f t="shared" si="2"/>
        <v>de Stock Prec a Terceros (a otras faenas)</v>
      </c>
      <c r="J57" s="58" t="e">
        <f>+#REF!</f>
        <v>#REF!</v>
      </c>
      <c r="K57" s="59" t="e">
        <f>+#REF!</f>
        <v>#REF!</v>
      </c>
      <c r="L57" s="44" t="s">
        <v>62</v>
      </c>
      <c r="M57" s="48">
        <v>16162.331</v>
      </c>
      <c r="N57" s="47">
        <v>0.59864253060095862</v>
      </c>
      <c r="O57" s="48">
        <f t="shared" si="5"/>
        <v>9675.4587302503223</v>
      </c>
      <c r="P57" s="32"/>
      <c r="R57" s="19" t="e">
        <f t="shared" si="6"/>
        <v>#REF!</v>
      </c>
      <c r="S57" s="19" t="e">
        <f t="shared" si="7"/>
        <v>#REF!</v>
      </c>
      <c r="T57" s="36" t="e">
        <f t="shared" si="8"/>
        <v>#REF!</v>
      </c>
      <c r="U57" s="108">
        <v>0</v>
      </c>
      <c r="V57" s="36" t="e">
        <f t="shared" si="3"/>
        <v>#REF!</v>
      </c>
      <c r="W57" s="108">
        <v>0.01</v>
      </c>
      <c r="AA57" s="16" t="s">
        <v>67</v>
      </c>
      <c r="AB57" t="e">
        <f ca="1">+SUM(_xlfn.ANCHORARRAY(AB45))</f>
        <v>#NAME?</v>
      </c>
      <c r="AI57" s="31"/>
      <c r="AJ57" s="31"/>
    </row>
    <row r="58" spans="4:36">
      <c r="G58" s="16"/>
      <c r="H58">
        <f t="shared" ref="H58" si="19">+H16</f>
        <v>13</v>
      </c>
      <c r="I58" s="35" t="str">
        <f t="shared" ref="I58:I68" si="20">+I16</f>
        <v>de Conc Magnética a Stock Prec (Prod A52 y A 82)</v>
      </c>
      <c r="J58" s="58" t="e">
        <f>+#REF!</f>
        <v>#REF!</v>
      </c>
      <c r="K58" s="59" t="e">
        <f>+#REF!</f>
        <v>#REF!</v>
      </c>
      <c r="L58" s="44"/>
      <c r="M58" s="48">
        <v>345267.33650650288</v>
      </c>
      <c r="N58" s="47">
        <v>0.57400089624061745</v>
      </c>
      <c r="O58" s="48">
        <f t="shared" si="5"/>
        <v>198183.7605973435</v>
      </c>
      <c r="R58" s="19" t="e">
        <f t="shared" si="6"/>
        <v>#REF!</v>
      </c>
      <c r="S58" s="19" t="e">
        <f t="shared" si="7"/>
        <v>#REF!</v>
      </c>
      <c r="T58" s="104" t="e">
        <f t="shared" si="8"/>
        <v>#REF!</v>
      </c>
      <c r="U58" s="108">
        <v>0.03</v>
      </c>
      <c r="V58" s="36" t="e">
        <f t="shared" si="3"/>
        <v>#REF!</v>
      </c>
      <c r="W58" s="108"/>
      <c r="AA58" s="16" t="s">
        <v>52</v>
      </c>
      <c r="AB58" s="7" t="e">
        <f>+SUM(J100:K123)</f>
        <v>#REF!</v>
      </c>
      <c r="AI58" s="31"/>
      <c r="AJ58" s="31"/>
    </row>
    <row r="59" spans="4:36">
      <c r="G59" s="16"/>
      <c r="H59">
        <f t="shared" ref="H59" si="21">+H17</f>
        <v>14</v>
      </c>
      <c r="I59" s="35" t="str">
        <f t="shared" si="20"/>
        <v>total de rechazo</v>
      </c>
      <c r="J59" s="55" t="e">
        <f>+J60+J61</f>
        <v>#REF!</v>
      </c>
      <c r="K59" s="56" t="e">
        <f>+K60</f>
        <v>#REF!</v>
      </c>
      <c r="L59" s="44"/>
      <c r="M59" s="48">
        <v>112929.59332199999</v>
      </c>
      <c r="N59" s="47">
        <v>0.15884000000000001</v>
      </c>
      <c r="O59" s="48">
        <f t="shared" si="5"/>
        <v>17937.73660326648</v>
      </c>
      <c r="R59" s="19" t="e">
        <f t="shared" si="6"/>
        <v>#REF!</v>
      </c>
      <c r="S59" s="19" t="e">
        <f t="shared" si="7"/>
        <v>#REF!</v>
      </c>
      <c r="T59" s="36" t="e">
        <f t="shared" si="8"/>
        <v>#REF!</v>
      </c>
      <c r="U59" s="108">
        <v>0.02</v>
      </c>
      <c r="V59" s="36" t="e">
        <f t="shared" si="3"/>
        <v>#REF!</v>
      </c>
      <c r="W59" s="108">
        <v>0.05</v>
      </c>
    </row>
    <row r="60" spans="4:36">
      <c r="G60" s="16"/>
      <c r="H60">
        <f t="shared" ref="H60" si="22">+H18</f>
        <v>15</v>
      </c>
      <c r="I60" s="35" t="str">
        <f t="shared" si="20"/>
        <v>Rechazo  a Stock de Rechazo</v>
      </c>
      <c r="J60" s="58" t="e">
        <f>+#REF!</f>
        <v>#REF!</v>
      </c>
      <c r="K60" s="59" t="e">
        <f>+#REF!</f>
        <v>#REF!</v>
      </c>
      <c r="L60" s="44"/>
      <c r="M60" s="48">
        <v>30174.414309067877</v>
      </c>
      <c r="N60" s="47">
        <v>0.19850415593901971</v>
      </c>
      <c r="O60" s="48">
        <f t="shared" si="5"/>
        <v>5989.7466433757972</v>
      </c>
      <c r="R60" s="19" t="e">
        <f t="shared" si="6"/>
        <v>#REF!</v>
      </c>
      <c r="S60" s="19" t="e">
        <f t="shared" si="7"/>
        <v>#REF!</v>
      </c>
      <c r="T60" s="36" t="e">
        <f t="shared" si="8"/>
        <v>#REF!</v>
      </c>
      <c r="U60" s="108"/>
      <c r="V60" s="36" t="e">
        <f t="shared" si="3"/>
        <v>#REF!</v>
      </c>
      <c r="W60" s="108"/>
    </row>
    <row r="61" spans="4:36">
      <c r="G61" s="16"/>
      <c r="H61">
        <f t="shared" ref="H61" si="23">+H19</f>
        <v>16</v>
      </c>
      <c r="I61" s="35" t="str">
        <f t="shared" si="20"/>
        <v>alim fresca a Planta Rechazo</v>
      </c>
      <c r="J61" s="58" t="e">
        <f>+#REF!</f>
        <v>#REF!</v>
      </c>
      <c r="K61" s="59" t="e">
        <f>+#REF!</f>
        <v>#REF!</v>
      </c>
      <c r="L61" s="44"/>
      <c r="M61" s="48">
        <v>82755.179012932131</v>
      </c>
      <c r="N61" s="47">
        <v>0.14437754955847257</v>
      </c>
      <c r="O61" s="48">
        <f t="shared" si="5"/>
        <v>11947.989959159877</v>
      </c>
      <c r="R61" s="19" t="e">
        <f t="shared" si="6"/>
        <v>#REF!</v>
      </c>
      <c r="S61" s="19" t="e">
        <f t="shared" si="7"/>
        <v>#REF!</v>
      </c>
      <c r="T61" s="36" t="e">
        <f t="shared" si="8"/>
        <v>#REF!</v>
      </c>
      <c r="U61" s="108"/>
      <c r="V61" s="36" t="e">
        <f t="shared" si="3"/>
        <v>#REF!</v>
      </c>
      <c r="W61" s="108"/>
    </row>
    <row r="62" spans="4:36">
      <c r="D62" s="17" t="e">
        <f>+'Nodos Variac Inventarios'!D8</f>
        <v>#REF!</v>
      </c>
      <c r="E62" s="9" t="e">
        <f>+ABS(D62)</f>
        <v>#REF!</v>
      </c>
      <c r="F62" s="10" t="e">
        <f>+'Nodos Variac Inventarios'!F8</f>
        <v>#REF!</v>
      </c>
      <c r="G62" t="e">
        <f>+IF(D62&gt;0,1,IF(D62&lt;&gt;0,-1,0))</f>
        <v>#REF!</v>
      </c>
      <c r="H62">
        <f t="shared" ref="H62" si="24">+H20</f>
        <v>17</v>
      </c>
      <c r="I62" s="35" t="str">
        <f t="shared" si="20"/>
        <v>Delta Stock de Rechazo</v>
      </c>
      <c r="J62" s="58" t="e">
        <f>+E62</f>
        <v>#REF!</v>
      </c>
      <c r="K62" s="59" t="e">
        <f>+F62</f>
        <v>#REF!</v>
      </c>
      <c r="L62" s="44" t="s">
        <v>61</v>
      </c>
      <c r="M62" s="48">
        <v>14174.322317347074</v>
      </c>
      <c r="N62" s="47">
        <v>0.25498811377226288</v>
      </c>
      <c r="O62" s="48">
        <f t="shared" si="5"/>
        <v>3614.2837117004206</v>
      </c>
      <c r="P62" s="7" t="e">
        <f>+'Nodos Variac Inventarios'!H8</f>
        <v>#REF!</v>
      </c>
      <c r="Q62" s="7" t="e">
        <f>+M62-J62</f>
        <v>#REF!</v>
      </c>
      <c r="R62" s="19" t="e">
        <f t="shared" si="6"/>
        <v>#REF!</v>
      </c>
      <c r="S62" s="19" t="e">
        <f t="shared" si="7"/>
        <v>#REF!</v>
      </c>
      <c r="T62" s="36" t="e">
        <f t="shared" si="8"/>
        <v>#REF!</v>
      </c>
      <c r="U62" s="108"/>
      <c r="V62" s="36" t="e">
        <f t="shared" si="3"/>
        <v>#REF!</v>
      </c>
      <c r="W62" s="108"/>
    </row>
    <row r="63" spans="4:36">
      <c r="G63" s="16"/>
      <c r="H63">
        <f t="shared" ref="H63" si="25">+H21</f>
        <v>18</v>
      </c>
      <c r="I63" s="35" t="str">
        <f t="shared" si="20"/>
        <v>Stock Rechazo a Planta Rechazo</v>
      </c>
      <c r="J63" s="58" t="e">
        <f>+#REF!</f>
        <v>#REF!</v>
      </c>
      <c r="K63" s="59" t="e">
        <f>+#REF!</f>
        <v>#REF!</v>
      </c>
      <c r="L63" s="44"/>
      <c r="M63" s="48">
        <v>44348.736626414939</v>
      </c>
      <c r="N63" s="47">
        <v>0.21655702250803865</v>
      </c>
      <c r="O63" s="48">
        <f t="shared" si="5"/>
        <v>9604.0303558096184</v>
      </c>
      <c r="P63" s="7"/>
      <c r="R63" s="19" t="e">
        <f t="shared" si="6"/>
        <v>#REF!</v>
      </c>
      <c r="S63" s="19" t="e">
        <f t="shared" si="7"/>
        <v>#REF!</v>
      </c>
      <c r="T63" s="36" t="e">
        <f t="shared" si="8"/>
        <v>#REF!</v>
      </c>
      <c r="U63" s="108"/>
      <c r="V63" s="36" t="e">
        <f t="shared" si="3"/>
        <v>#REF!</v>
      </c>
      <c r="W63" s="108">
        <v>0.03</v>
      </c>
    </row>
    <row r="64" spans="4:36">
      <c r="G64" s="16"/>
      <c r="H64">
        <f t="shared" ref="H64" si="26">+H22</f>
        <v>19</v>
      </c>
      <c r="I64" s="35" t="str">
        <f t="shared" si="20"/>
        <v>Alimentación Planta Rechazo</v>
      </c>
      <c r="J64" s="58" t="e">
        <f>+#REF!</f>
        <v>#REF!</v>
      </c>
      <c r="K64" s="59" t="e">
        <f>+#REF!</f>
        <v>#REF!</v>
      </c>
      <c r="L64" s="51"/>
      <c r="M64" s="48">
        <v>127103.91563934706</v>
      </c>
      <c r="N64" s="47">
        <v>0.16956220590496998</v>
      </c>
      <c r="O64" s="48">
        <f t="shared" si="5"/>
        <v>21552.0203149669</v>
      </c>
      <c r="R64" s="19" t="e">
        <f t="shared" si="6"/>
        <v>#REF!</v>
      </c>
      <c r="S64" s="19" t="e">
        <f t="shared" si="7"/>
        <v>#REF!</v>
      </c>
      <c r="T64" s="36" t="e">
        <f t="shared" si="8"/>
        <v>#REF!</v>
      </c>
      <c r="U64" s="108"/>
      <c r="V64" s="36" t="e">
        <f t="shared" si="3"/>
        <v>#REF!</v>
      </c>
      <c r="W64" s="108"/>
    </row>
    <row r="65" spans="4:29">
      <c r="G65" s="16"/>
      <c r="H65">
        <f t="shared" ref="H65" si="27">+H23</f>
        <v>20</v>
      </c>
      <c r="I65" s="37" t="str">
        <f t="shared" si="20"/>
        <v>Rechazo Final Los Colorados</v>
      </c>
      <c r="J65" s="58" t="e">
        <f>+#REF!</f>
        <v>#REF!</v>
      </c>
      <c r="K65" s="59" t="e">
        <f>+#REF!</f>
        <v>#REF!</v>
      </c>
      <c r="L65" s="44" t="s">
        <v>63</v>
      </c>
      <c r="M65" s="48">
        <v>108284.65870939114</v>
      </c>
      <c r="N65" s="47">
        <v>0.12974457621375801</v>
      </c>
      <c r="O65" s="48">
        <f t="shared" si="5"/>
        <v>14049.347154701374</v>
      </c>
      <c r="R65" s="19" t="e">
        <f t="shared" si="6"/>
        <v>#REF!</v>
      </c>
      <c r="S65" s="19" t="e">
        <f t="shared" si="7"/>
        <v>#REF!</v>
      </c>
      <c r="T65" s="36" t="e">
        <f t="shared" si="8"/>
        <v>#REF!</v>
      </c>
      <c r="U65" s="108"/>
      <c r="V65" s="36" t="e">
        <f t="shared" si="3"/>
        <v>#REF!</v>
      </c>
      <c r="W65" s="108"/>
    </row>
    <row r="66" spans="4:29">
      <c r="G66" s="16"/>
      <c r="H66">
        <f t="shared" ref="H66" si="28">+H24</f>
        <v>21</v>
      </c>
      <c r="I66" s="35" t="str">
        <f t="shared" si="20"/>
        <v>Producción Planta Rechazo a Stock P40</v>
      </c>
      <c r="J66" s="58" t="e">
        <f>+#REF!</f>
        <v>#REF!</v>
      </c>
      <c r="K66" s="59" t="e">
        <f>+#REF!</f>
        <v>#REF!</v>
      </c>
      <c r="L66" s="44"/>
      <c r="M66" s="48">
        <v>18819.256929955947</v>
      </c>
      <c r="N66" s="47">
        <v>0.39866999999999997</v>
      </c>
      <c r="O66" s="48">
        <f t="shared" si="5"/>
        <v>7502.6731602655373</v>
      </c>
      <c r="R66" s="19" t="e">
        <f t="shared" si="6"/>
        <v>#REF!</v>
      </c>
      <c r="S66" s="19" t="e">
        <f t="shared" si="7"/>
        <v>#REF!</v>
      </c>
      <c r="T66" s="36" t="e">
        <f t="shared" si="8"/>
        <v>#REF!</v>
      </c>
      <c r="U66" s="108"/>
      <c r="V66" s="36" t="e">
        <f t="shared" si="3"/>
        <v>#REF!</v>
      </c>
      <c r="W66" s="108">
        <v>0.03</v>
      </c>
      <c r="AA66" s="7"/>
      <c r="AB66" s="7"/>
    </row>
    <row r="67" spans="4:29">
      <c r="D67" s="8" t="e">
        <f>+'Nodos Variac Inventarios'!D9</f>
        <v>#REF!</v>
      </c>
      <c r="E67" s="7" t="e">
        <f>+'Nodos Variac Inventarios'!E9</f>
        <v>#REF!</v>
      </c>
      <c r="F67" s="10" t="e">
        <f>+'Nodos Variac Inventarios'!F9</f>
        <v>#REF!</v>
      </c>
      <c r="G67" t="e">
        <f>+IF(D67&gt;0,1,IF(D67&lt;&gt;0,-1,0))</f>
        <v>#REF!</v>
      </c>
      <c r="H67">
        <f t="shared" ref="H67" si="29">+H25</f>
        <v>22</v>
      </c>
      <c r="I67" s="35" t="str">
        <f t="shared" si="20"/>
        <v>Delta Stock P40</v>
      </c>
      <c r="J67" s="58" t="e">
        <f>+E67</f>
        <v>#REF!</v>
      </c>
      <c r="K67" s="59" t="e">
        <f>+F67</f>
        <v>#REF!</v>
      </c>
      <c r="L67" s="44" t="s">
        <v>61</v>
      </c>
      <c r="M67" s="48">
        <v>311.60807004405655</v>
      </c>
      <c r="N67" s="47">
        <v>0.37755839663533081</v>
      </c>
      <c r="O67" s="48">
        <f t="shared" si="5"/>
        <v>117.65024330446384</v>
      </c>
      <c r="P67" t="e">
        <f>+'Nodos Variac Inventarios'!H9</f>
        <v>#REF!</v>
      </c>
      <c r="Q67" s="7" t="e">
        <f>+M67-J67</f>
        <v>#REF!</v>
      </c>
      <c r="R67" s="19" t="e">
        <f t="shared" si="6"/>
        <v>#REF!</v>
      </c>
      <c r="S67" s="19" t="e">
        <f t="shared" si="7"/>
        <v>#REF!</v>
      </c>
      <c r="T67" s="36" t="e">
        <f t="shared" si="8"/>
        <v>#REF!</v>
      </c>
      <c r="U67" s="108"/>
      <c r="V67" s="36" t="e">
        <f t="shared" si="3"/>
        <v>#REF!</v>
      </c>
      <c r="W67" s="108"/>
    </row>
    <row r="68" spans="4:29" ht="16" thickBot="1">
      <c r="G68" s="16"/>
      <c r="H68">
        <f t="shared" ref="H68" si="30">+H26</f>
        <v>23</v>
      </c>
      <c r="I68" s="41" t="str">
        <f t="shared" si="20"/>
        <v>Venta desde P40</v>
      </c>
      <c r="J68" s="60" t="e">
        <f>+#REF!</f>
        <v>#REF!</v>
      </c>
      <c r="K68" s="61" t="e">
        <f>+#REF!</f>
        <v>#REF!</v>
      </c>
      <c r="L68" s="44" t="s">
        <v>62</v>
      </c>
      <c r="M68" s="52">
        <v>19130.865000000002</v>
      </c>
      <c r="N68" s="49">
        <v>0.39832612919332189</v>
      </c>
      <c r="O68" s="52">
        <f t="shared" si="5"/>
        <v>7620.3234035700007</v>
      </c>
      <c r="P68" s="32"/>
      <c r="R68" s="28" t="e">
        <f t="shared" si="6"/>
        <v>#REF!</v>
      </c>
      <c r="S68" s="28" t="e">
        <f t="shared" si="7"/>
        <v>#REF!</v>
      </c>
      <c r="T68" s="36" t="e">
        <f t="shared" si="8"/>
        <v>#REF!</v>
      </c>
      <c r="U68" s="108">
        <v>0</v>
      </c>
      <c r="V68" s="36" t="e">
        <f t="shared" si="3"/>
        <v>#REF!</v>
      </c>
      <c r="W68" s="108">
        <v>0.01</v>
      </c>
      <c r="AA68" s="7"/>
      <c r="AB68" s="7"/>
    </row>
    <row r="69" spans="4:29">
      <c r="G69" s="16"/>
      <c r="H69">
        <f t="shared" ref="H69" si="31">+H27</f>
        <v>24</v>
      </c>
      <c r="I69" s="42" t="str">
        <f>+I27</f>
        <v>de Stoc Prec a Nodo Alim Planta de Pellet</v>
      </c>
      <c r="J69" s="62" t="e">
        <f>+#REF!</f>
        <v>#REF!</v>
      </c>
      <c r="K69" s="63" t="e">
        <f>+#REF!</f>
        <v>#REF!</v>
      </c>
      <c r="L69" s="53" t="s">
        <v>64</v>
      </c>
      <c r="M69" s="57">
        <v>673884.94200000004</v>
      </c>
      <c r="N69" s="50">
        <v>0.60967226044045075</v>
      </c>
      <c r="O69" s="54">
        <f t="shared" si="5"/>
        <v>410848.95586592209</v>
      </c>
      <c r="P69" s="43"/>
      <c r="Q69" s="25"/>
      <c r="R69" s="29" t="e">
        <f t="shared" si="6"/>
        <v>#REF!</v>
      </c>
      <c r="S69" s="30" t="e">
        <f t="shared" si="7"/>
        <v>#REF!</v>
      </c>
      <c r="T69" s="36" t="e">
        <f t="shared" si="8"/>
        <v>#REF!</v>
      </c>
      <c r="U69" s="108">
        <v>0</v>
      </c>
      <c r="V69" s="36" t="e">
        <f t="shared" si="3"/>
        <v>#REF!</v>
      </c>
      <c r="W69" s="108">
        <v>0</v>
      </c>
      <c r="AA69" s="10"/>
      <c r="AB69" s="7"/>
      <c r="AC69" s="7"/>
    </row>
    <row r="70" spans="4:29">
      <c r="I70">
        <v>73294</v>
      </c>
      <c r="AA70" s="10"/>
      <c r="AB70" s="7"/>
    </row>
    <row r="71" spans="4:29">
      <c r="J71" s="189" t="s">
        <v>59</v>
      </c>
      <c r="K71" s="189"/>
      <c r="M71" s="24" t="s">
        <v>43</v>
      </c>
      <c r="N71" s="24"/>
      <c r="R71" s="10" t="e">
        <f>+#REF!</f>
        <v>#REF!</v>
      </c>
      <c r="V71" s="7"/>
    </row>
    <row r="72" spans="4:29" ht="16" thickBot="1">
      <c r="J72" s="15" t="s">
        <v>42</v>
      </c>
      <c r="K72" s="15" t="s">
        <v>36</v>
      </c>
      <c r="M72" s="24" t="s">
        <v>42</v>
      </c>
      <c r="N72" s="24" t="s">
        <v>36</v>
      </c>
      <c r="P72" s="7"/>
    </row>
    <row r="73" spans="4:29">
      <c r="I73" s="6" t="str">
        <f t="shared" ref="I73:I96" si="32">+I46</f>
        <v>Alimentación Mina</v>
      </c>
      <c r="J73" s="18">
        <v>99</v>
      </c>
      <c r="K73" s="21">
        <v>10</v>
      </c>
      <c r="M73" s="7" t="e">
        <f t="shared" ref="M73:M96" si="33">+J73*J46/100</f>
        <v>#REF!</v>
      </c>
      <c r="N73" s="10" t="e">
        <f t="shared" ref="N73:N96" si="34">+K73*K46/100</f>
        <v>#REF!</v>
      </c>
    </row>
    <row r="74" spans="4:29">
      <c r="I74" s="6" t="str">
        <f t="shared" si="32"/>
        <v>Alim a Planta desde Acopio Mina</v>
      </c>
      <c r="J74">
        <v>99</v>
      </c>
      <c r="K74">
        <v>99</v>
      </c>
      <c r="M74" s="7" t="e">
        <f t="shared" si="33"/>
        <v>#REF!</v>
      </c>
      <c r="N74" s="10" t="e">
        <f t="shared" si="34"/>
        <v>#REF!</v>
      </c>
    </row>
    <row r="75" spans="4:29">
      <c r="I75" s="33" t="str">
        <f t="shared" si="32"/>
        <v>Acopio Mina a Terceros</v>
      </c>
      <c r="J75" s="22">
        <v>0.1</v>
      </c>
      <c r="K75" s="22">
        <v>1</v>
      </c>
      <c r="M75" s="7" t="e">
        <f t="shared" si="33"/>
        <v>#REF!</v>
      </c>
      <c r="N75" s="10" t="e">
        <f t="shared" si="34"/>
        <v>#REF!</v>
      </c>
    </row>
    <row r="76" spans="4:29">
      <c r="I76" s="6" t="str">
        <f t="shared" si="32"/>
        <v>Delta S Acopio Mina</v>
      </c>
      <c r="J76">
        <v>99</v>
      </c>
      <c r="K76">
        <v>30</v>
      </c>
      <c r="M76" s="7" t="e">
        <f t="shared" si="33"/>
        <v>#REF!</v>
      </c>
      <c r="N76" s="10" t="e">
        <f t="shared" si="34"/>
        <v>#REF!</v>
      </c>
    </row>
    <row r="77" spans="4:29">
      <c r="I77" s="6" t="str">
        <f t="shared" si="32"/>
        <v>Alim a Chancado</v>
      </c>
      <c r="J77">
        <v>99</v>
      </c>
      <c r="K77">
        <v>30</v>
      </c>
      <c r="M77" s="7" t="e">
        <f t="shared" si="33"/>
        <v>#REF!</v>
      </c>
      <c r="N77" s="10" t="e">
        <f t="shared" si="34"/>
        <v>#REF!</v>
      </c>
    </row>
    <row r="78" spans="4:29">
      <c r="I78" s="6" t="str">
        <f t="shared" si="32"/>
        <v>Chanc a Stock Prec Los Col.</v>
      </c>
      <c r="J78">
        <v>99</v>
      </c>
      <c r="K78">
        <v>30</v>
      </c>
      <c r="M78" s="7">
        <f t="shared" si="33"/>
        <v>0</v>
      </c>
      <c r="N78" s="10">
        <f t="shared" si="34"/>
        <v>0</v>
      </c>
    </row>
    <row r="79" spans="4:29">
      <c r="I79" s="6" t="str">
        <f t="shared" si="32"/>
        <v>Chanc a Stock Grueso</v>
      </c>
      <c r="J79">
        <v>99</v>
      </c>
      <c r="K79">
        <v>30</v>
      </c>
      <c r="M79" s="7" t="e">
        <f t="shared" si="33"/>
        <v>#REF!</v>
      </c>
      <c r="N79" s="10" t="e">
        <f t="shared" si="34"/>
        <v>#REF!</v>
      </c>
    </row>
    <row r="80" spans="4:29">
      <c r="I80" s="6" t="str">
        <f t="shared" si="32"/>
        <v>Delta Stock de Grueso</v>
      </c>
      <c r="J80">
        <v>99</v>
      </c>
      <c r="K80">
        <v>30</v>
      </c>
      <c r="M80" s="7" t="e">
        <f t="shared" si="33"/>
        <v>#REF!</v>
      </c>
      <c r="N80" s="10" t="e">
        <f t="shared" si="34"/>
        <v>#REF!</v>
      </c>
    </row>
    <row r="81" spans="9:14">
      <c r="I81" s="6" t="str">
        <f t="shared" si="32"/>
        <v>De Stock Grueso a conc magn (alim A52 y A82)</v>
      </c>
      <c r="J81">
        <v>99</v>
      </c>
      <c r="K81">
        <v>30</v>
      </c>
      <c r="M81" s="7" t="e">
        <f t="shared" si="33"/>
        <v>#REF!</v>
      </c>
      <c r="N81" s="10" t="e">
        <f t="shared" si="34"/>
        <v>#REF!</v>
      </c>
    </row>
    <row r="82" spans="9:14">
      <c r="I82" s="6" t="str">
        <f t="shared" si="32"/>
        <v>Stock Prec a (o desde) Acopio Mina</v>
      </c>
      <c r="J82">
        <v>99</v>
      </c>
      <c r="K82">
        <v>30</v>
      </c>
      <c r="M82" s="7" t="e">
        <f t="shared" si="33"/>
        <v>#REF!</v>
      </c>
      <c r="N82" s="10" t="e">
        <f t="shared" si="34"/>
        <v>#REF!</v>
      </c>
    </row>
    <row r="83" spans="9:14">
      <c r="I83" s="6" t="str">
        <f t="shared" si="32"/>
        <v>Delta Stock Prec</v>
      </c>
      <c r="J83">
        <v>99</v>
      </c>
      <c r="K83">
        <v>30</v>
      </c>
      <c r="M83" s="7" t="e">
        <f t="shared" si="33"/>
        <v>#REF!</v>
      </c>
      <c r="N83" s="10" t="e">
        <f t="shared" si="34"/>
        <v>#REF!</v>
      </c>
    </row>
    <row r="84" spans="9:14">
      <c r="I84" s="33" t="str">
        <f t="shared" si="32"/>
        <v>de Stock Prec a Terceros (a otras faenas)</v>
      </c>
      <c r="J84" s="22">
        <v>0.1</v>
      </c>
      <c r="K84" s="22">
        <v>1</v>
      </c>
      <c r="M84" s="7" t="e">
        <f t="shared" si="33"/>
        <v>#REF!</v>
      </c>
      <c r="N84" s="10" t="e">
        <f t="shared" si="34"/>
        <v>#REF!</v>
      </c>
    </row>
    <row r="85" spans="9:14">
      <c r="I85" s="6" t="str">
        <f t="shared" si="32"/>
        <v>de Conc Magnética a Stock Prec (Prod A52 y A 82)</v>
      </c>
      <c r="J85">
        <v>99</v>
      </c>
      <c r="K85">
        <v>99</v>
      </c>
      <c r="M85" s="7" t="e">
        <f t="shared" si="33"/>
        <v>#REF!</v>
      </c>
      <c r="N85" s="10" t="e">
        <f t="shared" si="34"/>
        <v>#REF!</v>
      </c>
    </row>
    <row r="86" spans="9:14">
      <c r="I86" s="6" t="str">
        <f t="shared" si="32"/>
        <v>total de rechazo</v>
      </c>
      <c r="J86">
        <v>99</v>
      </c>
      <c r="K86">
        <v>10</v>
      </c>
      <c r="M86" s="7" t="e">
        <f t="shared" si="33"/>
        <v>#REF!</v>
      </c>
      <c r="N86" s="10" t="e">
        <f t="shared" si="34"/>
        <v>#REF!</v>
      </c>
    </row>
    <row r="87" spans="9:14">
      <c r="I87" s="6" t="str">
        <f t="shared" si="32"/>
        <v>Rechazo  a Stock de Rechazo</v>
      </c>
      <c r="J87">
        <v>99</v>
      </c>
      <c r="K87">
        <v>10</v>
      </c>
      <c r="M87" s="7" t="e">
        <f t="shared" si="33"/>
        <v>#REF!</v>
      </c>
      <c r="N87" s="10" t="e">
        <f t="shared" si="34"/>
        <v>#REF!</v>
      </c>
    </row>
    <row r="88" spans="9:14">
      <c r="I88" s="6" t="str">
        <f t="shared" si="32"/>
        <v>alim fresca a Planta Rechazo</v>
      </c>
      <c r="J88">
        <v>99</v>
      </c>
      <c r="K88">
        <v>10</v>
      </c>
      <c r="M88" s="7" t="e">
        <f t="shared" si="33"/>
        <v>#REF!</v>
      </c>
      <c r="N88" s="10" t="e">
        <f t="shared" si="34"/>
        <v>#REF!</v>
      </c>
    </row>
    <row r="89" spans="9:14">
      <c r="I89" s="6" t="str">
        <f t="shared" si="32"/>
        <v>Delta Stock de Rechazo</v>
      </c>
      <c r="J89">
        <v>99</v>
      </c>
      <c r="K89">
        <v>10</v>
      </c>
      <c r="M89" s="7" t="e">
        <f t="shared" si="33"/>
        <v>#REF!</v>
      </c>
      <c r="N89" s="10" t="e">
        <f t="shared" si="34"/>
        <v>#REF!</v>
      </c>
    </row>
    <row r="90" spans="9:14">
      <c r="I90" s="6" t="str">
        <f t="shared" si="32"/>
        <v>Stock Rechazo a Planta Rechazo</v>
      </c>
      <c r="J90">
        <v>99</v>
      </c>
      <c r="K90">
        <v>10</v>
      </c>
      <c r="M90" s="7" t="e">
        <f t="shared" si="33"/>
        <v>#REF!</v>
      </c>
      <c r="N90" s="10" t="e">
        <f t="shared" si="34"/>
        <v>#REF!</v>
      </c>
    </row>
    <row r="91" spans="9:14">
      <c r="I91" s="6" t="str">
        <f t="shared" si="32"/>
        <v>Alimentación Planta Rechazo</v>
      </c>
      <c r="J91">
        <v>99</v>
      </c>
      <c r="K91">
        <v>10</v>
      </c>
      <c r="M91" s="7" t="e">
        <f t="shared" si="33"/>
        <v>#REF!</v>
      </c>
      <c r="N91" s="10" t="e">
        <f t="shared" si="34"/>
        <v>#REF!</v>
      </c>
    </row>
    <row r="92" spans="9:14">
      <c r="I92" s="6" t="str">
        <f t="shared" si="32"/>
        <v>Rechazo Final Los Colorados</v>
      </c>
      <c r="J92" s="22">
        <v>99</v>
      </c>
      <c r="K92">
        <v>10</v>
      </c>
      <c r="M92" s="7" t="e">
        <f t="shared" si="33"/>
        <v>#REF!</v>
      </c>
      <c r="N92" s="10" t="e">
        <f t="shared" si="34"/>
        <v>#REF!</v>
      </c>
    </row>
    <row r="93" spans="9:14">
      <c r="I93" s="6" t="str">
        <f t="shared" si="32"/>
        <v>Producción Planta Rechazo a Stock P40</v>
      </c>
      <c r="J93" s="22">
        <v>99</v>
      </c>
      <c r="K93">
        <v>10</v>
      </c>
      <c r="M93" s="7" t="e">
        <f t="shared" si="33"/>
        <v>#REF!</v>
      </c>
      <c r="N93" s="10" t="e">
        <f t="shared" si="34"/>
        <v>#REF!</v>
      </c>
    </row>
    <row r="94" spans="9:14">
      <c r="I94" s="6" t="str">
        <f t="shared" si="32"/>
        <v>Delta Stock P40</v>
      </c>
      <c r="J94" s="22">
        <v>99</v>
      </c>
      <c r="K94">
        <v>10</v>
      </c>
      <c r="M94" s="7" t="e">
        <f t="shared" si="33"/>
        <v>#REF!</v>
      </c>
      <c r="N94" s="10" t="e">
        <f t="shared" si="34"/>
        <v>#REF!</v>
      </c>
    </row>
    <row r="95" spans="9:14" ht="16" thickBot="1">
      <c r="I95" s="33" t="str">
        <f t="shared" si="32"/>
        <v>Venta desde P40</v>
      </c>
      <c r="J95" s="22">
        <v>0.1</v>
      </c>
      <c r="K95">
        <v>10</v>
      </c>
      <c r="M95" s="7" t="e">
        <f t="shared" si="33"/>
        <v>#REF!</v>
      </c>
      <c r="N95" s="10" t="e">
        <f t="shared" si="34"/>
        <v>#REF!</v>
      </c>
    </row>
    <row r="96" spans="9:14">
      <c r="I96" s="27" t="str">
        <f t="shared" si="32"/>
        <v>de Stoc Prec a Nodo Alim Planta de Pellet</v>
      </c>
      <c r="J96">
        <v>99</v>
      </c>
      <c r="K96">
        <v>30</v>
      </c>
      <c r="M96" s="7" t="e">
        <f t="shared" si="33"/>
        <v>#REF!</v>
      </c>
      <c r="N96" s="10" t="e">
        <f t="shared" si="34"/>
        <v>#REF!</v>
      </c>
    </row>
    <row r="98" spans="9:11">
      <c r="J98" s="24" t="s">
        <v>44</v>
      </c>
      <c r="K98" s="24"/>
    </row>
    <row r="99" spans="9:11" ht="16" thickBot="1">
      <c r="J99" s="15" t="s">
        <v>42</v>
      </c>
      <c r="K99" s="15" t="s">
        <v>36</v>
      </c>
    </row>
    <row r="100" spans="9:11" ht="16" thickBot="1">
      <c r="I100" s="6" t="str">
        <f t="shared" ref="I100:I123" si="35">+I73</f>
        <v>Alimentación Mina</v>
      </c>
      <c r="J100" s="18" t="e">
        <f t="shared" ref="J100:J123" si="36">+IF(M73&lt;&gt;0,(M46-J46)^2/M73,"")</f>
        <v>#REF!</v>
      </c>
      <c r="K100" s="18" t="e">
        <f t="shared" ref="K100:K123" si="37">+IF(N73&lt;&gt;0,(N46-K46)^2/N73,"")</f>
        <v>#REF!</v>
      </c>
    </row>
    <row r="101" spans="9:11" ht="16" thickBot="1">
      <c r="I101" s="6" t="str">
        <f t="shared" si="35"/>
        <v>Alim a Planta desde Acopio Mina</v>
      </c>
      <c r="J101" s="18" t="e">
        <f t="shared" si="36"/>
        <v>#REF!</v>
      </c>
      <c r="K101" s="18" t="e">
        <f t="shared" si="37"/>
        <v>#REF!</v>
      </c>
    </row>
    <row r="102" spans="9:11" ht="16" thickBot="1">
      <c r="I102" s="6" t="str">
        <f t="shared" si="35"/>
        <v>Acopio Mina a Terceros</v>
      </c>
      <c r="J102" s="18" t="e">
        <f t="shared" si="36"/>
        <v>#REF!</v>
      </c>
      <c r="K102" s="18" t="e">
        <f t="shared" si="37"/>
        <v>#REF!</v>
      </c>
    </row>
    <row r="103" spans="9:11" ht="16" thickBot="1">
      <c r="I103" s="6" t="str">
        <f t="shared" si="35"/>
        <v>Delta S Acopio Mina</v>
      </c>
      <c r="J103" s="18" t="e">
        <f t="shared" si="36"/>
        <v>#REF!</v>
      </c>
      <c r="K103" s="18" t="e">
        <f t="shared" si="37"/>
        <v>#REF!</v>
      </c>
    </row>
    <row r="104" spans="9:11" ht="16" thickBot="1">
      <c r="I104" s="6" t="str">
        <f t="shared" si="35"/>
        <v>Alim a Chancado</v>
      </c>
      <c r="J104" s="18" t="e">
        <f t="shared" si="36"/>
        <v>#REF!</v>
      </c>
      <c r="K104" s="18" t="e">
        <f t="shared" si="37"/>
        <v>#REF!</v>
      </c>
    </row>
    <row r="105" spans="9:11" ht="16" thickBot="1">
      <c r="I105" s="6" t="str">
        <f t="shared" si="35"/>
        <v>Chanc a Stock Prec Los Col.</v>
      </c>
      <c r="J105" s="18" t="str">
        <f t="shared" si="36"/>
        <v/>
      </c>
      <c r="K105" s="18" t="str">
        <f t="shared" si="37"/>
        <v/>
      </c>
    </row>
    <row r="106" spans="9:11" ht="16" thickBot="1">
      <c r="I106" s="6" t="str">
        <f t="shared" si="35"/>
        <v>Chanc a Stock Grueso</v>
      </c>
      <c r="J106" s="18" t="e">
        <f t="shared" si="36"/>
        <v>#REF!</v>
      </c>
      <c r="K106" s="18" t="e">
        <f t="shared" si="37"/>
        <v>#REF!</v>
      </c>
    </row>
    <row r="107" spans="9:11" ht="16" thickBot="1">
      <c r="I107" s="6" t="str">
        <f t="shared" si="35"/>
        <v>Delta Stock de Grueso</v>
      </c>
      <c r="J107" s="18" t="e">
        <f t="shared" si="36"/>
        <v>#REF!</v>
      </c>
      <c r="K107" s="18" t="e">
        <f t="shared" si="37"/>
        <v>#REF!</v>
      </c>
    </row>
    <row r="108" spans="9:11" ht="16" thickBot="1">
      <c r="I108" s="6" t="str">
        <f t="shared" si="35"/>
        <v>De Stock Grueso a conc magn (alim A52 y A82)</v>
      </c>
      <c r="J108" s="18" t="e">
        <f t="shared" si="36"/>
        <v>#REF!</v>
      </c>
      <c r="K108" s="18" t="e">
        <f t="shared" si="37"/>
        <v>#REF!</v>
      </c>
    </row>
    <row r="109" spans="9:11" ht="16" thickBot="1">
      <c r="I109" s="6" t="str">
        <f t="shared" si="35"/>
        <v>Stock Prec a (o desde) Acopio Mina</v>
      </c>
      <c r="J109" s="18" t="e">
        <f t="shared" si="36"/>
        <v>#REF!</v>
      </c>
      <c r="K109" s="18" t="e">
        <f t="shared" si="37"/>
        <v>#REF!</v>
      </c>
    </row>
    <row r="110" spans="9:11" ht="16" thickBot="1">
      <c r="I110" s="6" t="str">
        <f t="shared" si="35"/>
        <v>Delta Stock Prec</v>
      </c>
      <c r="J110" s="18" t="e">
        <f t="shared" si="36"/>
        <v>#REF!</v>
      </c>
      <c r="K110" s="18" t="e">
        <f t="shared" si="37"/>
        <v>#REF!</v>
      </c>
    </row>
    <row r="111" spans="9:11" ht="16" thickBot="1">
      <c r="I111" s="6" t="str">
        <f t="shared" si="35"/>
        <v>de Stock Prec a Terceros (a otras faenas)</v>
      </c>
      <c r="J111" s="18" t="e">
        <f t="shared" si="36"/>
        <v>#REF!</v>
      </c>
      <c r="K111" s="18" t="e">
        <f t="shared" si="37"/>
        <v>#REF!</v>
      </c>
    </row>
    <row r="112" spans="9:11" ht="16" thickBot="1">
      <c r="I112" s="6" t="str">
        <f t="shared" si="35"/>
        <v>de Conc Magnética a Stock Prec (Prod A52 y A 82)</v>
      </c>
      <c r="J112" s="18" t="e">
        <f t="shared" si="36"/>
        <v>#REF!</v>
      </c>
      <c r="K112" s="18" t="e">
        <f t="shared" si="37"/>
        <v>#REF!</v>
      </c>
    </row>
    <row r="113" spans="9:11" ht="16" thickBot="1">
      <c r="I113" s="6" t="str">
        <f t="shared" si="35"/>
        <v>total de rechazo</v>
      </c>
      <c r="J113" s="18" t="e">
        <f t="shared" si="36"/>
        <v>#REF!</v>
      </c>
      <c r="K113" s="18" t="e">
        <f t="shared" si="37"/>
        <v>#REF!</v>
      </c>
    </row>
    <row r="114" spans="9:11" ht="16" thickBot="1">
      <c r="I114" s="6" t="str">
        <f t="shared" si="35"/>
        <v>Rechazo  a Stock de Rechazo</v>
      </c>
      <c r="J114" s="18" t="e">
        <f t="shared" si="36"/>
        <v>#REF!</v>
      </c>
      <c r="K114" s="18" t="e">
        <f t="shared" si="37"/>
        <v>#REF!</v>
      </c>
    </row>
    <row r="115" spans="9:11" ht="16" thickBot="1">
      <c r="I115" s="6" t="str">
        <f t="shared" si="35"/>
        <v>alim fresca a Planta Rechazo</v>
      </c>
      <c r="J115" s="18" t="e">
        <f t="shared" si="36"/>
        <v>#REF!</v>
      </c>
      <c r="K115" s="18" t="e">
        <f t="shared" si="37"/>
        <v>#REF!</v>
      </c>
    </row>
    <row r="116" spans="9:11" ht="16" thickBot="1">
      <c r="I116" s="6" t="str">
        <f t="shared" si="35"/>
        <v>Delta Stock de Rechazo</v>
      </c>
      <c r="J116" s="18" t="e">
        <f t="shared" si="36"/>
        <v>#REF!</v>
      </c>
      <c r="K116" s="18" t="e">
        <f t="shared" si="37"/>
        <v>#REF!</v>
      </c>
    </row>
    <row r="117" spans="9:11" ht="16" thickBot="1">
      <c r="I117" s="6" t="str">
        <f t="shared" si="35"/>
        <v>Stock Rechazo a Planta Rechazo</v>
      </c>
      <c r="J117" s="18" t="e">
        <f t="shared" si="36"/>
        <v>#REF!</v>
      </c>
      <c r="K117" s="18" t="e">
        <f t="shared" si="37"/>
        <v>#REF!</v>
      </c>
    </row>
    <row r="118" spans="9:11" ht="16" thickBot="1">
      <c r="I118" s="6" t="str">
        <f t="shared" si="35"/>
        <v>Alimentación Planta Rechazo</v>
      </c>
      <c r="J118" s="18" t="e">
        <f t="shared" si="36"/>
        <v>#REF!</v>
      </c>
      <c r="K118" s="18" t="e">
        <f t="shared" si="37"/>
        <v>#REF!</v>
      </c>
    </row>
    <row r="119" spans="9:11" ht="16" thickBot="1">
      <c r="I119" s="6" t="str">
        <f t="shared" si="35"/>
        <v>Rechazo Final Los Colorados</v>
      </c>
      <c r="J119" s="18" t="e">
        <f t="shared" si="36"/>
        <v>#REF!</v>
      </c>
      <c r="K119" s="18" t="e">
        <f t="shared" si="37"/>
        <v>#REF!</v>
      </c>
    </row>
    <row r="120" spans="9:11" ht="16" thickBot="1">
      <c r="I120" s="6" t="str">
        <f t="shared" si="35"/>
        <v>Producción Planta Rechazo a Stock P40</v>
      </c>
      <c r="J120" s="18" t="e">
        <f t="shared" si="36"/>
        <v>#REF!</v>
      </c>
      <c r="K120" s="18" t="e">
        <f t="shared" si="37"/>
        <v>#REF!</v>
      </c>
    </row>
    <row r="121" spans="9:11" ht="16" thickBot="1">
      <c r="I121" s="6" t="str">
        <f t="shared" si="35"/>
        <v>Delta Stock P40</v>
      </c>
      <c r="J121" s="18" t="e">
        <f t="shared" si="36"/>
        <v>#REF!</v>
      </c>
      <c r="K121" s="18" t="e">
        <f t="shared" si="37"/>
        <v>#REF!</v>
      </c>
    </row>
    <row r="122" spans="9:11" ht="16" thickBot="1">
      <c r="I122" s="6" t="str">
        <f t="shared" si="35"/>
        <v>Venta desde P40</v>
      </c>
      <c r="J122" s="18" t="e">
        <f t="shared" si="36"/>
        <v>#REF!</v>
      </c>
      <c r="K122" s="18" t="e">
        <f t="shared" si="37"/>
        <v>#REF!</v>
      </c>
    </row>
    <row r="123" spans="9:11">
      <c r="I123" s="6" t="str">
        <f t="shared" si="35"/>
        <v>de Stoc Prec a Nodo Alim Planta de Pellet</v>
      </c>
      <c r="J123" s="18" t="e">
        <f t="shared" si="36"/>
        <v>#REF!</v>
      </c>
      <c r="K123" s="18" t="e">
        <f t="shared" si="37"/>
        <v>#REF!</v>
      </c>
    </row>
  </sheetData>
  <mergeCells count="4">
    <mergeCell ref="M44:O44"/>
    <mergeCell ref="J44:K44"/>
    <mergeCell ref="J71:K71"/>
    <mergeCell ref="R44:S44"/>
  </mergeCells>
  <conditionalFormatting sqref="J4:T27 Q28:R43">
    <cfRule type="expression" dxfId="11" priority="8">
      <formula>J4&lt;&gt;0</formula>
    </cfRule>
  </conditionalFormatting>
  <conditionalFormatting sqref="R46:T69 V46:V69">
    <cfRule type="expression" dxfId="10" priority="5">
      <formula>ABS(R46)&gt;=10%</formula>
    </cfRule>
  </conditionalFormatting>
  <pageMargins left="0.7" right="0.7" top="0.75" bottom="0.75" header="0.3" footer="0.3"/>
  <pageSetup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B1:Y63"/>
  <sheetViews>
    <sheetView showGridLines="0" topLeftCell="A13" zoomScale="55" zoomScaleNormal="55" workbookViewId="0">
      <selection activeCell="M36" sqref="M36"/>
    </sheetView>
  </sheetViews>
  <sheetFormatPr baseColWidth="10" defaultRowHeight="15"/>
  <cols>
    <col min="1" max="1" width="4.83203125" customWidth="1"/>
    <col min="5" max="5" width="16" customWidth="1"/>
    <col min="7" max="7" width="13.1640625" bestFit="1" customWidth="1"/>
    <col min="8" max="8" width="13.5" customWidth="1"/>
    <col min="9" max="9" width="14.83203125" customWidth="1"/>
    <col min="10" max="10" width="13.5" customWidth="1"/>
    <col min="13" max="13" width="10.83203125" customWidth="1"/>
    <col min="14" max="14" width="12.83203125" customWidth="1"/>
    <col min="15" max="15" width="15.5" customWidth="1"/>
    <col min="16" max="16" width="11.83203125" bestFit="1" customWidth="1"/>
    <col min="18" max="18" width="7.5" customWidth="1"/>
    <col min="20" max="20" width="5.5" customWidth="1"/>
  </cols>
  <sheetData>
    <row r="1" spans="2:20" ht="16" thickBot="1"/>
    <row r="2" spans="2:20">
      <c r="B2" s="78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79"/>
    </row>
    <row r="3" spans="2:20">
      <c r="B3" s="80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81"/>
    </row>
    <row r="4" spans="2:20">
      <c r="B4" s="80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81"/>
    </row>
    <row r="5" spans="2:20">
      <c r="B5" s="80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81"/>
    </row>
    <row r="6" spans="2:20" ht="16">
      <c r="B6" s="80"/>
      <c r="C6" s="23"/>
      <c r="D6" s="23"/>
      <c r="E6" s="23"/>
      <c r="F6" s="83">
        <f>+'Bal Los Colorados'!M47</f>
        <v>0</v>
      </c>
      <c r="G6" s="23"/>
      <c r="H6" s="23"/>
      <c r="I6" s="85">
        <f>+'Bal Los Colorados'!M46</f>
        <v>502781.82030850503</v>
      </c>
      <c r="J6" s="23"/>
      <c r="K6" s="23"/>
      <c r="L6" s="23"/>
      <c r="M6" s="23"/>
      <c r="N6" s="23"/>
      <c r="O6" s="23"/>
      <c r="P6" s="23"/>
      <c r="Q6" s="23"/>
      <c r="R6" s="23"/>
      <c r="S6" s="23"/>
      <c r="T6" s="81"/>
    </row>
    <row r="7" spans="2:20" ht="16">
      <c r="B7" s="80"/>
      <c r="C7" s="23"/>
      <c r="D7" s="23"/>
      <c r="E7" s="82">
        <f>+-C8+D16-F6</f>
        <v>1770.5761999999995</v>
      </c>
      <c r="F7" s="84">
        <f>+'Bal Los Colorados'!N47</f>
        <v>0</v>
      </c>
      <c r="G7" s="23"/>
      <c r="H7" s="23"/>
      <c r="I7" s="87">
        <f>+'Bal Los Colorados'!N46</f>
        <v>0.46140050554742984</v>
      </c>
      <c r="J7" s="23"/>
      <c r="K7" s="23"/>
      <c r="L7" s="23"/>
      <c r="M7" s="23"/>
      <c r="N7" s="23"/>
      <c r="O7" s="23"/>
      <c r="P7" s="203" t="s">
        <v>90</v>
      </c>
      <c r="Q7" s="203"/>
      <c r="R7" s="23"/>
      <c r="S7" s="23"/>
      <c r="T7" s="81"/>
    </row>
    <row r="8" spans="2:20" ht="16">
      <c r="B8" s="80"/>
      <c r="C8" s="85">
        <f>+'Bal Los Colorados'!M48</f>
        <v>12961.629000000001</v>
      </c>
      <c r="D8" s="23"/>
      <c r="E8" s="23"/>
      <c r="F8" s="86">
        <f>+'Bal Los Colorados'!O47</f>
        <v>0</v>
      </c>
      <c r="G8" s="23"/>
      <c r="H8" s="23"/>
      <c r="I8" s="88">
        <f>+'Bal Los Colorados'!O46</f>
        <v>231983.78607040126</v>
      </c>
      <c r="J8" s="23"/>
      <c r="K8" s="23"/>
      <c r="L8" s="23"/>
      <c r="M8" s="23"/>
      <c r="N8" s="23"/>
      <c r="O8" s="23"/>
      <c r="P8" s="105" t="s">
        <v>91</v>
      </c>
      <c r="Q8" s="106">
        <f>+I25/K20</f>
        <v>0.75353481009949175</v>
      </c>
      <c r="R8" s="23"/>
      <c r="S8" s="23"/>
      <c r="T8" s="81"/>
    </row>
    <row r="9" spans="2:20" ht="16">
      <c r="B9" s="80"/>
      <c r="C9" s="87">
        <f>+'Bal Los Colorados'!N48</f>
        <v>0.59443308072967893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105" t="s">
        <v>92</v>
      </c>
      <c r="Q9" s="106">
        <f>+I27/K22</f>
        <v>0.91700160865247149</v>
      </c>
      <c r="R9" s="23"/>
      <c r="S9" s="23"/>
      <c r="T9" s="81"/>
    </row>
    <row r="10" spans="2:20" ht="16">
      <c r="B10" s="80"/>
      <c r="C10" s="88">
        <f>+'Bal Los Colorados'!O48</f>
        <v>7704.8210577451482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03" t="s">
        <v>24</v>
      </c>
      <c r="Q10" s="203"/>
      <c r="R10" s="23"/>
      <c r="S10" s="23"/>
      <c r="T10" s="81"/>
    </row>
    <row r="11" spans="2:20" ht="16">
      <c r="B11" s="80"/>
      <c r="C11" s="23"/>
      <c r="D11" s="23"/>
      <c r="E11" s="23"/>
      <c r="F11" s="23"/>
      <c r="G11" s="23"/>
      <c r="H11" s="23"/>
      <c r="I11" s="23"/>
      <c r="J11" s="85">
        <f>+'Bal Los Colorados'!M52</f>
        <v>502781.82030850503</v>
      </c>
      <c r="K11" s="23"/>
      <c r="L11" s="23"/>
      <c r="M11" s="23"/>
      <c r="N11" s="23"/>
      <c r="O11" s="23"/>
      <c r="P11" s="105" t="s">
        <v>91</v>
      </c>
      <c r="Q11" s="106">
        <f>+O33/(P22+M30)</f>
        <v>0.1480619761814021</v>
      </c>
      <c r="R11" s="23"/>
      <c r="S11" s="23"/>
      <c r="T11" s="81"/>
    </row>
    <row r="12" spans="2:20" ht="16">
      <c r="B12" s="80"/>
      <c r="C12" s="23"/>
      <c r="D12" s="23"/>
      <c r="E12" s="23"/>
      <c r="F12" s="23"/>
      <c r="G12" s="23"/>
      <c r="H12" s="85">
        <f>+'Bal Los Colorados'!M50</f>
        <v>502781.82030850503</v>
      </c>
      <c r="I12" s="23"/>
      <c r="J12" s="87">
        <f>+'Bal Los Colorados'!N52</f>
        <v>0.46140050554742978</v>
      </c>
      <c r="K12" s="23"/>
      <c r="L12" s="23"/>
      <c r="M12" s="23"/>
      <c r="N12" s="23"/>
      <c r="O12" s="23"/>
      <c r="P12" s="105" t="s">
        <v>92</v>
      </c>
      <c r="Q12" s="106">
        <f>+O35/(P24+M32)</f>
        <v>0.34811925056763093</v>
      </c>
      <c r="R12" s="23"/>
      <c r="S12" s="23"/>
      <c r="T12" s="81"/>
    </row>
    <row r="13" spans="2:20" ht="16">
      <c r="B13" s="80"/>
      <c r="C13" s="23"/>
      <c r="D13" s="23"/>
      <c r="E13" s="23"/>
      <c r="F13" s="23"/>
      <c r="G13" s="23"/>
      <c r="H13" s="87">
        <f>+'Bal Los Colorados'!N50</f>
        <v>0.46140050554742978</v>
      </c>
      <c r="I13" s="23"/>
      <c r="J13" s="88">
        <f>+'Bal Los Colorados'!O52</f>
        <v>231983.78607040123</v>
      </c>
      <c r="K13" s="23"/>
      <c r="L13" s="23"/>
      <c r="M13" s="23"/>
      <c r="N13" s="23"/>
      <c r="O13" s="23"/>
      <c r="P13" s="204" t="s">
        <v>93</v>
      </c>
      <c r="Q13" s="204"/>
      <c r="R13" s="23"/>
      <c r="S13" s="23"/>
      <c r="T13" s="81"/>
    </row>
    <row r="14" spans="2:20" ht="16">
      <c r="B14" s="80"/>
      <c r="C14" s="23"/>
      <c r="D14" s="23"/>
      <c r="E14" s="23"/>
      <c r="F14" s="23"/>
      <c r="G14" s="23"/>
      <c r="H14" s="88">
        <f>+'Bal Los Colorados'!O50</f>
        <v>231983.78607040123</v>
      </c>
      <c r="I14" s="23"/>
      <c r="J14" s="23"/>
      <c r="K14" s="23"/>
      <c r="L14" s="23"/>
      <c r="M14" s="23"/>
      <c r="N14" s="23"/>
      <c r="O14" s="23"/>
      <c r="P14" s="105" t="s">
        <v>91</v>
      </c>
      <c r="Q14" s="106">
        <f>+(O33+I25)/(K20+(M30+P22-(L25-M15)))</f>
        <v>0.72448459461366954</v>
      </c>
      <c r="R14" s="23"/>
      <c r="S14" s="23"/>
      <c r="T14" s="81"/>
    </row>
    <row r="15" spans="2:20" ht="16">
      <c r="B15" s="80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83">
        <f>+'Bal Los Colorados'!M60</f>
        <v>30174.414309067877</v>
      </c>
      <c r="N15" s="23"/>
      <c r="O15" s="23"/>
      <c r="P15" s="105" t="s">
        <v>92</v>
      </c>
      <c r="Q15" s="106">
        <f>+(O34+I27)/(K22+(M32+P24-(L27-M17)))</f>
        <v>0.87798735665130323</v>
      </c>
      <c r="R15" s="23"/>
      <c r="S15" s="23"/>
      <c r="T15" s="81"/>
    </row>
    <row r="16" spans="2:20" ht="16">
      <c r="B16" s="80"/>
      <c r="C16" s="23"/>
      <c r="D16" s="83">
        <f>+'Bal Los Colorados'!M55</f>
        <v>14732.2052</v>
      </c>
      <c r="E16" s="23"/>
      <c r="F16" s="23"/>
      <c r="G16" s="23"/>
      <c r="H16" s="23"/>
      <c r="I16" s="23"/>
      <c r="J16" s="23"/>
      <c r="K16" s="23"/>
      <c r="L16" s="23"/>
      <c r="M16" s="84">
        <f>+'Bal Los Colorados'!N60</f>
        <v>0.19850415593901971</v>
      </c>
      <c r="N16" s="23"/>
      <c r="O16" s="23"/>
      <c r="P16" s="23"/>
      <c r="Q16" s="23"/>
      <c r="R16" s="23"/>
      <c r="S16" s="23"/>
      <c r="T16" s="81"/>
    </row>
    <row r="17" spans="2:25" ht="16">
      <c r="B17" s="80"/>
      <c r="C17" s="23"/>
      <c r="D17" s="84">
        <f>+'Bal Los Colorados'!N55</f>
        <v>0.60105751253405559</v>
      </c>
      <c r="E17" s="23"/>
      <c r="F17" s="23"/>
      <c r="G17" s="23"/>
      <c r="H17" s="23"/>
      <c r="I17" s="23"/>
      <c r="J17" s="23"/>
      <c r="K17" s="23"/>
      <c r="L17" s="23"/>
      <c r="M17" s="86">
        <f>+'Bal Los Colorados'!O60</f>
        <v>5989.7466433757972</v>
      </c>
      <c r="N17" s="23"/>
      <c r="O17" s="23"/>
      <c r="P17" s="23"/>
      <c r="Q17" s="23"/>
      <c r="R17" s="23"/>
      <c r="S17" s="23"/>
      <c r="T17" s="81"/>
    </row>
    <row r="18" spans="2:25" ht="16">
      <c r="B18" s="80"/>
      <c r="C18" s="23"/>
      <c r="D18" s="86">
        <f>+'Bal Los Colorados'!O55</f>
        <v>8854.9026116532787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81"/>
    </row>
    <row r="19" spans="2:25" ht="16">
      <c r="B19" s="80"/>
      <c r="C19" s="23"/>
      <c r="D19" s="23"/>
      <c r="E19" s="23"/>
      <c r="F19" s="23"/>
      <c r="G19" s="23"/>
      <c r="H19" s="85"/>
      <c r="I19" s="23"/>
      <c r="J19" s="82">
        <f>+J11-K20</f>
        <v>44584.890479986498</v>
      </c>
      <c r="K19" s="23"/>
      <c r="L19" s="23"/>
      <c r="M19" s="23"/>
      <c r="N19" s="23"/>
      <c r="O19" s="23"/>
      <c r="P19" s="23"/>
      <c r="Q19" s="23"/>
      <c r="R19" s="23"/>
      <c r="S19" s="23"/>
      <c r="T19" s="81"/>
      <c r="X19">
        <v>13390</v>
      </c>
      <c r="Y19" s="7">
        <f>+J11+X20</f>
        <v>542951.82030850509</v>
      </c>
    </row>
    <row r="20" spans="2:25" ht="16">
      <c r="B20" s="80"/>
      <c r="C20" s="23"/>
      <c r="D20" s="23"/>
      <c r="E20" s="23"/>
      <c r="F20" s="23"/>
      <c r="G20" s="23"/>
      <c r="H20" s="87"/>
      <c r="I20" s="23"/>
      <c r="J20" s="23"/>
      <c r="K20" s="85">
        <f>+'Bal Los Colorados'!M54</f>
        <v>458196.92982851854</v>
      </c>
      <c r="L20" s="23"/>
      <c r="M20" s="23"/>
      <c r="N20" s="23"/>
      <c r="O20" s="82">
        <f>+M15-P22</f>
        <v>-14174.322317347061</v>
      </c>
      <c r="P20" s="23"/>
      <c r="Q20" s="23"/>
      <c r="R20" s="23"/>
      <c r="S20" s="23"/>
      <c r="T20" s="81"/>
      <c r="X20">
        <f>+X19*3</f>
        <v>40170</v>
      </c>
    </row>
    <row r="21" spans="2:25" ht="16">
      <c r="B21" s="80"/>
      <c r="C21" s="23"/>
      <c r="D21" s="23"/>
      <c r="E21" s="23"/>
      <c r="F21" s="23"/>
      <c r="G21" s="23"/>
      <c r="H21" s="88"/>
      <c r="I21" s="23"/>
      <c r="J21" s="23"/>
      <c r="K21" s="87">
        <f>+'Bal Los Colorados'!N54</f>
        <v>0.47167818710941145</v>
      </c>
      <c r="L21" s="23"/>
      <c r="M21" s="23"/>
      <c r="N21" s="23"/>
      <c r="O21" s="23"/>
      <c r="P21" s="23"/>
      <c r="Q21" s="23"/>
      <c r="R21" s="23"/>
      <c r="S21" s="23"/>
      <c r="T21" s="81"/>
    </row>
    <row r="22" spans="2:25" ht="16">
      <c r="B22" s="107"/>
      <c r="C22" s="23"/>
      <c r="D22" s="23"/>
      <c r="E22" s="23"/>
      <c r="F22" s="23"/>
      <c r="G22" s="23"/>
      <c r="H22" s="23"/>
      <c r="I22" s="23"/>
      <c r="J22" s="23"/>
      <c r="K22" s="88">
        <f>+'Bal Los Colorados'!O54</f>
        <v>216121.49720061384</v>
      </c>
      <c r="L22" s="23"/>
      <c r="M22" s="23"/>
      <c r="N22" s="23"/>
      <c r="O22" s="23"/>
      <c r="P22" s="83">
        <f>+'Bal Los Colorados'!M63</f>
        <v>44348.736626414939</v>
      </c>
      <c r="Q22" s="23"/>
      <c r="R22" s="23"/>
      <c r="S22" s="23"/>
      <c r="T22" s="81"/>
    </row>
    <row r="23" spans="2:25" ht="16">
      <c r="B23" s="80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84">
        <f>+'Bal Los Colorados'!N63</f>
        <v>0.21655702250803865</v>
      </c>
      <c r="Q23" s="23"/>
      <c r="R23" s="23"/>
      <c r="S23" s="23"/>
      <c r="T23" s="81"/>
    </row>
    <row r="24" spans="2:25" ht="16">
      <c r="B24" s="80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86">
        <f>+'Bal Los Colorados'!O63</f>
        <v>9604.0303558096184</v>
      </c>
      <c r="Q24" s="23"/>
      <c r="R24" s="23"/>
      <c r="S24" s="23"/>
      <c r="T24" s="81"/>
    </row>
    <row r="25" spans="2:25" ht="16">
      <c r="B25" s="80"/>
      <c r="C25" s="23"/>
      <c r="D25" s="23"/>
      <c r="E25" s="23"/>
      <c r="F25" s="23"/>
      <c r="G25" s="23"/>
      <c r="H25" s="23"/>
      <c r="I25" s="85">
        <f>+'Bal Los Colorados'!M58</f>
        <v>345267.33650650288</v>
      </c>
      <c r="J25" s="23"/>
      <c r="K25" s="23"/>
      <c r="L25" s="85">
        <f>+'Bal Los Colorados'!M59</f>
        <v>112929.59332199999</v>
      </c>
      <c r="M25" s="23"/>
      <c r="N25" s="23"/>
      <c r="O25" s="23"/>
      <c r="P25" s="23"/>
      <c r="Q25" s="23"/>
      <c r="R25" s="23"/>
      <c r="S25" s="23"/>
      <c r="T25" s="81"/>
    </row>
    <row r="26" spans="2:25" ht="16">
      <c r="B26" s="80"/>
      <c r="C26" s="23"/>
      <c r="D26" s="23"/>
      <c r="E26" s="23"/>
      <c r="F26" s="23"/>
      <c r="G26" s="23"/>
      <c r="H26" s="23"/>
      <c r="I26" s="87">
        <f>+'Bal Los Colorados'!N58</f>
        <v>0.57400089624061745</v>
      </c>
      <c r="J26" s="23"/>
      <c r="K26" s="23"/>
      <c r="L26" s="87">
        <f>+'Bal Los Colorados'!N59</f>
        <v>0.15884000000000001</v>
      </c>
      <c r="M26" s="23"/>
      <c r="N26" s="23"/>
      <c r="O26" s="23"/>
      <c r="P26" s="23"/>
      <c r="Q26" s="23"/>
      <c r="R26" s="23"/>
      <c r="S26" s="23"/>
      <c r="T26" s="81"/>
    </row>
    <row r="27" spans="2:25" ht="16">
      <c r="B27" s="80"/>
      <c r="C27" s="23"/>
      <c r="D27" s="23"/>
      <c r="E27" s="23"/>
      <c r="F27" s="23"/>
      <c r="G27" s="92">
        <f>+I25-C28-G36-D16</f>
        <v>-359512.14169349719</v>
      </c>
      <c r="H27" s="23"/>
      <c r="I27" s="88">
        <f>+'Bal Los Colorados'!O58</f>
        <v>198183.7605973435</v>
      </c>
      <c r="J27" s="23"/>
      <c r="K27" s="23"/>
      <c r="L27" s="88">
        <f>+'Bal Los Colorados'!O59</f>
        <v>17937.73660326648</v>
      </c>
      <c r="M27" s="23"/>
      <c r="N27" s="23"/>
      <c r="O27" s="23"/>
      <c r="P27" s="23"/>
      <c r="Q27" s="23"/>
      <c r="R27" s="23"/>
      <c r="S27" s="23"/>
      <c r="T27" s="81"/>
    </row>
    <row r="28" spans="2:25" ht="16">
      <c r="B28" s="80"/>
      <c r="C28" s="85">
        <f>+'Bal Los Colorados'!M57</f>
        <v>16162.331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83">
        <f>+'Bal Los Colorados'!M65</f>
        <v>108284.65870939114</v>
      </c>
      <c r="T28" s="81"/>
    </row>
    <row r="29" spans="2:25" ht="16">
      <c r="B29" s="80"/>
      <c r="C29" s="87">
        <f>+'Bal Los Colorados'!N57</f>
        <v>0.59864253060095862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84">
        <f>+'Bal Los Colorados'!N65</f>
        <v>0.12974457621375801</v>
      </c>
      <c r="T29" s="81"/>
    </row>
    <row r="30" spans="2:25" ht="16">
      <c r="B30" s="80"/>
      <c r="C30" s="88">
        <f>+'Bal Los Colorados'!O57</f>
        <v>9675.4587302503223</v>
      </c>
      <c r="D30" s="23"/>
      <c r="E30" s="23"/>
      <c r="F30" s="23"/>
      <c r="G30" s="23"/>
      <c r="H30" s="23"/>
      <c r="I30" s="23"/>
      <c r="J30" s="23"/>
      <c r="K30" s="8"/>
      <c r="L30" s="23"/>
      <c r="M30" s="83">
        <f>+'Bal Los Colorados'!M61</f>
        <v>82755.179012932131</v>
      </c>
      <c r="N30" s="23"/>
      <c r="O30" s="23"/>
      <c r="P30" s="23"/>
      <c r="Q30" s="23"/>
      <c r="R30" s="23"/>
      <c r="S30" s="86">
        <f>+'Bal Los Colorados'!O65</f>
        <v>14049.347154701374</v>
      </c>
      <c r="T30" s="81"/>
    </row>
    <row r="31" spans="2:25" ht="16">
      <c r="B31" s="80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84">
        <f>+'Bal Los Colorados'!N61</f>
        <v>0.14437754955847257</v>
      </c>
      <c r="N31" s="23"/>
      <c r="O31" s="23"/>
      <c r="P31" s="23"/>
      <c r="Q31" s="23"/>
      <c r="R31" s="23"/>
      <c r="S31" s="23"/>
      <c r="T31" s="81"/>
    </row>
    <row r="32" spans="2:25" ht="16">
      <c r="B32" s="80"/>
      <c r="C32" s="23"/>
      <c r="D32" s="23"/>
      <c r="E32" s="23"/>
      <c r="F32" s="23"/>
      <c r="G32" s="23"/>
      <c r="H32" s="23"/>
      <c r="I32" s="8">
        <f>+I25-D16</f>
        <v>330535.13130650285</v>
      </c>
      <c r="J32" s="23"/>
      <c r="K32" s="23"/>
      <c r="L32" s="23"/>
      <c r="M32" s="86">
        <f>+'Bal Los Colorados'!O61</f>
        <v>11947.989959159877</v>
      </c>
      <c r="N32" s="23"/>
      <c r="O32" s="23"/>
      <c r="P32" s="23"/>
      <c r="Q32" s="23"/>
      <c r="R32" s="23"/>
      <c r="S32" s="23"/>
      <c r="T32" s="81"/>
    </row>
    <row r="33" spans="2:20" ht="16">
      <c r="B33" s="80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83">
        <f>+'Bal Los Colorados'!M66</f>
        <v>18819.256929955947</v>
      </c>
      <c r="P33" s="23"/>
      <c r="Q33" s="23"/>
      <c r="R33" s="23"/>
      <c r="S33" s="23"/>
      <c r="T33" s="81"/>
    </row>
    <row r="34" spans="2:20" ht="16">
      <c r="B34" s="80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84">
        <f>+'Bal Los Colorados'!N66</f>
        <v>0.39866999999999997</v>
      </c>
      <c r="P34" s="23"/>
      <c r="Q34" s="23"/>
      <c r="R34" s="23"/>
      <c r="S34" s="23"/>
      <c r="T34" s="81"/>
    </row>
    <row r="35" spans="2:20" ht="16">
      <c r="B35" s="80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86">
        <f>+'Bal Los Colorados'!O66</f>
        <v>7502.6731602655373</v>
      </c>
      <c r="P35" s="23"/>
      <c r="Q35" s="23"/>
      <c r="R35" s="23"/>
      <c r="S35" s="23"/>
      <c r="T35" s="81"/>
    </row>
    <row r="36" spans="2:20" ht="16">
      <c r="B36" s="80"/>
      <c r="C36" s="23"/>
      <c r="D36" s="23"/>
      <c r="E36" s="23"/>
      <c r="F36" s="23"/>
      <c r="G36" s="83">
        <f>+'Bal Los Colorados'!M69</f>
        <v>673884.94200000004</v>
      </c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83">
        <f>+'Bal Los Colorados'!M68</f>
        <v>19130.865000000002</v>
      </c>
      <c r="T36" s="81"/>
    </row>
    <row r="37" spans="2:20" ht="16">
      <c r="B37" s="80"/>
      <c r="C37" s="23"/>
      <c r="D37" s="23"/>
      <c r="E37" s="23"/>
      <c r="F37" s="23"/>
      <c r="G37" s="84">
        <f>+'Bal Los Colorados'!N69</f>
        <v>0.60967226044045075</v>
      </c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84">
        <f>+'Bal Los Colorados'!N68</f>
        <v>0.39832612919332189</v>
      </c>
      <c r="T37" s="81"/>
    </row>
    <row r="38" spans="2:20" ht="16">
      <c r="B38" s="80"/>
      <c r="C38" s="23"/>
      <c r="D38" s="23"/>
      <c r="E38" s="23"/>
      <c r="F38" s="23"/>
      <c r="G38" s="86">
        <f>+'Bal Los Colorados'!O69</f>
        <v>410848.95586592209</v>
      </c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86">
        <f>+'Bal Los Colorados'!O68</f>
        <v>7620.3234035700007</v>
      </c>
      <c r="T38" s="81"/>
    </row>
    <row r="39" spans="2:20">
      <c r="B39" s="80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81"/>
    </row>
    <row r="40" spans="2:20" ht="16">
      <c r="B40" s="80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82">
        <f>+O33-S36</f>
        <v>-311.60807004405433</v>
      </c>
      <c r="Q40" s="23"/>
      <c r="R40" s="23"/>
      <c r="S40" s="23"/>
      <c r="T40" s="81"/>
    </row>
    <row r="41" spans="2:20">
      <c r="B41" s="80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81"/>
    </row>
    <row r="42" spans="2:20" ht="16" thickBot="1">
      <c r="B42" s="89"/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1"/>
    </row>
    <row r="43" spans="2:20" ht="16">
      <c r="E43" s="75" t="s">
        <v>87</v>
      </c>
    </row>
    <row r="44" spans="2:20" ht="32.25" customHeight="1">
      <c r="E44" s="205" t="s">
        <v>70</v>
      </c>
      <c r="F44" s="205"/>
      <c r="G44" s="206"/>
      <c r="H44" s="205" t="s">
        <v>81</v>
      </c>
      <c r="I44" s="205"/>
      <c r="J44" s="205"/>
      <c r="K44" s="202" t="s">
        <v>69</v>
      </c>
      <c r="L44" s="202"/>
      <c r="M44" s="202"/>
      <c r="N44" s="202"/>
    </row>
    <row r="45" spans="2:20">
      <c r="E45" s="68" t="s">
        <v>71</v>
      </c>
      <c r="F45" s="68"/>
      <c r="G45" s="66">
        <f>+I6</f>
        <v>502781.82030850503</v>
      </c>
      <c r="H45" s="196" t="s">
        <v>72</v>
      </c>
      <c r="I45" s="196"/>
      <c r="J45" s="66">
        <f>+E7</f>
        <v>1770.5761999999995</v>
      </c>
      <c r="K45" s="196" t="s">
        <v>77</v>
      </c>
      <c r="L45" s="196"/>
      <c r="M45" s="196"/>
      <c r="N45" s="66">
        <f>+C8</f>
        <v>12961.629000000001</v>
      </c>
    </row>
    <row r="46" spans="2:20">
      <c r="E46" s="197"/>
      <c r="F46" s="198"/>
      <c r="G46" s="20"/>
      <c r="H46" s="196" t="s">
        <v>73</v>
      </c>
      <c r="I46" s="196"/>
      <c r="J46" s="66">
        <f>+J19</f>
        <v>44584.890479986498</v>
      </c>
      <c r="K46" s="196" t="s">
        <v>78</v>
      </c>
      <c r="L46" s="196"/>
      <c r="M46" s="196"/>
      <c r="N46" s="66">
        <f>+C28</f>
        <v>16162.331</v>
      </c>
    </row>
    <row r="47" spans="2:20">
      <c r="E47" s="197"/>
      <c r="F47" s="198"/>
      <c r="G47" s="20"/>
      <c r="H47" s="196" t="s">
        <v>74</v>
      </c>
      <c r="I47" s="196"/>
      <c r="J47" s="66">
        <f>+G27</f>
        <v>-359512.14169349719</v>
      </c>
      <c r="K47" s="196" t="s">
        <v>79</v>
      </c>
      <c r="L47" s="196"/>
      <c r="M47" s="196"/>
      <c r="N47" s="66">
        <f>+S36</f>
        <v>19130.865000000002</v>
      </c>
    </row>
    <row r="48" spans="2:20">
      <c r="E48" s="197"/>
      <c r="F48" s="198"/>
      <c r="G48" s="20"/>
      <c r="H48" s="67" t="s">
        <v>75</v>
      </c>
      <c r="I48" s="67"/>
      <c r="J48" s="66">
        <f>+O20</f>
        <v>-14174.322317347061</v>
      </c>
      <c r="K48" s="196" t="s">
        <v>80</v>
      </c>
      <c r="L48" s="196"/>
      <c r="M48" s="196"/>
      <c r="N48" s="66">
        <f>+S28</f>
        <v>108284.65870939114</v>
      </c>
    </row>
    <row r="49" spans="5:14">
      <c r="E49" s="197"/>
      <c r="F49" s="198"/>
      <c r="G49" s="20"/>
      <c r="H49" s="196" t="s">
        <v>76</v>
      </c>
      <c r="I49" s="196"/>
      <c r="J49" s="66">
        <f>+P40</f>
        <v>-311.60807004405433</v>
      </c>
      <c r="K49" s="196" t="s">
        <v>85</v>
      </c>
      <c r="L49" s="196"/>
      <c r="M49" s="196"/>
      <c r="N49" s="66">
        <f>+G36</f>
        <v>673884.94200000004</v>
      </c>
    </row>
    <row r="50" spans="5:14" ht="19">
      <c r="E50" s="192" t="s">
        <v>83</v>
      </c>
      <c r="F50" s="193"/>
      <c r="G50" s="69">
        <f>+G45</f>
        <v>502781.82030850503</v>
      </c>
      <c r="H50" s="194" t="s">
        <v>82</v>
      </c>
      <c r="I50" s="194"/>
      <c r="J50" s="77">
        <f>+SUM(J45:J49)</f>
        <v>-327642.60540090181</v>
      </c>
      <c r="K50" s="195" t="s">
        <v>84</v>
      </c>
      <c r="L50" s="195"/>
      <c r="M50" s="195"/>
      <c r="N50" s="69">
        <f>+SUM(N45:N49)</f>
        <v>830424.42570939125</v>
      </c>
    </row>
    <row r="52" spans="5:14" ht="19">
      <c r="J52" s="76" t="s">
        <v>86</v>
      </c>
      <c r="K52" s="71"/>
      <c r="L52" s="70"/>
      <c r="M52" s="71"/>
      <c r="N52" s="72">
        <f>+G50-J50-N50</f>
        <v>1.5599653124809265E-8</v>
      </c>
    </row>
    <row r="53" spans="5:14" ht="19">
      <c r="F53" s="73"/>
      <c r="G53" s="73"/>
      <c r="H53" s="73"/>
      <c r="I53" s="73"/>
      <c r="J53" s="74"/>
    </row>
    <row r="54" spans="5:14" ht="16">
      <c r="E54" s="75" t="s">
        <v>88</v>
      </c>
    </row>
    <row r="55" spans="5:14" ht="19">
      <c r="E55" s="199" t="s">
        <v>70</v>
      </c>
      <c r="F55" s="199"/>
      <c r="G55" s="200"/>
      <c r="H55" s="199" t="s">
        <v>81</v>
      </c>
      <c r="I55" s="199"/>
      <c r="J55" s="199"/>
      <c r="K55" s="201" t="s">
        <v>69</v>
      </c>
      <c r="L55" s="201"/>
      <c r="M55" s="201"/>
      <c r="N55" s="201"/>
    </row>
    <row r="56" spans="5:14">
      <c r="E56" s="68" t="s">
        <v>71</v>
      </c>
      <c r="F56" s="68"/>
      <c r="G56" s="66">
        <f>+I8</f>
        <v>231983.78607040126</v>
      </c>
      <c r="H56" s="196" t="s">
        <v>72</v>
      </c>
      <c r="I56" s="196"/>
      <c r="J56" s="66" t="e">
        <f>+'Bal Los Colorados'!O49*'Bal Los Colorados'!G49</f>
        <v>#REF!</v>
      </c>
      <c r="K56" s="196" t="s">
        <v>77</v>
      </c>
      <c r="L56" s="196"/>
      <c r="M56" s="196"/>
      <c r="N56" s="66">
        <f>+C10</f>
        <v>7704.8210577451482</v>
      </c>
    </row>
    <row r="57" spans="5:14">
      <c r="E57" s="197"/>
      <c r="F57" s="198"/>
      <c r="G57" s="20"/>
      <c r="H57" s="196" t="s">
        <v>73</v>
      </c>
      <c r="I57" s="196"/>
      <c r="J57" s="66" t="e">
        <f>+'Bal Los Colorados'!O53*'Bal Los Colorados'!G53</f>
        <v>#REF!</v>
      </c>
      <c r="K57" s="196" t="s">
        <v>78</v>
      </c>
      <c r="L57" s="196"/>
      <c r="M57" s="196"/>
      <c r="N57" s="66">
        <f>+C30</f>
        <v>9675.4587302503223</v>
      </c>
    </row>
    <row r="58" spans="5:14">
      <c r="E58" s="197"/>
      <c r="F58" s="198"/>
      <c r="G58" s="20"/>
      <c r="H58" s="196" t="s">
        <v>74</v>
      </c>
      <c r="I58" s="196"/>
      <c r="J58" s="66" t="e">
        <f>+'Bal Los Colorados'!O56*'Bal Los Colorados'!G56</f>
        <v>#REF!</v>
      </c>
      <c r="K58" s="196" t="s">
        <v>79</v>
      </c>
      <c r="L58" s="196"/>
      <c r="M58" s="196"/>
      <c r="N58" s="66">
        <f>+S38</f>
        <v>7620.3234035700007</v>
      </c>
    </row>
    <row r="59" spans="5:14">
      <c r="E59" s="197"/>
      <c r="F59" s="198"/>
      <c r="G59" s="20"/>
      <c r="H59" s="67" t="s">
        <v>75</v>
      </c>
      <c r="I59" s="67"/>
      <c r="J59" s="66" t="e">
        <f>+'Bal Los Colorados'!O62*'Bal Los Colorados'!G62</f>
        <v>#REF!</v>
      </c>
      <c r="K59" s="196" t="s">
        <v>80</v>
      </c>
      <c r="L59" s="196"/>
      <c r="M59" s="196"/>
      <c r="N59" s="66">
        <f>+S30</f>
        <v>14049.347154701374</v>
      </c>
    </row>
    <row r="60" spans="5:14">
      <c r="E60" s="197"/>
      <c r="F60" s="198"/>
      <c r="G60" s="20"/>
      <c r="H60" s="196" t="s">
        <v>76</v>
      </c>
      <c r="I60" s="196"/>
      <c r="J60" s="66" t="e">
        <f>+'Bal Los Colorados'!O67*'Bal Los Colorados'!G67</f>
        <v>#REF!</v>
      </c>
      <c r="K60" s="196" t="s">
        <v>85</v>
      </c>
      <c r="L60" s="196"/>
      <c r="M60" s="196"/>
      <c r="N60" s="66">
        <f>+G38</f>
        <v>410848.95586592209</v>
      </c>
    </row>
    <row r="61" spans="5:14" ht="19">
      <c r="E61" s="192" t="s">
        <v>83</v>
      </c>
      <c r="F61" s="193"/>
      <c r="G61" s="69">
        <f>+G56</f>
        <v>231983.78607040126</v>
      </c>
      <c r="H61" s="194" t="s">
        <v>82</v>
      </c>
      <c r="I61" s="194"/>
      <c r="J61" s="77" t="e">
        <f>+SUM(J56:J60)</f>
        <v>#REF!</v>
      </c>
      <c r="K61" s="195" t="s">
        <v>84</v>
      </c>
      <c r="L61" s="195"/>
      <c r="M61" s="195"/>
      <c r="N61" s="69">
        <f>+SUM(N56:N60)</f>
        <v>449898.90621218894</v>
      </c>
    </row>
    <row r="63" spans="5:14" ht="19">
      <c r="J63" s="76" t="s">
        <v>86</v>
      </c>
      <c r="K63" s="71"/>
      <c r="L63" s="70"/>
      <c r="M63" s="71"/>
      <c r="N63" s="72" t="e">
        <f>+G61-J61-N61</f>
        <v>#REF!</v>
      </c>
    </row>
  </sheetData>
  <mergeCells count="41">
    <mergeCell ref="P7:Q7"/>
    <mergeCell ref="P10:Q10"/>
    <mergeCell ref="P13:Q13"/>
    <mergeCell ref="K50:M50"/>
    <mergeCell ref="E44:G44"/>
    <mergeCell ref="H47:I47"/>
    <mergeCell ref="H46:I46"/>
    <mergeCell ref="H45:I45"/>
    <mergeCell ref="H44:J44"/>
    <mergeCell ref="E55:G55"/>
    <mergeCell ref="H55:J55"/>
    <mergeCell ref="K55:N55"/>
    <mergeCell ref="K44:N44"/>
    <mergeCell ref="K49:M49"/>
    <mergeCell ref="E46:F46"/>
    <mergeCell ref="E47:F47"/>
    <mergeCell ref="E48:F48"/>
    <mergeCell ref="E49:F49"/>
    <mergeCell ref="H49:I49"/>
    <mergeCell ref="H50:I50"/>
    <mergeCell ref="K45:M45"/>
    <mergeCell ref="K46:M46"/>
    <mergeCell ref="K47:M47"/>
    <mergeCell ref="K48:M48"/>
    <mergeCell ref="E50:F50"/>
    <mergeCell ref="E61:F61"/>
    <mergeCell ref="H61:I61"/>
    <mergeCell ref="K61:M61"/>
    <mergeCell ref="H56:I56"/>
    <mergeCell ref="K56:M56"/>
    <mergeCell ref="E57:F57"/>
    <mergeCell ref="H57:I57"/>
    <mergeCell ref="K57:M57"/>
    <mergeCell ref="E58:F58"/>
    <mergeCell ref="H58:I58"/>
    <mergeCell ref="K58:M58"/>
    <mergeCell ref="E59:F59"/>
    <mergeCell ref="K59:M59"/>
    <mergeCell ref="E60:F60"/>
    <mergeCell ref="H60:I60"/>
    <mergeCell ref="K60:M60"/>
  </mergeCell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7" id="{B1CFD4A9-C3A3-4A27-B79D-98FB64E867B1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J19</xm:sqref>
        </x14:conditionalFormatting>
        <x14:conditionalFormatting xmlns:xm="http://schemas.microsoft.com/office/excel/2006/main">
          <x14:cfRule type="iconSet" priority="6" id="{4B57C8F7-5BEB-48BD-BBA3-5B024843580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O20</xm:sqref>
        </x14:conditionalFormatting>
        <x14:conditionalFormatting xmlns:xm="http://schemas.microsoft.com/office/excel/2006/main">
          <x14:cfRule type="iconSet" priority="5" id="{C10B2FA1-9B18-4E62-A9D9-EF43BF93E4B6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P40</xm:sqref>
        </x14:conditionalFormatting>
        <x14:conditionalFormatting xmlns:xm="http://schemas.microsoft.com/office/excel/2006/main">
          <x14:cfRule type="iconSet" priority="4" id="{E3546289-A046-4C8E-885C-F4624065818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G27</xm:sqref>
        </x14:conditionalFormatting>
        <x14:conditionalFormatting xmlns:xm="http://schemas.microsoft.com/office/excel/2006/main">
          <x14:cfRule type="iconSet" priority="3" id="{7D50B9AB-69D3-458F-A606-C20365A1270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E7</xm:sqref>
        </x14:conditionalFormatting>
        <x14:conditionalFormatting xmlns:xm="http://schemas.microsoft.com/office/excel/2006/main">
          <x14:cfRule type="iconSet" priority="2" id="{9DB0D7FE-1346-4C39-B4CE-3FF92CE0A1B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J61</xm:sqref>
        </x14:conditionalFormatting>
        <x14:conditionalFormatting xmlns:xm="http://schemas.microsoft.com/office/excel/2006/main">
          <x14:cfRule type="iconSet" priority="1" id="{3F587605-8634-4B56-8572-3031DA244BA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J50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39997558519241921"/>
    <outlinePr summaryBelow="0"/>
  </sheetPr>
  <dimension ref="A1:CU260"/>
  <sheetViews>
    <sheetView topLeftCell="A2" zoomScale="150" zoomScaleNormal="150" workbookViewId="0">
      <selection activeCell="B94" sqref="B94"/>
    </sheetView>
  </sheetViews>
  <sheetFormatPr baseColWidth="10" defaultRowHeight="15"/>
  <cols>
    <col min="1" max="3" width="10.83203125" customWidth="1"/>
    <col min="4" max="4" width="15.5" customWidth="1"/>
    <col min="5" max="5" width="14.1640625" customWidth="1"/>
    <col min="6" max="8" width="10.83203125" customWidth="1"/>
    <col min="9" max="9" width="5.5" customWidth="1"/>
    <col min="10" max="10" width="53.1640625" customWidth="1"/>
    <col min="11" max="15" width="10.83203125" customWidth="1"/>
    <col min="16" max="16" width="10.5" customWidth="1"/>
    <col min="17" max="19" width="10.83203125" customWidth="1"/>
    <col min="20" max="21" width="11.5" customWidth="1"/>
    <col min="22" max="22" width="8.1640625" customWidth="1"/>
    <col min="23" max="23" width="9.5" customWidth="1"/>
    <col min="24" max="24" width="11.83203125" customWidth="1"/>
    <col min="25" max="25" width="10.83203125" customWidth="1"/>
    <col min="26" max="26" width="11.83203125" customWidth="1"/>
    <col min="27" max="29" width="10.83203125" customWidth="1"/>
    <col min="30" max="34" width="8.33203125" customWidth="1"/>
    <col min="35" max="35" width="10.83203125" customWidth="1"/>
    <col min="36" max="36" width="9.5" customWidth="1"/>
    <col min="37" max="37" width="30.6640625" bestFit="1" customWidth="1"/>
    <col min="38" max="41" width="10.83203125" customWidth="1"/>
    <col min="42" max="42" width="15.1640625" customWidth="1"/>
    <col min="57" max="91" width="10.83203125" style="46"/>
  </cols>
  <sheetData>
    <row r="1" spans="1:99">
      <c r="A1" s="123">
        <v>261455.17020557521</v>
      </c>
      <c r="B1" s="123">
        <v>0.58909999999999996</v>
      </c>
      <c r="C1" s="162">
        <v>0</v>
      </c>
      <c r="D1" s="123">
        <f t="shared" ref="D1:D32" si="0">A1*B1</f>
        <v>154023.24076810436</v>
      </c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</row>
    <row r="2" spans="1:99">
      <c r="A2" s="123">
        <v>11473.344999999999</v>
      </c>
      <c r="B2" s="123">
        <v>0.62939999999999996</v>
      </c>
      <c r="C2" s="162">
        <v>0</v>
      </c>
      <c r="D2" s="123">
        <f t="shared" si="0"/>
        <v>7221.3233429999991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</row>
    <row r="3" spans="1:99" s="2" customFormat="1" ht="51" customHeight="1">
      <c r="A3" s="123">
        <v>249981.82520557521</v>
      </c>
      <c r="B3" s="123">
        <v>0.58720000000000006</v>
      </c>
      <c r="C3" s="162">
        <v>0</v>
      </c>
      <c r="D3" s="123">
        <f t="shared" si="0"/>
        <v>146789.32776071379</v>
      </c>
      <c r="E3" s="124"/>
      <c r="F3" s="124"/>
      <c r="G3" s="124"/>
      <c r="H3" s="124"/>
      <c r="I3" s="124"/>
      <c r="J3" s="124"/>
      <c r="K3" s="125"/>
      <c r="L3" s="125"/>
      <c r="M3" s="125"/>
      <c r="N3" s="125"/>
      <c r="O3" s="125"/>
      <c r="P3" s="125"/>
      <c r="Q3" s="125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17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/>
      <c r="BA3" s="116"/>
      <c r="BB3" s="116"/>
      <c r="BC3" s="116"/>
      <c r="BD3" s="116"/>
      <c r="BE3" s="116"/>
      <c r="BF3" s="116"/>
      <c r="BG3" s="116"/>
      <c r="BH3" s="116"/>
      <c r="BI3" s="116"/>
      <c r="BJ3" s="116"/>
      <c r="BK3" s="116"/>
      <c r="BL3" s="116"/>
      <c r="BM3" s="116"/>
      <c r="BN3" s="116"/>
      <c r="BO3" s="116"/>
      <c r="BP3" s="116"/>
      <c r="BQ3" s="116"/>
      <c r="BR3" s="116"/>
      <c r="BS3" s="116"/>
      <c r="BT3" s="116"/>
      <c r="BU3" s="116"/>
      <c r="BV3" s="116"/>
      <c r="BW3" s="116"/>
      <c r="BX3" s="116"/>
      <c r="BY3" s="116"/>
      <c r="BZ3" s="116"/>
      <c r="CA3" s="116"/>
      <c r="CB3" s="116"/>
      <c r="CC3" s="116"/>
      <c r="CD3" s="116"/>
      <c r="CE3" s="116"/>
      <c r="CF3" s="116"/>
      <c r="CG3" s="116"/>
      <c r="CH3" s="116"/>
      <c r="CI3" s="116"/>
      <c r="CJ3" s="116"/>
      <c r="CK3" s="116"/>
      <c r="CL3" s="116"/>
      <c r="CM3" s="116"/>
      <c r="CN3" s="116"/>
      <c r="CO3" s="116"/>
      <c r="CP3" s="116"/>
      <c r="CQ3" s="116"/>
      <c r="CR3" s="116"/>
      <c r="CS3" s="116"/>
      <c r="CT3" s="116"/>
      <c r="CU3" s="116"/>
    </row>
    <row r="4" spans="1:99" s="2" customFormat="1" ht="83" customHeight="1">
      <c r="A4" s="123">
        <v>-4116.7369201152997</v>
      </c>
      <c r="B4" s="123">
        <v>0.6</v>
      </c>
      <c r="C4" s="162">
        <v>6.2619431891058099E-3</v>
      </c>
      <c r="D4" s="123">
        <f t="shared" si="0"/>
        <v>-2470.0421520691798</v>
      </c>
      <c r="E4" s="124"/>
      <c r="F4" s="124"/>
      <c r="G4" s="124"/>
      <c r="H4" s="124"/>
      <c r="I4" s="123"/>
      <c r="J4" s="123"/>
      <c r="K4" s="123"/>
      <c r="L4" s="123"/>
      <c r="M4" s="123"/>
      <c r="N4" s="123"/>
      <c r="O4" s="123"/>
      <c r="P4" s="123"/>
      <c r="Q4" s="123"/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6"/>
      <c r="AF4" s="126"/>
      <c r="AG4" s="126"/>
      <c r="AH4" s="126"/>
      <c r="AI4" s="126"/>
      <c r="AJ4" s="116"/>
      <c r="AK4" s="117"/>
      <c r="AL4" s="118"/>
      <c r="AM4" s="118"/>
      <c r="AN4" s="118"/>
      <c r="AO4" s="118"/>
      <c r="AP4" s="118"/>
      <c r="AQ4" s="118"/>
      <c r="AR4" s="118"/>
      <c r="AS4" s="118"/>
      <c r="AT4" s="118"/>
      <c r="AU4" s="118"/>
      <c r="AV4" s="118"/>
      <c r="AW4" s="118"/>
      <c r="AX4" s="118"/>
      <c r="AY4" s="118"/>
      <c r="AZ4" s="118"/>
      <c r="BA4" s="118"/>
      <c r="BB4" s="118"/>
      <c r="BC4" s="118"/>
      <c r="BD4" s="118"/>
      <c r="BE4" s="118"/>
      <c r="BF4" s="118"/>
      <c r="BG4" s="118"/>
      <c r="BH4" s="118"/>
      <c r="BI4" s="118"/>
      <c r="BJ4" s="118"/>
      <c r="BK4" s="118"/>
      <c r="BL4" s="118"/>
      <c r="BM4" s="118"/>
      <c r="BN4" s="118"/>
      <c r="BO4" s="118"/>
      <c r="BP4" s="118"/>
      <c r="BQ4" s="118"/>
      <c r="BR4" s="118"/>
      <c r="BS4" s="118"/>
      <c r="BT4" s="118"/>
      <c r="BU4" s="118"/>
      <c r="BV4" s="118"/>
      <c r="BW4" s="118"/>
      <c r="BX4" s="118"/>
      <c r="BY4" s="118"/>
      <c r="BZ4" s="118"/>
      <c r="CA4" s="118"/>
      <c r="CB4" s="118"/>
      <c r="CC4" s="118"/>
      <c r="CD4" s="118"/>
      <c r="CE4" s="118"/>
      <c r="CF4" s="118"/>
      <c r="CG4" s="118"/>
      <c r="CH4" s="118"/>
      <c r="CI4" s="118"/>
      <c r="CJ4" s="118"/>
      <c r="CK4" s="118"/>
      <c r="CL4" s="118"/>
      <c r="CM4" s="118"/>
      <c r="CN4" s="118"/>
      <c r="CO4" s="118"/>
      <c r="CP4" s="118"/>
      <c r="CQ4" s="118"/>
      <c r="CR4" s="118"/>
      <c r="CS4" s="118"/>
      <c r="CT4" s="116"/>
      <c r="CU4" s="116"/>
    </row>
    <row r="5" spans="1:99">
      <c r="A5" s="123">
        <v>254098.5621256904</v>
      </c>
      <c r="B5" s="123">
        <v>0.6</v>
      </c>
      <c r="C5" s="162">
        <v>1</v>
      </c>
      <c r="D5" s="123">
        <f t="shared" si="0"/>
        <v>152459.13727541422</v>
      </c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126"/>
      <c r="AL5" s="126"/>
      <c r="AM5" s="126"/>
      <c r="AN5" s="126"/>
      <c r="AO5" s="126"/>
      <c r="AP5" s="1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</row>
    <row r="6" spans="1:99">
      <c r="A6" s="123">
        <v>693.98717870610005</v>
      </c>
      <c r="B6" s="123">
        <v>0.6</v>
      </c>
      <c r="C6" s="162">
        <v>0</v>
      </c>
      <c r="D6" s="123">
        <f t="shared" si="0"/>
        <v>416.39230722366</v>
      </c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23"/>
      <c r="Q6" s="123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</row>
    <row r="7" spans="1:99">
      <c r="A7" s="123">
        <v>253404.5749469843</v>
      </c>
      <c r="B7" s="123">
        <v>0.6</v>
      </c>
      <c r="C7" s="162">
        <v>1</v>
      </c>
      <c r="D7" s="123">
        <f t="shared" si="0"/>
        <v>152042.74496819059</v>
      </c>
      <c r="E7" s="123"/>
      <c r="F7" s="123"/>
      <c r="G7" s="123"/>
      <c r="H7" s="123"/>
      <c r="I7" s="123"/>
      <c r="J7" s="123"/>
      <c r="K7" s="123"/>
      <c r="L7" s="123"/>
      <c r="M7" s="123"/>
      <c r="N7" s="123"/>
      <c r="O7" s="123"/>
      <c r="P7" s="123"/>
      <c r="Q7" s="123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</row>
    <row r="8" spans="1:99">
      <c r="A8" s="123">
        <v>1500</v>
      </c>
      <c r="B8" s="123">
        <v>0.6</v>
      </c>
      <c r="C8" s="162">
        <v>0</v>
      </c>
      <c r="D8" s="123">
        <f t="shared" si="0"/>
        <v>900</v>
      </c>
      <c r="E8" s="123"/>
      <c r="F8" s="123"/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23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26"/>
      <c r="AH8" s="126"/>
      <c r="AI8" s="126"/>
      <c r="AJ8" s="126"/>
      <c r="AK8" s="126"/>
      <c r="AL8" s="126"/>
      <c r="AM8" s="126"/>
      <c r="AN8" s="126"/>
      <c r="AO8" s="126"/>
      <c r="AP8" s="1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</row>
    <row r="9" spans="1:99">
      <c r="A9" s="123">
        <v>43011</v>
      </c>
      <c r="B9" s="123">
        <v>9.9900000000000003E-2</v>
      </c>
      <c r="C9" s="162">
        <v>0</v>
      </c>
      <c r="D9" s="123">
        <f t="shared" si="0"/>
        <v>4296.7988999999998</v>
      </c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23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26"/>
      <c r="AH9" s="126"/>
      <c r="AI9" s="126"/>
      <c r="AJ9" s="126"/>
      <c r="AK9" s="126"/>
      <c r="AL9" s="126"/>
      <c r="AM9" s="126"/>
      <c r="AN9" s="126"/>
      <c r="AO9" s="126"/>
      <c r="AP9" s="1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</row>
    <row r="10" spans="1:99">
      <c r="A10" s="123">
        <v>208893.5749469843</v>
      </c>
      <c r="B10" s="123">
        <v>0.68630000000000002</v>
      </c>
      <c r="C10" s="162">
        <v>1</v>
      </c>
      <c r="D10" s="123">
        <f t="shared" si="0"/>
        <v>143363.66048611532</v>
      </c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  <c r="Q10" s="123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</row>
    <row r="11" spans="1:99">
      <c r="A11" s="123">
        <v>-870</v>
      </c>
      <c r="B11" s="123">
        <v>0.68469999999999998</v>
      </c>
      <c r="C11" s="162">
        <v>9.8899999999999995E-3</v>
      </c>
      <c r="D11" s="123">
        <f t="shared" si="0"/>
        <v>-595.68899999999996</v>
      </c>
      <c r="E11" s="123"/>
      <c r="F11" s="123"/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23"/>
      <c r="R11" s="126"/>
      <c r="S11" s="126"/>
      <c r="T11" s="126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6"/>
      <c r="AF11" s="126"/>
      <c r="AG11" s="126"/>
      <c r="AH11" s="126"/>
      <c r="AI11" s="126"/>
      <c r="AJ11" s="126"/>
      <c r="AK11" s="126"/>
      <c r="AL11" s="126"/>
      <c r="AM11" s="126"/>
      <c r="AN11" s="126"/>
      <c r="AO11" s="126"/>
      <c r="AP11" s="1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</row>
    <row r="12" spans="1:99">
      <c r="A12" s="123">
        <v>0</v>
      </c>
      <c r="B12" s="123">
        <v>0</v>
      </c>
      <c r="C12" s="162">
        <v>0</v>
      </c>
      <c r="D12" s="123">
        <f t="shared" si="0"/>
        <v>0</v>
      </c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  <c r="Q12" s="123"/>
      <c r="R12" s="126"/>
      <c r="S12" s="126"/>
      <c r="T12" s="126"/>
      <c r="U12" s="126"/>
      <c r="V12" s="126"/>
      <c r="W12" s="126"/>
      <c r="X12" s="126"/>
      <c r="Y12" s="126"/>
      <c r="Z12" s="126"/>
      <c r="AA12" s="126"/>
      <c r="AB12" s="126"/>
      <c r="AC12" s="126"/>
      <c r="AD12" s="126"/>
      <c r="AE12" s="126"/>
      <c r="AF12" s="126"/>
      <c r="AG12" s="126"/>
      <c r="AH12" s="126"/>
      <c r="AI12" s="126"/>
      <c r="AJ12" s="126"/>
      <c r="AK12" s="126"/>
      <c r="AL12" s="126"/>
      <c r="AM12" s="126"/>
      <c r="AN12" s="126"/>
      <c r="AO12" s="126"/>
      <c r="AP12" s="1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</row>
    <row r="13" spans="1:99">
      <c r="A13" s="123">
        <v>209763.5749469843</v>
      </c>
      <c r="B13" s="123">
        <v>0.68479999999999996</v>
      </c>
      <c r="C13" s="162">
        <v>1</v>
      </c>
      <c r="D13" s="123">
        <f t="shared" si="0"/>
        <v>143646.09612369485</v>
      </c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23"/>
      <c r="Q13" s="123"/>
      <c r="R13" s="126"/>
      <c r="S13" s="126"/>
      <c r="T13" s="126"/>
      <c r="U13" s="126"/>
      <c r="V13" s="126"/>
      <c r="W13" s="126"/>
      <c r="X13" s="126"/>
      <c r="Y13" s="126"/>
      <c r="Z13" s="126"/>
      <c r="AA13" s="126"/>
      <c r="AB13" s="126"/>
      <c r="AC13" s="126"/>
      <c r="AD13" s="126"/>
      <c r="AE13" s="126"/>
      <c r="AF13" s="126"/>
      <c r="AG13" s="126"/>
      <c r="AH13" s="126"/>
      <c r="AI13" s="126"/>
      <c r="AJ13" s="126"/>
      <c r="AK13" s="126"/>
      <c r="AL13" s="126"/>
      <c r="AM13" s="126"/>
      <c r="AN13" s="126"/>
      <c r="AO13" s="126"/>
      <c r="AP13" s="1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</row>
    <row r="14" spans="1:99">
      <c r="A14" s="123">
        <v>84629.508799999996</v>
      </c>
      <c r="B14" s="123">
        <v>0.68479999999999996</v>
      </c>
      <c r="C14" s="162">
        <v>1</v>
      </c>
      <c r="D14" s="123">
        <f t="shared" si="0"/>
        <v>57954.287626239995</v>
      </c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23"/>
      <c r="Q14" s="123"/>
      <c r="R14" s="126"/>
      <c r="S14" s="126"/>
      <c r="T14" s="126"/>
      <c r="U14" s="126"/>
      <c r="V14" s="126"/>
      <c r="W14" s="126"/>
      <c r="X14" s="126"/>
      <c r="Y14" s="126"/>
      <c r="Z14" s="126"/>
      <c r="AA14" s="126"/>
      <c r="AB14" s="126"/>
      <c r="AC14" s="126"/>
      <c r="AD14" s="126"/>
      <c r="AE14" s="126"/>
      <c r="AF14" s="126"/>
      <c r="AG14" s="126"/>
      <c r="AH14" s="126"/>
      <c r="AI14" s="126"/>
      <c r="AJ14" s="126"/>
      <c r="AK14" s="126"/>
      <c r="AL14" s="126"/>
      <c r="AM14" s="126"/>
      <c r="AN14" s="126"/>
      <c r="AO14" s="126"/>
      <c r="AP14" s="1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</row>
    <row r="15" spans="1:99">
      <c r="A15" s="123">
        <v>125134.0661469843</v>
      </c>
      <c r="B15" s="123">
        <v>0.68479999999999996</v>
      </c>
      <c r="C15" s="162">
        <v>1</v>
      </c>
      <c r="D15" s="123">
        <f t="shared" si="0"/>
        <v>85691.80849745484</v>
      </c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23"/>
      <c r="P15" s="123"/>
      <c r="Q15" s="123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</row>
    <row r="16" spans="1:99">
      <c r="A16" s="123">
        <v>0</v>
      </c>
      <c r="B16" s="123">
        <v>0</v>
      </c>
      <c r="C16" s="162">
        <v>0</v>
      </c>
      <c r="D16" s="123">
        <f t="shared" si="0"/>
        <v>0</v>
      </c>
      <c r="E16" s="123"/>
      <c r="F16" s="123"/>
      <c r="G16" s="123"/>
      <c r="H16" s="123"/>
      <c r="I16" s="123"/>
      <c r="J16" s="123"/>
      <c r="K16" s="123"/>
      <c r="L16" s="123"/>
      <c r="M16" s="123"/>
      <c r="N16" s="123"/>
      <c r="O16" s="123"/>
      <c r="P16" s="123"/>
      <c r="Q16" s="123"/>
      <c r="R16" s="126"/>
      <c r="S16" s="126"/>
      <c r="T16" s="126"/>
      <c r="U16" s="126"/>
      <c r="V16" s="126"/>
      <c r="W16" s="126"/>
      <c r="X16" s="126"/>
      <c r="Y16" s="126"/>
      <c r="Z16" s="126"/>
      <c r="AA16" s="126"/>
      <c r="AB16" s="126"/>
      <c r="AC16" s="126"/>
      <c r="AD16" s="126"/>
      <c r="AE16" s="126"/>
      <c r="AF16" s="126"/>
      <c r="AG16" s="126"/>
      <c r="AH16" s="126"/>
      <c r="AI16" s="126"/>
      <c r="AJ16" s="126"/>
      <c r="AK16" s="126"/>
      <c r="AL16" s="126"/>
      <c r="AM16" s="126"/>
      <c r="AN16" s="126"/>
      <c r="AO16" s="126"/>
      <c r="AP16" s="1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</row>
    <row r="17" spans="1:99">
      <c r="A17" s="123">
        <v>1151.136</v>
      </c>
      <c r="B17" s="123">
        <v>0.68479999999999996</v>
      </c>
      <c r="C17" s="162">
        <v>1</v>
      </c>
      <c r="D17" s="123">
        <f t="shared" si="0"/>
        <v>788.2979327999999</v>
      </c>
      <c r="E17" s="123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6"/>
      <c r="S17" s="126"/>
      <c r="T17" s="126"/>
      <c r="U17" s="126"/>
      <c r="V17" s="126"/>
      <c r="W17" s="126"/>
      <c r="X17" s="126"/>
      <c r="Y17" s="126"/>
      <c r="Z17" s="126"/>
      <c r="AA17" s="126"/>
      <c r="AB17" s="126"/>
      <c r="AC17" s="126"/>
      <c r="AD17" s="126"/>
      <c r="AE17" s="126"/>
      <c r="AF17" s="126"/>
      <c r="AG17" s="126"/>
      <c r="AH17" s="126"/>
      <c r="AI17" s="126"/>
      <c r="AJ17" s="126"/>
      <c r="AK17" s="126"/>
      <c r="AL17" s="126"/>
      <c r="AM17" s="126"/>
      <c r="AN17" s="126"/>
      <c r="AO17" s="126"/>
      <c r="AP17" s="1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</row>
    <row r="18" spans="1:99">
      <c r="A18" s="123">
        <v>0</v>
      </c>
      <c r="B18" s="123">
        <v>0</v>
      </c>
      <c r="C18" s="162">
        <v>0</v>
      </c>
      <c r="D18" s="123">
        <f t="shared" si="0"/>
        <v>0</v>
      </c>
      <c r="E18" s="123"/>
      <c r="F18" s="123"/>
      <c r="G18" s="123"/>
      <c r="H18" s="123"/>
      <c r="I18" s="123"/>
      <c r="J18" s="123"/>
      <c r="K18" s="123"/>
      <c r="L18" s="123"/>
      <c r="M18" s="123"/>
      <c r="N18" s="123"/>
      <c r="O18" s="123"/>
      <c r="P18" s="123"/>
      <c r="Q18" s="123"/>
      <c r="R18" s="126"/>
      <c r="S18" s="126"/>
      <c r="T18" s="126"/>
      <c r="U18" s="126"/>
      <c r="V18" s="126"/>
      <c r="W18" s="126"/>
      <c r="X18" s="126"/>
      <c r="Y18" s="126"/>
      <c r="Z18" s="126"/>
      <c r="AA18" s="126"/>
      <c r="AB18" s="126"/>
      <c r="AC18" s="126"/>
      <c r="AD18" s="126"/>
      <c r="AE18" s="126"/>
      <c r="AF18" s="126"/>
      <c r="AG18" s="126"/>
      <c r="AH18" s="126"/>
      <c r="AI18" s="126"/>
      <c r="AJ18" s="126"/>
      <c r="AK18" s="126"/>
      <c r="AL18" s="126"/>
      <c r="AM18" s="126"/>
      <c r="AN18" s="126"/>
      <c r="AO18" s="126"/>
      <c r="AP18" s="1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</row>
    <row r="19" spans="1:99">
      <c r="A19" s="123">
        <v>0</v>
      </c>
      <c r="B19" s="123">
        <v>0</v>
      </c>
      <c r="C19" s="162">
        <v>0</v>
      </c>
      <c r="D19" s="123">
        <f t="shared" si="0"/>
        <v>0</v>
      </c>
      <c r="E19" s="123"/>
      <c r="F19" s="123"/>
      <c r="G19" s="123"/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R19" s="126"/>
      <c r="S19" s="126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26"/>
      <c r="AF19" s="126"/>
      <c r="AG19" s="126"/>
      <c r="AH19" s="126"/>
      <c r="AI19" s="126"/>
      <c r="AJ19" s="126"/>
      <c r="AK19" s="126"/>
      <c r="AL19" s="126"/>
      <c r="AM19" s="126"/>
      <c r="AN19" s="126"/>
      <c r="AO19" s="126"/>
      <c r="AP19" s="1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</row>
    <row r="20" spans="1:99">
      <c r="A20" s="123">
        <v>1151.136</v>
      </c>
      <c r="B20" s="123">
        <v>0.68469999999999998</v>
      </c>
      <c r="C20" s="162">
        <v>0</v>
      </c>
      <c r="D20" s="123">
        <f t="shared" si="0"/>
        <v>788.18281919999993</v>
      </c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6"/>
      <c r="S20" s="126"/>
      <c r="T20" s="126"/>
      <c r="U20" s="126"/>
      <c r="V20" s="126"/>
      <c r="W20" s="126"/>
      <c r="X20" s="126"/>
      <c r="Y20" s="126"/>
      <c r="Z20" s="126"/>
      <c r="AA20" s="126"/>
      <c r="AB20" s="126"/>
      <c r="AC20" s="126"/>
      <c r="AD20" s="126"/>
      <c r="AE20" s="126"/>
      <c r="AF20" s="126"/>
      <c r="AG20" s="126"/>
      <c r="AH20" s="126"/>
      <c r="AI20" s="126"/>
      <c r="AJ20" s="126"/>
      <c r="AK20" s="126"/>
      <c r="AL20" s="126"/>
      <c r="AM20" s="126"/>
      <c r="AN20" s="126"/>
      <c r="AO20" s="126"/>
      <c r="AP20" s="1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</row>
    <row r="21" spans="1:99">
      <c r="A21" s="123">
        <v>83478.372799999997</v>
      </c>
      <c r="B21" s="123">
        <v>0.68469999999999998</v>
      </c>
      <c r="C21" s="162">
        <v>0</v>
      </c>
      <c r="D21" s="123">
        <f t="shared" si="0"/>
        <v>57157.641856159993</v>
      </c>
      <c r="E21" s="123"/>
      <c r="F21" s="123"/>
      <c r="G21" s="123"/>
      <c r="H21" s="123"/>
      <c r="I21" s="123"/>
      <c r="J21" s="123"/>
      <c r="K21" s="123"/>
      <c r="L21" s="123"/>
      <c r="M21" s="123"/>
      <c r="N21" s="123"/>
      <c r="O21" s="123"/>
      <c r="P21" s="123"/>
      <c r="Q21" s="123"/>
      <c r="R21" s="126"/>
      <c r="S21" s="126"/>
      <c r="T21" s="126"/>
      <c r="U21" s="126"/>
      <c r="V21" s="126"/>
      <c r="W21" s="126"/>
      <c r="X21" s="126"/>
      <c r="Y21" s="126"/>
      <c r="Z21" s="126"/>
      <c r="AA21" s="126"/>
      <c r="AB21" s="126"/>
      <c r="AC21" s="126"/>
      <c r="AD21" s="126"/>
      <c r="AE21" s="126"/>
      <c r="AF21" s="126"/>
      <c r="AG21" s="126"/>
      <c r="AH21" s="126"/>
      <c r="AI21" s="126"/>
      <c r="AJ21" s="126"/>
      <c r="AK21" s="126"/>
      <c r="AL21" s="126"/>
      <c r="AM21" s="126"/>
      <c r="AN21" s="126"/>
      <c r="AO21" s="126"/>
      <c r="AP21" s="1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</row>
    <row r="22" spans="1:99">
      <c r="A22" s="123">
        <v>87216.858032629694</v>
      </c>
      <c r="B22" s="123">
        <v>0.68469999999999998</v>
      </c>
      <c r="C22" s="162">
        <v>0</v>
      </c>
      <c r="D22" s="123">
        <f t="shared" si="0"/>
        <v>59717.382694941552</v>
      </c>
      <c r="E22" s="123"/>
      <c r="F22" s="123"/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3"/>
      <c r="R22" s="126"/>
      <c r="S22" s="126"/>
      <c r="T22" s="126"/>
      <c r="U22" s="126"/>
      <c r="V22" s="126"/>
      <c r="W22" s="126"/>
      <c r="X22" s="126"/>
      <c r="Y22" s="126"/>
      <c r="Z22" s="126"/>
      <c r="AA22" s="126"/>
      <c r="AB22" s="126"/>
      <c r="AC22" s="126"/>
      <c r="AD22" s="126"/>
      <c r="AE22" s="126"/>
      <c r="AF22" s="126"/>
      <c r="AG22" s="126"/>
      <c r="AH22" s="126"/>
      <c r="AI22" s="126"/>
      <c r="AJ22" s="126"/>
      <c r="AK22" s="126"/>
      <c r="AL22" s="126"/>
      <c r="AM22" s="126"/>
      <c r="AN22" s="126"/>
      <c r="AO22" s="126"/>
      <c r="AP22" s="1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</row>
    <row r="23" spans="1:99">
      <c r="A23" s="123">
        <v>0</v>
      </c>
      <c r="B23" s="123">
        <v>0</v>
      </c>
      <c r="C23" s="162">
        <v>0</v>
      </c>
      <c r="D23" s="123">
        <f t="shared" si="0"/>
        <v>0</v>
      </c>
      <c r="E23" s="123"/>
      <c r="F23" s="123"/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6"/>
      <c r="S23" s="126"/>
      <c r="T23" s="126"/>
      <c r="U23" s="126"/>
      <c r="V23" s="126"/>
      <c r="W23" s="126"/>
      <c r="X23" s="126"/>
      <c r="Y23" s="126"/>
      <c r="Z23" s="126"/>
      <c r="AA23" s="126"/>
      <c r="AB23" s="126"/>
      <c r="AC23" s="126"/>
      <c r="AD23" s="126"/>
      <c r="AE23" s="126"/>
      <c r="AF23" s="126"/>
      <c r="AG23" s="126"/>
      <c r="AH23" s="126"/>
      <c r="AI23" s="126"/>
      <c r="AJ23" s="126"/>
      <c r="AK23" s="126"/>
      <c r="AL23" s="126"/>
      <c r="AM23" s="126"/>
      <c r="AN23" s="126"/>
      <c r="AO23" s="126"/>
      <c r="AP23" s="1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</row>
    <row r="24" spans="1:99">
      <c r="A24" s="123">
        <v>7011</v>
      </c>
      <c r="B24" s="123">
        <v>0</v>
      </c>
      <c r="C24" s="162">
        <v>0</v>
      </c>
      <c r="D24" s="123">
        <f t="shared" si="0"/>
        <v>0</v>
      </c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3"/>
      <c r="R24" s="126"/>
      <c r="S24" s="126"/>
      <c r="T24" s="126"/>
      <c r="U24" s="126"/>
      <c r="V24" s="126"/>
      <c r="W24" s="126"/>
      <c r="X24" s="126"/>
      <c r="Y24" s="126"/>
      <c r="Z24" s="126"/>
      <c r="AA24" s="126"/>
      <c r="AB24" s="126"/>
      <c r="AC24" s="126"/>
      <c r="AD24" s="126"/>
      <c r="AE24" s="126"/>
      <c r="AF24" s="126"/>
      <c r="AG24" s="126"/>
      <c r="AH24" s="126"/>
      <c r="AI24" s="126"/>
      <c r="AJ24" s="126"/>
      <c r="AK24" s="126"/>
      <c r="AL24" s="126"/>
      <c r="AM24" s="126"/>
      <c r="AN24" s="126"/>
      <c r="AO24" s="126"/>
      <c r="AP24" s="1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</row>
    <row r="25" spans="1:99">
      <c r="A25" s="123">
        <v>132145.06614698429</v>
      </c>
      <c r="B25" s="123">
        <v>0.64849999999999997</v>
      </c>
      <c r="C25" s="162">
        <v>1</v>
      </c>
      <c r="D25" s="123">
        <f t="shared" si="0"/>
        <v>85696.075396319313</v>
      </c>
      <c r="E25" s="123"/>
      <c r="F25" s="123"/>
      <c r="G25" s="123"/>
      <c r="H25" s="123"/>
      <c r="I25" s="123"/>
      <c r="J25" s="123"/>
      <c r="K25" s="123"/>
      <c r="L25" s="123"/>
      <c r="M25" s="123"/>
      <c r="N25" s="123"/>
      <c r="O25" s="123"/>
      <c r="P25" s="123"/>
      <c r="Q25" s="123"/>
      <c r="R25" s="126"/>
      <c r="S25" s="126"/>
      <c r="T25" s="126"/>
      <c r="U25" s="126"/>
      <c r="V25" s="126"/>
      <c r="W25" s="126"/>
      <c r="X25" s="126"/>
      <c r="Y25" s="126"/>
      <c r="Z25" s="126"/>
      <c r="AA25" s="126"/>
      <c r="AB25" s="126"/>
      <c r="AC25" s="126"/>
      <c r="AD25" s="126"/>
      <c r="AE25" s="126"/>
      <c r="AF25" s="126"/>
      <c r="AG25" s="126"/>
      <c r="AH25" s="126"/>
      <c r="AI25" s="126"/>
      <c r="AJ25" s="126"/>
      <c r="AK25" s="126"/>
      <c r="AL25" s="126"/>
      <c r="AM25" s="126"/>
      <c r="AN25" s="126"/>
      <c r="AO25" s="126"/>
      <c r="AP25" s="1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</row>
    <row r="26" spans="1:99">
      <c r="A26" s="123">
        <v>11983.055953228601</v>
      </c>
      <c r="B26" s="123">
        <v>0.64359999999999995</v>
      </c>
      <c r="C26" s="162">
        <v>1</v>
      </c>
      <c r="D26" s="123">
        <f t="shared" si="0"/>
        <v>7712.2948114979272</v>
      </c>
      <c r="E26" s="123"/>
      <c r="F26" s="123"/>
      <c r="G26" s="123"/>
      <c r="H26" s="123"/>
      <c r="I26" s="123"/>
      <c r="J26" s="123"/>
      <c r="K26" s="123"/>
      <c r="L26" s="123"/>
      <c r="M26" s="123"/>
      <c r="N26" s="123"/>
      <c r="O26" s="123"/>
      <c r="P26" s="123"/>
      <c r="Q26" s="123"/>
      <c r="R26" s="126"/>
      <c r="S26" s="126"/>
      <c r="T26" s="126"/>
      <c r="U26" s="126"/>
      <c r="V26" s="126"/>
      <c r="W26" s="126"/>
      <c r="X26" s="126"/>
      <c r="Y26" s="126"/>
      <c r="Z26" s="126"/>
      <c r="AA26" s="126"/>
      <c r="AB26" s="126"/>
      <c r="AC26" s="126"/>
      <c r="AD26" s="126"/>
      <c r="AE26" s="126"/>
      <c r="AF26" s="126"/>
      <c r="AG26" s="126"/>
      <c r="AH26" s="126"/>
      <c r="AI26" s="126"/>
      <c r="AJ26" s="126"/>
      <c r="AK26" s="126"/>
      <c r="AL26" s="126"/>
      <c r="AM26" s="126"/>
      <c r="AN26" s="126"/>
      <c r="AO26" s="126"/>
      <c r="AP26" s="1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</row>
    <row r="27" spans="1:99">
      <c r="A27" s="123">
        <v>13097.735953228599</v>
      </c>
      <c r="B27" s="123">
        <v>0</v>
      </c>
      <c r="C27" s="162">
        <v>1</v>
      </c>
      <c r="D27" s="123">
        <f t="shared" si="0"/>
        <v>0</v>
      </c>
      <c r="E27" s="123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6"/>
      <c r="S27" s="126"/>
      <c r="T27" s="126"/>
      <c r="U27" s="126"/>
      <c r="V27" s="126"/>
      <c r="W27" s="126"/>
      <c r="X27" s="126"/>
      <c r="Y27" s="126"/>
      <c r="Z27" s="126"/>
      <c r="AA27" s="126"/>
      <c r="AB27" s="126"/>
      <c r="AC27" s="126"/>
      <c r="AD27" s="126"/>
      <c r="AE27" s="126"/>
      <c r="AF27" s="126"/>
      <c r="AG27" s="126"/>
      <c r="AH27" s="126"/>
      <c r="AI27" s="126"/>
      <c r="AJ27" s="126"/>
      <c r="AK27" s="126"/>
      <c r="AL27" s="126"/>
      <c r="AM27" s="126"/>
      <c r="AN27" s="126"/>
      <c r="AO27" s="126"/>
      <c r="AP27" s="1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</row>
    <row r="28" spans="1:99">
      <c r="A28" s="123">
        <v>1189.3055953229</v>
      </c>
      <c r="B28" s="123">
        <v>0.64359999999999995</v>
      </c>
      <c r="C28" s="162">
        <v>1</v>
      </c>
      <c r="D28" s="123">
        <f t="shared" si="0"/>
        <v>765.43708114981837</v>
      </c>
      <c r="E28" s="123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6"/>
      <c r="S28" s="126"/>
      <c r="T28" s="126"/>
      <c r="U28" s="126"/>
      <c r="V28" s="126"/>
      <c r="W28" s="126"/>
      <c r="X28" s="126"/>
      <c r="Y28" s="126"/>
      <c r="Z28" s="126"/>
      <c r="AA28" s="126"/>
      <c r="AB28" s="126"/>
      <c r="AC28" s="126"/>
      <c r="AD28" s="126"/>
      <c r="AE28" s="126"/>
      <c r="AF28" s="126"/>
      <c r="AG28" s="126"/>
      <c r="AH28" s="126"/>
      <c r="AI28" s="126"/>
      <c r="AJ28" s="126"/>
      <c r="AK28" s="126"/>
      <c r="AL28" s="126"/>
      <c r="AM28" s="126"/>
      <c r="AN28" s="126"/>
      <c r="AO28" s="126"/>
      <c r="AP28" s="1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</row>
    <row r="29" spans="1:99">
      <c r="A29" s="123">
        <v>1189.3055953229</v>
      </c>
      <c r="B29" s="123">
        <v>0.65410000000000001</v>
      </c>
      <c r="C29" s="162">
        <v>0</v>
      </c>
      <c r="D29" s="123">
        <f t="shared" si="0"/>
        <v>777.9247899007089</v>
      </c>
      <c r="E29" s="123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6"/>
      <c r="S29" s="126"/>
      <c r="T29" s="126"/>
      <c r="U29" s="126"/>
      <c r="V29" s="126"/>
      <c r="W29" s="126"/>
      <c r="X29" s="126"/>
      <c r="Y29" s="126"/>
      <c r="Z29" s="126"/>
      <c r="AA29" s="126"/>
      <c r="AB29" s="126"/>
      <c r="AC29" s="126"/>
      <c r="AD29" s="126"/>
      <c r="AE29" s="126"/>
      <c r="AF29" s="126"/>
      <c r="AG29" s="126"/>
      <c r="AH29" s="126"/>
      <c r="AI29" s="126"/>
      <c r="AJ29" s="126"/>
      <c r="AK29" s="126"/>
      <c r="AL29" s="126"/>
      <c r="AM29" s="126"/>
      <c r="AN29" s="126"/>
      <c r="AO29" s="126"/>
      <c r="AP29" s="1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</row>
    <row r="30" spans="1:99">
      <c r="A30" s="123">
        <v>1000</v>
      </c>
      <c r="B30" s="123">
        <v>0</v>
      </c>
      <c r="C30" s="162">
        <v>0</v>
      </c>
      <c r="D30" s="123">
        <f t="shared" si="0"/>
        <v>0</v>
      </c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7"/>
      <c r="S30" s="127"/>
      <c r="T30" s="127"/>
      <c r="U30" s="127"/>
      <c r="V30" s="127"/>
      <c r="W30" s="127"/>
      <c r="X30" s="127"/>
      <c r="Y30" s="127"/>
      <c r="Z30" s="127"/>
      <c r="AA30" s="126"/>
      <c r="AB30" s="127"/>
      <c r="AC30" s="126"/>
      <c r="AD30" s="126"/>
      <c r="AE30" s="127"/>
      <c r="AF30" s="127"/>
      <c r="AG30" s="127"/>
      <c r="AH30" s="127"/>
      <c r="AI30" s="127"/>
      <c r="AJ30" s="127"/>
      <c r="AK30" s="128"/>
      <c r="AL30" s="51"/>
      <c r="AM30" s="51"/>
      <c r="AN30" s="44"/>
      <c r="AO30" s="44"/>
      <c r="AP30" s="44"/>
      <c r="BE30"/>
      <c r="BF30"/>
      <c r="CN30" s="46"/>
      <c r="CO30" s="46"/>
    </row>
    <row r="31" spans="1:99">
      <c r="A31" s="123">
        <v>3287.8954015671002</v>
      </c>
      <c r="B31" s="123">
        <v>0.64359999999999995</v>
      </c>
      <c r="C31" s="162">
        <v>0</v>
      </c>
      <c r="D31" s="123">
        <f t="shared" si="0"/>
        <v>2116.0894804485856</v>
      </c>
      <c r="E31" s="123"/>
      <c r="F31" s="123"/>
      <c r="G31" s="123"/>
      <c r="H31" s="123"/>
      <c r="I31" s="123"/>
      <c r="J31" s="123"/>
      <c r="K31" s="123"/>
      <c r="L31" s="123"/>
      <c r="M31" s="123"/>
      <c r="N31" s="123"/>
      <c r="O31" s="123"/>
      <c r="P31" s="123"/>
      <c r="Q31" s="123"/>
      <c r="R31" s="126"/>
      <c r="S31" s="126"/>
      <c r="T31" s="126"/>
      <c r="U31" s="127"/>
      <c r="V31" s="127"/>
      <c r="W31" s="127"/>
      <c r="X31" s="127"/>
      <c r="Y31" s="127"/>
      <c r="Z31" s="127"/>
      <c r="AA31" s="126"/>
      <c r="AB31" s="127"/>
      <c r="AC31" s="126"/>
      <c r="AD31" s="126"/>
      <c r="AE31" s="127"/>
      <c r="AF31" s="127"/>
      <c r="AG31" s="127"/>
      <c r="AH31" s="127"/>
      <c r="AI31" s="127"/>
      <c r="AJ31" s="127"/>
      <c r="AK31" s="128"/>
      <c r="AL31" s="51"/>
      <c r="AM31" s="51"/>
      <c r="AN31" s="44"/>
      <c r="AO31" s="44"/>
      <c r="AP31" s="44"/>
      <c r="BE31"/>
      <c r="BF31"/>
      <c r="CN31" s="46"/>
      <c r="CO31" s="46"/>
    </row>
    <row r="32" spans="1:99">
      <c r="A32" s="123">
        <v>123260.6</v>
      </c>
      <c r="B32" s="123">
        <v>0.65410000000000001</v>
      </c>
      <c r="C32" s="162">
        <v>0</v>
      </c>
      <c r="D32" s="123">
        <f t="shared" si="0"/>
        <v>80624.758460000012</v>
      </c>
      <c r="E32" s="123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6"/>
      <c r="S32" s="126"/>
      <c r="T32" s="126"/>
      <c r="U32" s="126"/>
      <c r="V32" s="126"/>
      <c r="W32" s="126"/>
      <c r="X32" s="126"/>
      <c r="Y32" s="127"/>
      <c r="Z32" s="126"/>
      <c r="AA32" s="126"/>
      <c r="AB32" s="126"/>
      <c r="AC32" s="126"/>
      <c r="AD32" s="126"/>
      <c r="AE32" s="126"/>
      <c r="AF32" s="126"/>
      <c r="AG32" s="126"/>
      <c r="AH32" s="126"/>
      <c r="AI32" s="126"/>
      <c r="AJ32" s="127"/>
      <c r="AK32" s="128"/>
      <c r="AL32" s="51"/>
      <c r="AM32" s="51"/>
      <c r="AN32" s="44"/>
      <c r="AO32" s="44"/>
      <c r="AP32" s="44"/>
      <c r="BE32"/>
      <c r="BF32"/>
      <c r="CN32" s="46"/>
      <c r="CO32" s="46"/>
    </row>
    <row r="33" spans="1:93">
      <c r="A33" s="123">
        <v>0</v>
      </c>
      <c r="B33" s="123">
        <v>0</v>
      </c>
      <c r="C33" s="162">
        <v>0</v>
      </c>
      <c r="D33" s="123">
        <f t="shared" ref="D33:D60" si="1">A33*B33</f>
        <v>0</v>
      </c>
      <c r="E33" s="123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7"/>
      <c r="S33" s="127"/>
      <c r="T33" s="127"/>
      <c r="U33" s="127"/>
      <c r="V33" s="127"/>
      <c r="W33" s="127"/>
      <c r="X33" s="127"/>
      <c r="Y33" s="127"/>
      <c r="Z33" s="126"/>
      <c r="AA33" s="126"/>
      <c r="AB33" s="127"/>
      <c r="AC33" s="126"/>
      <c r="AD33" s="126"/>
      <c r="AE33" s="127"/>
      <c r="AF33" s="127"/>
      <c r="AG33" s="127"/>
      <c r="AH33" s="127"/>
      <c r="AI33" s="127"/>
      <c r="AJ33" s="127"/>
      <c r="AK33" s="128"/>
      <c r="AL33" s="51"/>
      <c r="AM33" s="51"/>
      <c r="AN33" s="44"/>
      <c r="AO33" s="44"/>
      <c r="AP33" s="44"/>
      <c r="BE33"/>
      <c r="BF33"/>
      <c r="CN33" s="46"/>
      <c r="CO33" s="46"/>
    </row>
    <row r="34" spans="1:93">
      <c r="A34" s="123">
        <v>-3287.8954015671002</v>
      </c>
      <c r="B34" s="123">
        <v>0</v>
      </c>
      <c r="C34" s="162">
        <v>0</v>
      </c>
      <c r="D34" s="123">
        <f t="shared" si="1"/>
        <v>0</v>
      </c>
      <c r="E34" s="123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7"/>
      <c r="S34" s="127"/>
      <c r="T34" s="127"/>
      <c r="U34" s="127"/>
      <c r="V34" s="127"/>
      <c r="W34" s="127"/>
      <c r="X34" s="127"/>
      <c r="Y34" s="127"/>
      <c r="Z34" s="126"/>
      <c r="AA34" s="126"/>
      <c r="AB34" s="127"/>
      <c r="AC34" s="126"/>
      <c r="AD34" s="126"/>
      <c r="AE34" s="127"/>
      <c r="AF34" s="127"/>
      <c r="AG34" s="127"/>
      <c r="AH34" s="127"/>
      <c r="AI34" s="127"/>
      <c r="AJ34" s="127"/>
      <c r="AK34" s="128"/>
      <c r="AL34" s="51"/>
      <c r="AM34" s="51"/>
      <c r="AN34" s="51"/>
      <c r="AO34" s="44"/>
      <c r="AP34" s="44"/>
      <c r="BE34"/>
      <c r="BF34"/>
      <c r="CN34" s="46"/>
      <c r="CO34" s="46"/>
    </row>
    <row r="35" spans="1:93">
      <c r="A35" s="123">
        <v>4312.5021039050998</v>
      </c>
      <c r="B35" s="123">
        <v>0.65410000000000001</v>
      </c>
      <c r="C35" s="162">
        <v>0</v>
      </c>
      <c r="D35" s="123">
        <f t="shared" si="1"/>
        <v>2820.8076261643259</v>
      </c>
      <c r="E35" s="123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7"/>
      <c r="S35" s="127"/>
      <c r="T35" s="127"/>
      <c r="U35" s="127"/>
      <c r="V35" s="127"/>
      <c r="W35" s="127"/>
      <c r="X35" s="127"/>
      <c r="Y35" s="127"/>
      <c r="Z35" s="126"/>
      <c r="AA35" s="126"/>
      <c r="AB35" s="127"/>
      <c r="AC35" s="126"/>
      <c r="AD35" s="126"/>
      <c r="AE35" s="127"/>
      <c r="AF35" s="127"/>
      <c r="AG35" s="127"/>
      <c r="AH35" s="127"/>
      <c r="AI35" s="127"/>
      <c r="AJ35" s="127"/>
      <c r="AK35" s="128"/>
      <c r="AL35" s="51"/>
      <c r="AM35" s="51"/>
      <c r="AN35" s="51"/>
      <c r="AO35" s="44"/>
      <c r="AP35" s="44"/>
      <c r="BE35"/>
      <c r="BF35"/>
      <c r="CN35" s="46"/>
      <c r="CO35" s="46"/>
    </row>
    <row r="36" spans="1:93">
      <c r="A36" s="123">
        <v>-6548.9178960949002</v>
      </c>
      <c r="B36" s="123">
        <v>0</v>
      </c>
      <c r="C36" s="162">
        <v>0</v>
      </c>
      <c r="D36" s="123">
        <f t="shared" si="1"/>
        <v>0</v>
      </c>
      <c r="E36" s="123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7"/>
      <c r="S36" s="127"/>
      <c r="T36" s="127"/>
      <c r="U36" s="127"/>
      <c r="V36" s="127"/>
      <c r="W36" s="127"/>
      <c r="X36" s="127"/>
      <c r="Y36" s="127"/>
      <c r="Z36" s="127"/>
      <c r="AA36" s="127"/>
      <c r="AB36" s="127"/>
      <c r="AC36" s="126"/>
      <c r="AD36" s="126"/>
      <c r="AE36" s="127"/>
      <c r="AF36" s="127"/>
      <c r="AG36" s="127"/>
      <c r="AH36" s="127"/>
      <c r="AI36" s="127"/>
      <c r="AJ36" s="127"/>
      <c r="AK36" s="128"/>
      <c r="AL36" s="51"/>
      <c r="AM36" s="51"/>
      <c r="AN36" s="51"/>
      <c r="AO36" s="44"/>
      <c r="AP36" s="44"/>
      <c r="BE36"/>
      <c r="BF36"/>
      <c r="CN36" s="46"/>
      <c r="CO36" s="46"/>
    </row>
    <row r="37" spans="1:93">
      <c r="A37" s="123">
        <v>108207.245</v>
      </c>
      <c r="B37" s="123">
        <v>0.65410000000000001</v>
      </c>
      <c r="C37" s="162">
        <v>0</v>
      </c>
      <c r="D37" s="123">
        <f t="shared" si="1"/>
        <v>70778.3589545</v>
      </c>
      <c r="E37" s="123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3"/>
      <c r="Q37" s="123"/>
      <c r="R37" s="127"/>
      <c r="S37" s="127"/>
      <c r="T37" s="127"/>
      <c r="U37" s="127"/>
      <c r="V37" s="127"/>
      <c r="W37" s="127"/>
      <c r="X37" s="127"/>
      <c r="Y37" s="127"/>
      <c r="Z37" s="127"/>
      <c r="AA37" s="127"/>
      <c r="AB37" s="127"/>
      <c r="AC37" s="126"/>
      <c r="AD37" s="126"/>
      <c r="AE37" s="127"/>
      <c r="AF37" s="127"/>
      <c r="AG37" s="127"/>
      <c r="AH37" s="127"/>
      <c r="AI37" s="127"/>
      <c r="AJ37" s="127"/>
      <c r="AK37" s="128"/>
      <c r="AL37" s="51"/>
      <c r="AM37" s="51"/>
      <c r="AN37" s="51"/>
      <c r="AO37" s="44"/>
      <c r="AP37" s="44"/>
      <c r="BE37"/>
      <c r="BF37"/>
      <c r="CN37" s="46"/>
      <c r="CO37" s="46"/>
    </row>
    <row r="38" spans="1:93">
      <c r="A38" s="123">
        <v>117765.29459999999</v>
      </c>
      <c r="B38" s="123">
        <v>0.65539999999999998</v>
      </c>
      <c r="C38" s="162">
        <v>0</v>
      </c>
      <c r="D38" s="123">
        <f t="shared" si="1"/>
        <v>77183.374080839989</v>
      </c>
      <c r="E38" s="123"/>
      <c r="F38" s="123"/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6"/>
      <c r="S38" s="126"/>
      <c r="T38" s="126"/>
      <c r="U38" s="126"/>
      <c r="V38" s="126"/>
      <c r="W38" s="126"/>
      <c r="X38" s="126"/>
      <c r="Y38" s="126"/>
      <c r="Z38" s="126"/>
      <c r="AA38" s="126"/>
      <c r="AB38" s="126"/>
      <c r="AC38" s="126"/>
      <c r="AD38" s="126"/>
      <c r="AE38" s="126"/>
      <c r="AF38" s="126"/>
      <c r="AG38" s="126"/>
      <c r="AH38" s="126"/>
      <c r="AI38" s="126"/>
      <c r="AJ38" s="127"/>
      <c r="AK38" s="128"/>
      <c r="AL38" s="51"/>
      <c r="AM38" s="51"/>
      <c r="AN38" s="51"/>
      <c r="AO38" s="44"/>
      <c r="AP38" s="44"/>
      <c r="BE38"/>
      <c r="BF38"/>
      <c r="CN38" s="46"/>
      <c r="CO38" s="46"/>
    </row>
    <row r="39" spans="1:93">
      <c r="A39" s="123">
        <v>0</v>
      </c>
      <c r="B39" s="123">
        <v>0</v>
      </c>
      <c r="C39" s="162">
        <v>0</v>
      </c>
      <c r="D39" s="123">
        <f t="shared" si="1"/>
        <v>0</v>
      </c>
      <c r="E39" s="123"/>
      <c r="F39" s="123"/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6"/>
      <c r="S39" s="126"/>
      <c r="T39" s="126"/>
      <c r="U39" s="126"/>
      <c r="V39" s="126"/>
      <c r="W39" s="126"/>
      <c r="X39" s="126"/>
      <c r="Y39" s="126"/>
      <c r="Z39" s="127"/>
      <c r="AA39" s="126"/>
      <c r="AB39" s="126"/>
      <c r="AC39" s="126"/>
      <c r="AD39" s="126"/>
      <c r="AE39" s="126"/>
      <c r="AF39" s="126"/>
      <c r="AG39" s="126"/>
      <c r="AH39" s="126"/>
      <c r="AI39" s="126"/>
      <c r="AJ39" s="127"/>
      <c r="AK39" s="128"/>
      <c r="AL39" s="51"/>
      <c r="AM39" s="51"/>
      <c r="AN39" s="51"/>
      <c r="AO39" s="44"/>
      <c r="AP39" s="44"/>
      <c r="BE39"/>
      <c r="BF39"/>
      <c r="CN39" s="46"/>
      <c r="CO39" s="46"/>
    </row>
    <row r="40" spans="1:93">
      <c r="A40" s="123">
        <v>1926.6</v>
      </c>
      <c r="B40" s="123">
        <v>0.57999999999999996</v>
      </c>
      <c r="C40" s="162">
        <v>0</v>
      </c>
      <c r="D40" s="123">
        <f t="shared" si="1"/>
        <v>1117.4279999999999</v>
      </c>
      <c r="E40" s="123"/>
      <c r="F40" s="123"/>
      <c r="G40" s="123"/>
      <c r="H40" s="123"/>
      <c r="I40" s="123"/>
      <c r="J40" s="123"/>
      <c r="K40" s="123"/>
      <c r="L40" s="123"/>
      <c r="M40" s="123"/>
      <c r="N40" s="123"/>
      <c r="O40" s="123"/>
      <c r="P40" s="123"/>
      <c r="Q40" s="123"/>
      <c r="R40" s="127"/>
      <c r="S40" s="127"/>
      <c r="T40" s="127"/>
      <c r="U40" s="127"/>
      <c r="V40" s="127"/>
      <c r="W40" s="127"/>
      <c r="X40" s="127"/>
      <c r="Y40" s="127"/>
      <c r="Z40" s="127"/>
      <c r="AA40" s="126"/>
      <c r="AB40" s="127"/>
      <c r="AC40" s="126"/>
      <c r="AD40" s="126"/>
      <c r="AE40" s="127"/>
      <c r="AF40" s="127"/>
      <c r="AG40" s="127"/>
      <c r="AH40" s="127"/>
      <c r="AI40" s="127"/>
      <c r="AJ40" s="127"/>
      <c r="AK40" s="128"/>
      <c r="AL40" s="51"/>
      <c r="AM40" s="51"/>
      <c r="AN40" s="51"/>
      <c r="AO40" s="44"/>
      <c r="AP40" s="44"/>
      <c r="BE40"/>
      <c r="BF40"/>
      <c r="CN40" s="46"/>
      <c r="CO40" s="46"/>
    </row>
    <row r="41" spans="1:93">
      <c r="A41" s="123">
        <v>1541.28</v>
      </c>
      <c r="B41" s="123">
        <v>0.57999999999999996</v>
      </c>
      <c r="C41" s="162">
        <v>1</v>
      </c>
      <c r="D41" s="123">
        <f t="shared" si="1"/>
        <v>893.94239999999991</v>
      </c>
      <c r="E41" s="123"/>
      <c r="F41" s="123"/>
      <c r="G41" s="123"/>
      <c r="H41" s="123"/>
      <c r="I41" s="123"/>
      <c r="J41" s="123"/>
      <c r="K41" s="123"/>
      <c r="L41" s="123"/>
      <c r="M41" s="123"/>
      <c r="N41" s="123"/>
      <c r="O41" s="123"/>
      <c r="P41" s="123"/>
      <c r="Q41" s="123"/>
      <c r="R41" s="127"/>
      <c r="S41" s="127"/>
      <c r="T41" s="127"/>
      <c r="U41" s="127"/>
      <c r="V41" s="127"/>
      <c r="W41" s="127"/>
      <c r="X41" s="127"/>
      <c r="Y41" s="127"/>
      <c r="Z41" s="127"/>
      <c r="AA41" s="126"/>
      <c r="AB41" s="127"/>
      <c r="AC41" s="126"/>
      <c r="AD41" s="126"/>
      <c r="AE41" s="127"/>
      <c r="AF41" s="127"/>
      <c r="AG41" s="127"/>
      <c r="AH41" s="127"/>
      <c r="AI41" s="127"/>
      <c r="AJ41" s="127"/>
      <c r="AK41" s="128"/>
      <c r="AL41" s="51"/>
      <c r="AM41" s="51"/>
      <c r="AN41" s="51"/>
      <c r="AO41" s="44"/>
      <c r="AP41" s="44"/>
      <c r="BE41"/>
      <c r="BF41"/>
      <c r="CN41" s="46"/>
      <c r="CO41" s="46"/>
    </row>
    <row r="42" spans="1:93">
      <c r="A42" s="123">
        <v>385.32</v>
      </c>
      <c r="B42" s="123">
        <v>0.60029999999999994</v>
      </c>
      <c r="C42" s="162">
        <v>1</v>
      </c>
      <c r="D42" s="123">
        <f t="shared" si="1"/>
        <v>231.30759599999996</v>
      </c>
      <c r="E42" s="123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23"/>
      <c r="Q42" s="123"/>
      <c r="R42" s="127"/>
      <c r="S42" s="127"/>
      <c r="T42" s="127"/>
      <c r="U42" s="127"/>
      <c r="V42" s="127"/>
      <c r="W42" s="127"/>
      <c r="X42" s="127"/>
      <c r="Y42" s="127"/>
      <c r="Z42" s="127"/>
      <c r="AA42" s="126"/>
      <c r="AB42" s="127"/>
      <c r="AC42" s="126"/>
      <c r="AD42" s="126"/>
      <c r="AE42" s="127"/>
      <c r="AF42" s="127"/>
      <c r="AG42" s="127"/>
      <c r="AH42" s="127"/>
      <c r="AI42" s="127"/>
      <c r="AJ42" s="127"/>
      <c r="AK42" s="128"/>
      <c r="AL42" s="51"/>
      <c r="AM42" s="51"/>
      <c r="AN42" s="51"/>
      <c r="AO42" s="44"/>
      <c r="AP42" s="44"/>
      <c r="BE42"/>
      <c r="BF42"/>
      <c r="CN42" s="46"/>
      <c r="CO42" s="46"/>
    </row>
    <row r="43" spans="1:93">
      <c r="A43" s="123">
        <v>385.32</v>
      </c>
      <c r="B43" s="123">
        <v>0.60029999999999994</v>
      </c>
      <c r="C43" s="162">
        <v>0</v>
      </c>
      <c r="D43" s="123">
        <f t="shared" si="1"/>
        <v>231.30759599999996</v>
      </c>
      <c r="E43" s="123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7"/>
      <c r="S43" s="127"/>
      <c r="T43" s="127"/>
      <c r="U43" s="127"/>
      <c r="V43" s="127"/>
      <c r="W43" s="127"/>
      <c r="X43" s="127"/>
      <c r="Y43" s="127"/>
      <c r="Z43" s="127"/>
      <c r="AA43" s="126"/>
      <c r="AB43" s="127"/>
      <c r="AC43" s="126"/>
      <c r="AD43" s="126"/>
      <c r="AE43" s="127"/>
      <c r="AF43" s="127"/>
      <c r="AG43" s="127"/>
      <c r="AH43" s="127"/>
      <c r="AI43" s="127"/>
      <c r="AJ43" s="127"/>
      <c r="AK43" s="128"/>
      <c r="AL43" s="51"/>
      <c r="AM43" s="51"/>
      <c r="AN43" s="51"/>
      <c r="AO43" s="44"/>
      <c r="AP43" s="44"/>
      <c r="BE43"/>
      <c r="BF43"/>
      <c r="CN43" s="46"/>
      <c r="CO43" s="46"/>
    </row>
    <row r="44" spans="1:93">
      <c r="A44" s="123">
        <v>0</v>
      </c>
      <c r="B44" s="123">
        <v>0</v>
      </c>
      <c r="C44" s="162">
        <v>1</v>
      </c>
      <c r="D44" s="123">
        <f t="shared" si="1"/>
        <v>0</v>
      </c>
      <c r="E44" s="123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6"/>
      <c r="S44" s="126"/>
      <c r="T44" s="126"/>
      <c r="U44" s="126"/>
      <c r="V44" s="127"/>
      <c r="W44" s="127"/>
      <c r="X44" s="127"/>
      <c r="Y44" s="127"/>
      <c r="Z44" s="127"/>
      <c r="AA44" s="126"/>
      <c r="AB44" s="127"/>
      <c r="AC44" s="127"/>
      <c r="AD44" s="127"/>
      <c r="AE44" s="127"/>
      <c r="AF44" s="127"/>
      <c r="AG44" s="127"/>
      <c r="AH44" s="127"/>
      <c r="AI44" s="127"/>
      <c r="AJ44" s="127"/>
      <c r="AK44" s="128"/>
      <c r="AL44" s="51"/>
      <c r="AM44" s="51"/>
      <c r="AN44" s="51"/>
      <c r="AO44" s="44"/>
      <c r="AP44" s="44"/>
      <c r="BE44"/>
      <c r="BF44"/>
      <c r="CN44" s="46"/>
      <c r="CO44" s="46"/>
    </row>
    <row r="45" spans="1:93" s="109" customFormat="1">
      <c r="A45" s="123">
        <v>0</v>
      </c>
      <c r="B45" s="123">
        <v>0</v>
      </c>
      <c r="C45" s="162">
        <v>1</v>
      </c>
      <c r="D45" s="123">
        <f t="shared" si="1"/>
        <v>0</v>
      </c>
      <c r="E45" s="123"/>
      <c r="F45" s="123"/>
      <c r="G45" s="123"/>
      <c r="H45" s="123"/>
      <c r="I45" s="123"/>
      <c r="J45" s="123"/>
      <c r="K45" s="123"/>
      <c r="L45" s="123"/>
      <c r="M45" s="123"/>
      <c r="N45" s="123"/>
      <c r="O45" s="123"/>
      <c r="P45" s="123"/>
      <c r="Q45" s="123"/>
      <c r="R45" s="126"/>
      <c r="S45" s="126"/>
      <c r="T45" s="126"/>
      <c r="U45" s="126"/>
      <c r="V45" s="126"/>
      <c r="W45" s="126"/>
      <c r="X45" s="126"/>
      <c r="Y45" s="126"/>
      <c r="Z45" s="126"/>
      <c r="AA45" s="126"/>
      <c r="AB45" s="127"/>
      <c r="AC45" s="127"/>
      <c r="AD45" s="127"/>
      <c r="AE45" s="127"/>
      <c r="AF45" s="127"/>
      <c r="AG45" s="127"/>
      <c r="AH45" s="127"/>
      <c r="AI45" s="127"/>
      <c r="AJ45" s="127"/>
      <c r="AK45" s="128"/>
      <c r="AL45" s="51"/>
      <c r="AM45" s="51"/>
      <c r="AN45" s="51"/>
      <c r="AO45" s="44"/>
      <c r="AP45" s="44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</row>
    <row r="46" spans="1:93">
      <c r="A46" s="123">
        <v>0</v>
      </c>
      <c r="B46" s="123">
        <v>0</v>
      </c>
      <c r="C46" s="162">
        <v>1</v>
      </c>
      <c r="D46" s="123">
        <f t="shared" si="1"/>
        <v>0</v>
      </c>
      <c r="E46" s="123"/>
      <c r="F46" s="123"/>
      <c r="G46" s="123"/>
      <c r="H46" s="123"/>
      <c r="I46" s="123"/>
      <c r="J46" s="123"/>
      <c r="K46" s="123"/>
      <c r="L46" s="123"/>
      <c r="M46" s="123"/>
      <c r="N46" s="123"/>
      <c r="O46" s="123"/>
      <c r="P46" s="123"/>
      <c r="Q46" s="123"/>
      <c r="R46" s="126"/>
      <c r="S46" s="126"/>
      <c r="T46" s="126"/>
      <c r="U46" s="126"/>
      <c r="V46" s="126"/>
      <c r="W46" s="126"/>
      <c r="X46" s="126"/>
      <c r="Y46" s="126"/>
      <c r="Z46" s="126"/>
      <c r="AA46" s="126"/>
      <c r="AB46" s="126"/>
      <c r="AC46" s="126"/>
      <c r="AD46" s="126"/>
      <c r="AE46" s="126"/>
      <c r="AF46" s="127"/>
      <c r="AG46" s="127"/>
      <c r="AH46" s="127"/>
      <c r="AI46" s="127"/>
      <c r="AJ46" s="127"/>
      <c r="AK46" s="128"/>
      <c r="AL46" s="51"/>
      <c r="AM46" s="51"/>
      <c r="AN46" s="51"/>
      <c r="AO46" s="44"/>
      <c r="AP46" s="44"/>
      <c r="BE46"/>
      <c r="BF46"/>
      <c r="CN46" s="46"/>
      <c r="CO46" s="46"/>
    </row>
    <row r="47" spans="1:93" s="109" customFormat="1">
      <c r="A47" s="123">
        <v>0</v>
      </c>
      <c r="B47" s="123">
        <v>0.60029999999999994</v>
      </c>
      <c r="C47" s="162">
        <v>0</v>
      </c>
      <c r="D47" s="123">
        <f t="shared" si="1"/>
        <v>0</v>
      </c>
      <c r="E47" s="123"/>
      <c r="F47" s="123"/>
      <c r="G47" s="123"/>
      <c r="H47" s="123"/>
      <c r="I47" s="123"/>
      <c r="J47" s="123"/>
      <c r="K47" s="123"/>
      <c r="L47" s="123"/>
      <c r="M47" s="123"/>
      <c r="N47" s="123"/>
      <c r="O47" s="123"/>
      <c r="P47" s="123"/>
      <c r="Q47" s="123"/>
      <c r="R47" s="126"/>
      <c r="S47" s="126"/>
      <c r="T47" s="126"/>
      <c r="U47" s="126"/>
      <c r="V47" s="126"/>
      <c r="W47" s="126"/>
      <c r="X47" s="126"/>
      <c r="Y47" s="126"/>
      <c r="Z47" s="126"/>
      <c r="AA47" s="126"/>
      <c r="AB47" s="126"/>
      <c r="AC47" s="126"/>
      <c r="AD47" s="126"/>
      <c r="AE47" s="126"/>
      <c r="AF47" s="126"/>
      <c r="AG47" s="126"/>
      <c r="AH47" s="126"/>
      <c r="AI47" s="126"/>
      <c r="AJ47" s="127"/>
      <c r="AK47" s="128"/>
      <c r="AL47" s="51"/>
      <c r="AM47" s="51"/>
      <c r="AN47" s="51"/>
      <c r="AO47" s="44"/>
      <c r="AP47" s="44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/>
      <c r="CA47" s="46"/>
      <c r="CB47" s="46"/>
      <c r="CC47" s="46"/>
      <c r="CD47" s="46"/>
      <c r="CE47" s="46"/>
      <c r="CF47" s="46"/>
      <c r="CG47" s="46"/>
      <c r="CH47" s="46"/>
      <c r="CI47" s="46"/>
      <c r="CJ47" s="46"/>
      <c r="CK47" s="46"/>
      <c r="CL47" s="46"/>
      <c r="CM47" s="46"/>
      <c r="CN47" s="46"/>
      <c r="CO47" s="46"/>
    </row>
    <row r="48" spans="1:93" s="109" customFormat="1">
      <c r="A48" s="123">
        <v>0</v>
      </c>
      <c r="B48" s="123">
        <v>0</v>
      </c>
      <c r="C48" s="162">
        <v>1</v>
      </c>
      <c r="D48" s="123">
        <f t="shared" si="1"/>
        <v>0</v>
      </c>
      <c r="E48" s="123"/>
      <c r="F48" s="123"/>
      <c r="G48" s="123"/>
      <c r="H48" s="123"/>
      <c r="I48" s="123"/>
      <c r="J48" s="123"/>
      <c r="K48" s="123"/>
      <c r="L48" s="123"/>
      <c r="M48" s="123"/>
      <c r="N48" s="123"/>
      <c r="O48" s="123"/>
      <c r="P48" s="123"/>
      <c r="Q48" s="123"/>
      <c r="R48" s="127"/>
      <c r="S48" s="127"/>
      <c r="T48" s="127"/>
      <c r="U48" s="127"/>
      <c r="V48" s="127"/>
      <c r="W48" s="127"/>
      <c r="X48" s="127"/>
      <c r="Y48" s="127"/>
      <c r="Z48" s="127"/>
      <c r="AA48" s="126"/>
      <c r="AB48" s="127"/>
      <c r="AC48" s="127"/>
      <c r="AD48" s="127"/>
      <c r="AE48" s="127"/>
      <c r="AF48" s="127"/>
      <c r="AG48" s="127"/>
      <c r="AH48" s="127"/>
      <c r="AI48" s="127"/>
      <c r="AJ48" s="127"/>
      <c r="AK48" s="128"/>
      <c r="AL48" s="51"/>
      <c r="AM48" s="51"/>
      <c r="AN48" s="51"/>
      <c r="AO48" s="44"/>
      <c r="AP48" s="44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46"/>
      <c r="CB48" s="46"/>
      <c r="CC48" s="46"/>
      <c r="CD48" s="46"/>
      <c r="CE48" s="46"/>
      <c r="CF48" s="46"/>
      <c r="CG48" s="46"/>
      <c r="CH48" s="46"/>
      <c r="CI48" s="46"/>
      <c r="CJ48" s="46"/>
      <c r="CK48" s="46"/>
      <c r="CL48" s="46"/>
      <c r="CM48" s="46"/>
      <c r="CN48" s="46"/>
      <c r="CO48" s="46"/>
    </row>
    <row r="49" spans="1:93" s="109" customFormat="1">
      <c r="A49" s="123">
        <v>10861.42</v>
      </c>
      <c r="B49" s="123">
        <v>0.65410000000000001</v>
      </c>
      <c r="C49" s="162">
        <v>0</v>
      </c>
      <c r="D49" s="123">
        <f t="shared" si="1"/>
        <v>7104.4548220000006</v>
      </c>
      <c r="E49" s="123"/>
      <c r="F49" s="123"/>
      <c r="G49" s="123"/>
      <c r="H49" s="123"/>
      <c r="I49" s="123"/>
      <c r="J49" s="123"/>
      <c r="K49" s="123"/>
      <c r="L49" s="123"/>
      <c r="M49" s="123"/>
      <c r="N49" s="123"/>
      <c r="O49" s="123"/>
      <c r="P49" s="123"/>
      <c r="Q49" s="123"/>
      <c r="R49" s="126"/>
      <c r="S49" s="126"/>
      <c r="T49" s="126"/>
      <c r="U49" s="126"/>
      <c r="V49" s="126"/>
      <c r="W49" s="126"/>
      <c r="X49" s="126"/>
      <c r="Y49" s="127"/>
      <c r="Z49" s="127"/>
      <c r="AA49" s="126"/>
      <c r="AB49" s="127"/>
      <c r="AC49" s="127"/>
      <c r="AD49" s="127"/>
      <c r="AE49" s="127"/>
      <c r="AF49" s="127"/>
      <c r="AG49" s="127"/>
      <c r="AH49" s="127"/>
      <c r="AI49" s="127"/>
      <c r="AJ49" s="127"/>
      <c r="AK49" s="128"/>
      <c r="AL49" s="51"/>
      <c r="AM49" s="51"/>
      <c r="AN49" s="51"/>
      <c r="AO49" s="44"/>
      <c r="AP49" s="44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  <c r="BT49" s="46"/>
      <c r="BU49" s="46"/>
      <c r="BV49" s="46"/>
      <c r="BW49" s="46"/>
      <c r="BX49" s="46"/>
      <c r="BY49" s="46"/>
      <c r="BZ49" s="46"/>
      <c r="CA49" s="46"/>
      <c r="CB49" s="46"/>
      <c r="CC49" s="46"/>
      <c r="CD49" s="46"/>
      <c r="CE49" s="46"/>
      <c r="CF49" s="46"/>
      <c r="CG49" s="46"/>
      <c r="CH49" s="46"/>
      <c r="CI49" s="46"/>
      <c r="CJ49" s="46"/>
      <c r="CK49" s="46"/>
      <c r="CL49" s="46"/>
      <c r="CM49" s="46"/>
      <c r="CN49" s="46"/>
      <c r="CO49" s="46"/>
    </row>
    <row r="50" spans="1:93">
      <c r="A50" s="123">
        <v>1303.3704</v>
      </c>
      <c r="B50" s="123">
        <v>0.65410000000000001</v>
      </c>
      <c r="C50" s="162">
        <v>1</v>
      </c>
      <c r="D50" s="123">
        <f t="shared" si="1"/>
        <v>852.53457864000006</v>
      </c>
      <c r="E50" s="123"/>
      <c r="F50" s="123"/>
      <c r="G50" s="123"/>
      <c r="H50" s="123"/>
      <c r="I50" s="123"/>
      <c r="J50" s="123"/>
      <c r="K50" s="123"/>
      <c r="L50" s="123"/>
      <c r="M50" s="123"/>
      <c r="N50" s="123"/>
      <c r="O50" s="123"/>
      <c r="P50" s="123"/>
      <c r="Q50" s="123"/>
      <c r="R50" s="126"/>
      <c r="S50" s="126"/>
      <c r="T50" s="126"/>
      <c r="U50" s="126"/>
      <c r="V50" s="126"/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6"/>
      <c r="AH50" s="126"/>
      <c r="AI50" s="126"/>
      <c r="AJ50" s="127"/>
      <c r="AK50" s="128"/>
      <c r="AL50" s="51"/>
      <c r="AM50" s="51"/>
      <c r="AN50" s="51"/>
      <c r="AO50" s="44"/>
      <c r="AP50" s="44"/>
      <c r="BE50"/>
      <c r="BF50"/>
      <c r="CN50" s="46"/>
      <c r="CO50" s="46"/>
    </row>
    <row r="51" spans="1:93">
      <c r="A51" s="123">
        <v>0</v>
      </c>
      <c r="B51" s="123">
        <v>0</v>
      </c>
      <c r="C51" s="162">
        <v>0</v>
      </c>
      <c r="D51" s="123">
        <f t="shared" si="1"/>
        <v>0</v>
      </c>
      <c r="E51" s="123"/>
      <c r="F51" s="123"/>
      <c r="G51" s="123"/>
      <c r="H51" s="123"/>
      <c r="I51" s="123"/>
      <c r="J51" s="123"/>
      <c r="K51" s="123"/>
      <c r="L51" s="123"/>
      <c r="M51" s="123"/>
      <c r="N51" s="123"/>
      <c r="O51" s="123"/>
      <c r="P51" s="123"/>
      <c r="Q51" s="123"/>
      <c r="R51" s="126"/>
      <c r="S51" s="126"/>
      <c r="T51" s="126"/>
      <c r="U51" s="126"/>
      <c r="V51" s="126"/>
      <c r="W51" s="127"/>
      <c r="X51" s="126"/>
      <c r="Y51" s="126"/>
      <c r="Z51" s="126"/>
      <c r="AA51" s="126"/>
      <c r="AB51" s="126"/>
      <c r="AC51" s="127"/>
      <c r="AD51" s="126"/>
      <c r="AE51" s="126"/>
      <c r="AF51" s="126"/>
      <c r="AG51" s="126"/>
      <c r="AH51" s="126"/>
      <c r="AI51" s="126"/>
      <c r="AJ51" s="127"/>
      <c r="AK51" s="128"/>
      <c r="AL51" s="51"/>
      <c r="AM51" s="51"/>
      <c r="AN51" s="51"/>
      <c r="AO51" s="44"/>
      <c r="AP51" s="44"/>
      <c r="BE51"/>
      <c r="BF51"/>
      <c r="CN51" s="46"/>
      <c r="CO51" s="46"/>
    </row>
    <row r="52" spans="1:93">
      <c r="A52" s="123">
        <v>9558.0496000000003</v>
      </c>
      <c r="B52" s="123">
        <v>0.65410000000000001</v>
      </c>
      <c r="C52" s="162">
        <v>0</v>
      </c>
      <c r="D52" s="123">
        <f t="shared" si="1"/>
        <v>6251.9202433600003</v>
      </c>
      <c r="E52" s="123"/>
      <c r="F52" s="123"/>
      <c r="G52" s="123"/>
      <c r="H52" s="123"/>
      <c r="I52" s="123"/>
      <c r="J52" s="123"/>
      <c r="K52" s="123"/>
      <c r="L52" s="123"/>
      <c r="M52" s="123"/>
      <c r="N52" s="123"/>
      <c r="O52" s="123"/>
      <c r="P52" s="123"/>
      <c r="Q52" s="123"/>
      <c r="R52" s="127"/>
      <c r="S52" s="127"/>
      <c r="T52" s="127"/>
      <c r="U52" s="127"/>
      <c r="V52" s="127"/>
      <c r="W52" s="127"/>
      <c r="X52" s="127"/>
      <c r="Y52" s="127"/>
      <c r="Z52" s="127"/>
      <c r="AA52" s="126"/>
      <c r="AB52" s="127"/>
      <c r="AC52" s="127"/>
      <c r="AD52" s="127"/>
      <c r="AE52" s="127"/>
      <c r="AF52" s="127"/>
      <c r="AG52" s="127"/>
      <c r="AH52" s="127"/>
      <c r="AI52" s="127"/>
      <c r="AJ52" s="127"/>
      <c r="AK52" s="128"/>
      <c r="AL52" s="51"/>
      <c r="AM52" s="51"/>
      <c r="AN52" s="51"/>
      <c r="AO52" s="44"/>
      <c r="AP52" s="44"/>
      <c r="BE52"/>
      <c r="BF52"/>
      <c r="CN52" s="46"/>
      <c r="CO52" s="46"/>
    </row>
    <row r="53" spans="1:93">
      <c r="A53" s="123">
        <v>0</v>
      </c>
      <c r="B53" s="123">
        <v>0</v>
      </c>
      <c r="C53" s="162">
        <v>0</v>
      </c>
      <c r="D53" s="123">
        <f t="shared" si="1"/>
        <v>0</v>
      </c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7"/>
      <c r="S53" s="127"/>
      <c r="T53" s="127"/>
      <c r="U53" s="127"/>
      <c r="V53" s="127"/>
      <c r="W53" s="127"/>
      <c r="X53" s="127"/>
      <c r="Y53" s="127"/>
      <c r="Z53" s="127"/>
      <c r="AA53" s="126"/>
      <c r="AB53" s="127"/>
      <c r="AC53" s="127"/>
      <c r="AD53" s="127"/>
      <c r="AE53" s="127"/>
      <c r="AF53" s="127"/>
      <c r="AG53" s="127"/>
      <c r="AH53" s="127"/>
      <c r="AI53" s="127"/>
      <c r="AJ53" s="127"/>
      <c r="AK53" s="128"/>
      <c r="AL53" s="51"/>
      <c r="AM53" s="51"/>
      <c r="AN53" s="51"/>
      <c r="AO53" s="44"/>
      <c r="AP53" s="44"/>
      <c r="BE53"/>
      <c r="BF53"/>
      <c r="CN53" s="46"/>
      <c r="CO53" s="46"/>
    </row>
    <row r="54" spans="1:93">
      <c r="A54" s="123">
        <v>0</v>
      </c>
      <c r="B54" s="123">
        <v>0</v>
      </c>
      <c r="C54" s="162">
        <v>0</v>
      </c>
      <c r="D54" s="123">
        <f t="shared" si="1"/>
        <v>0</v>
      </c>
      <c r="E54" s="123"/>
      <c r="F54" s="123"/>
      <c r="G54" s="123"/>
      <c r="H54" s="123"/>
      <c r="I54" s="123"/>
      <c r="J54" s="123"/>
      <c r="K54" s="123"/>
      <c r="L54" s="123"/>
      <c r="M54" s="123"/>
      <c r="N54" s="123"/>
      <c r="O54" s="123"/>
      <c r="P54" s="123"/>
      <c r="Q54" s="123"/>
      <c r="R54" s="127"/>
      <c r="S54" s="127"/>
      <c r="T54" s="127"/>
      <c r="U54" s="127"/>
      <c r="V54" s="127"/>
      <c r="W54" s="127"/>
      <c r="X54" s="127"/>
      <c r="Y54" s="127"/>
      <c r="Z54" s="127"/>
      <c r="AA54" s="126"/>
      <c r="AB54" s="127"/>
      <c r="AC54" s="127"/>
      <c r="AD54" s="127"/>
      <c r="AE54" s="127"/>
      <c r="AF54" s="127"/>
      <c r="AG54" s="127"/>
      <c r="AH54" s="127"/>
      <c r="AI54" s="127"/>
      <c r="AJ54" s="127"/>
      <c r="AK54" s="128"/>
      <c r="AL54" s="51"/>
      <c r="AM54" s="51"/>
      <c r="AN54" s="51"/>
      <c r="AO54" s="44"/>
      <c r="AP54" s="44"/>
      <c r="BE54"/>
      <c r="BF54"/>
      <c r="CN54" s="46"/>
      <c r="CO54" s="46"/>
    </row>
    <row r="55" spans="1:93">
      <c r="A55" s="123">
        <v>1688.6904</v>
      </c>
      <c r="B55" s="123">
        <v>0.64180000000000004</v>
      </c>
      <c r="C55" s="162">
        <v>0</v>
      </c>
      <c r="D55" s="123">
        <f t="shared" si="1"/>
        <v>1083.8014987199999</v>
      </c>
      <c r="E55" s="123"/>
      <c r="F55" s="123"/>
      <c r="G55" s="123"/>
      <c r="H55" s="123"/>
      <c r="I55" s="123"/>
      <c r="J55" s="123"/>
      <c r="K55" s="123"/>
      <c r="L55" s="123"/>
      <c r="M55" s="123"/>
      <c r="N55" s="123"/>
      <c r="O55" s="123"/>
      <c r="P55" s="123"/>
      <c r="Q55" s="123"/>
      <c r="R55" s="126"/>
      <c r="S55" s="126"/>
      <c r="T55" s="126"/>
      <c r="U55" s="126"/>
      <c r="V55" s="126"/>
      <c r="W55" s="126"/>
      <c r="X55" s="126"/>
      <c r="Y55" s="126"/>
      <c r="Z55" s="126"/>
      <c r="AA55" s="126"/>
      <c r="AB55" s="126"/>
      <c r="AC55" s="127"/>
      <c r="AD55" s="127"/>
      <c r="AE55" s="127"/>
      <c r="AF55" s="127"/>
      <c r="AG55" s="127"/>
      <c r="AH55" s="127"/>
      <c r="AI55" s="127"/>
      <c r="AJ55" s="127"/>
      <c r="AK55" s="128"/>
      <c r="AL55" s="51"/>
      <c r="AM55" s="51"/>
      <c r="AN55" s="51"/>
      <c r="AO55" s="44"/>
      <c r="AP55" s="44"/>
      <c r="BE55"/>
      <c r="BF55"/>
      <c r="CN55" s="46"/>
      <c r="CO55" s="46"/>
    </row>
    <row r="56" spans="1:93">
      <c r="A56" s="123">
        <v>0</v>
      </c>
      <c r="B56" s="123">
        <v>0</v>
      </c>
      <c r="C56" s="162">
        <v>0</v>
      </c>
      <c r="D56" s="123">
        <f t="shared" si="1"/>
        <v>0</v>
      </c>
      <c r="E56" s="123"/>
      <c r="F56" s="123"/>
      <c r="G56" s="123"/>
      <c r="H56" s="123"/>
      <c r="I56" s="123"/>
      <c r="J56" s="123"/>
      <c r="K56" s="123"/>
      <c r="L56" s="123"/>
      <c r="M56" s="123"/>
      <c r="N56" s="123"/>
      <c r="O56" s="123"/>
      <c r="P56" s="123"/>
      <c r="Q56" s="123"/>
      <c r="R56" s="127"/>
      <c r="S56" s="127"/>
      <c r="T56" s="127"/>
      <c r="U56" s="127"/>
      <c r="V56" s="127"/>
      <c r="W56" s="127"/>
      <c r="X56" s="127"/>
      <c r="Y56" s="127"/>
      <c r="Z56" s="127"/>
      <c r="AA56" s="126"/>
      <c r="AB56" s="127"/>
      <c r="AC56" s="127"/>
      <c r="AD56" s="127"/>
      <c r="AE56" s="127"/>
      <c r="AF56" s="127"/>
      <c r="AG56" s="127"/>
      <c r="AH56" s="127"/>
      <c r="AI56" s="127"/>
      <c r="AJ56" s="127"/>
      <c r="AK56" s="128"/>
      <c r="AL56" s="51"/>
      <c r="AM56" s="51"/>
      <c r="AN56" s="51"/>
      <c r="AO56" s="44"/>
      <c r="AP56" s="44"/>
      <c r="BE56"/>
      <c r="BF56"/>
      <c r="CN56" s="46"/>
      <c r="CO56" s="46"/>
    </row>
    <row r="57" spans="1:93">
      <c r="A57" s="123">
        <v>11473.344999999999</v>
      </c>
      <c r="B57" s="123">
        <v>0</v>
      </c>
      <c r="C57" s="162">
        <v>0</v>
      </c>
      <c r="D57" s="123">
        <f t="shared" si="1"/>
        <v>0</v>
      </c>
      <c r="E57" s="123"/>
      <c r="F57" s="123"/>
      <c r="G57" s="123"/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127"/>
      <c r="S57" s="127"/>
      <c r="T57" s="127"/>
      <c r="U57" s="127"/>
      <c r="V57" s="127"/>
      <c r="W57" s="127"/>
      <c r="X57" s="127"/>
      <c r="Y57" s="127"/>
      <c r="Z57" s="127"/>
      <c r="AA57" s="126"/>
      <c r="AB57" s="127"/>
      <c r="AC57" s="127"/>
      <c r="AD57" s="127"/>
      <c r="AE57" s="127"/>
      <c r="AF57" s="127"/>
      <c r="AG57" s="127"/>
      <c r="AH57" s="127"/>
      <c r="AI57" s="127"/>
      <c r="AJ57" s="127"/>
      <c r="AK57" s="128"/>
      <c r="AL57" s="51"/>
      <c r="AM57" s="51"/>
      <c r="AN57" s="51"/>
      <c r="AO57" s="44"/>
      <c r="AP57" s="44"/>
      <c r="BE57"/>
      <c r="BF57"/>
      <c r="CN57" s="46"/>
      <c r="CO57" s="46"/>
    </row>
    <row r="58" spans="1:93">
      <c r="A58" s="123">
        <v>0</v>
      </c>
      <c r="B58" s="123">
        <v>0</v>
      </c>
      <c r="C58" s="162">
        <v>1</v>
      </c>
      <c r="D58" s="123">
        <f t="shared" si="1"/>
        <v>0</v>
      </c>
      <c r="E58" s="123"/>
      <c r="F58" s="123"/>
      <c r="G58" s="123"/>
      <c r="H58" s="123"/>
      <c r="I58" s="123"/>
      <c r="J58" s="123"/>
      <c r="K58" s="123"/>
      <c r="L58" s="123"/>
      <c r="M58" s="123"/>
      <c r="N58" s="123"/>
      <c r="O58" s="123"/>
      <c r="P58" s="123"/>
      <c r="Q58" s="123"/>
      <c r="R58" s="127"/>
      <c r="S58" s="127"/>
      <c r="T58" s="127"/>
      <c r="U58" s="127"/>
      <c r="V58" s="127"/>
      <c r="W58" s="127"/>
      <c r="X58" s="127"/>
      <c r="Y58" s="127"/>
      <c r="Z58" s="127"/>
      <c r="AA58" s="126"/>
      <c r="AB58" s="127"/>
      <c r="AC58" s="127"/>
      <c r="AD58" s="127"/>
      <c r="AE58" s="127"/>
      <c r="AF58" s="127"/>
      <c r="AG58" s="127"/>
      <c r="AH58" s="127"/>
      <c r="AI58" s="127"/>
      <c r="AJ58" s="127"/>
      <c r="AK58" s="128"/>
      <c r="AL58" s="51"/>
      <c r="AM58" s="51"/>
      <c r="AN58" s="51"/>
      <c r="AO58" s="44"/>
      <c r="AP58" s="44"/>
      <c r="BE58"/>
      <c r="BF58"/>
      <c r="CN58" s="46"/>
      <c r="CO58" s="46"/>
    </row>
    <row r="59" spans="1:93">
      <c r="A59" s="123">
        <v>0</v>
      </c>
      <c r="B59" s="123">
        <v>0</v>
      </c>
      <c r="C59" s="162">
        <v>0</v>
      </c>
      <c r="D59" s="123">
        <f t="shared" si="1"/>
        <v>0</v>
      </c>
      <c r="E59" s="123"/>
      <c r="F59" s="123"/>
      <c r="G59" s="123"/>
      <c r="H59" s="123"/>
      <c r="I59" s="123"/>
      <c r="J59" s="123"/>
      <c r="K59" s="123"/>
      <c r="L59" s="123"/>
      <c r="M59" s="123"/>
      <c r="N59" s="123"/>
      <c r="O59" s="123"/>
      <c r="P59" s="123"/>
      <c r="Q59" s="123"/>
      <c r="R59" s="127"/>
      <c r="S59" s="127"/>
      <c r="T59" s="127"/>
      <c r="U59" s="127"/>
      <c r="V59" s="127"/>
      <c r="W59" s="127"/>
      <c r="X59" s="127"/>
      <c r="Y59" s="127"/>
      <c r="Z59" s="127"/>
      <c r="AA59" s="126"/>
      <c r="AB59" s="127"/>
      <c r="AC59" s="127"/>
      <c r="AD59" s="127"/>
      <c r="AE59" s="127"/>
      <c r="AF59" s="127"/>
      <c r="AG59" s="127"/>
      <c r="AH59" s="127"/>
      <c r="AI59" s="127"/>
      <c r="AJ59" s="127"/>
      <c r="AK59" s="128"/>
      <c r="AL59" s="51"/>
      <c r="AM59" s="51"/>
      <c r="AN59" s="51"/>
      <c r="AO59" s="44"/>
      <c r="AP59" s="44"/>
      <c r="BE59"/>
      <c r="BF59"/>
      <c r="CN59" s="46"/>
      <c r="CO59" s="46"/>
    </row>
    <row r="60" spans="1:93">
      <c r="A60" s="123">
        <v>0</v>
      </c>
      <c r="B60" s="123">
        <v>0</v>
      </c>
      <c r="C60" s="162">
        <v>0</v>
      </c>
      <c r="D60" s="123">
        <f t="shared" si="1"/>
        <v>0</v>
      </c>
      <c r="E60" s="123"/>
      <c r="F60" s="123"/>
      <c r="G60" s="123"/>
      <c r="H60" s="123"/>
      <c r="I60" s="123"/>
      <c r="J60" s="123"/>
      <c r="K60" s="123"/>
      <c r="L60" s="123"/>
      <c r="M60" s="123"/>
      <c r="N60" s="123"/>
      <c r="O60" s="123"/>
      <c r="P60" s="123"/>
      <c r="Q60" s="123"/>
      <c r="R60" s="127"/>
      <c r="S60" s="127"/>
      <c r="T60" s="127"/>
      <c r="U60" s="127"/>
      <c r="V60" s="127"/>
      <c r="W60" s="127"/>
      <c r="X60" s="127"/>
      <c r="Y60" s="127"/>
      <c r="Z60" s="127"/>
      <c r="AA60" s="126"/>
      <c r="AB60" s="127"/>
      <c r="AC60" s="127"/>
      <c r="AD60" s="127"/>
      <c r="AE60" s="127"/>
      <c r="AF60" s="127"/>
      <c r="AG60" s="127"/>
      <c r="AH60" s="127"/>
      <c r="AI60" s="127"/>
      <c r="AJ60" s="127"/>
      <c r="AK60" s="128"/>
      <c r="AL60" s="51"/>
      <c r="AM60" s="51"/>
      <c r="AN60" s="51"/>
      <c r="AO60" s="44"/>
      <c r="AP60" s="44"/>
      <c r="BE60"/>
      <c r="BF60"/>
      <c r="CN60" s="46"/>
      <c r="CO60" s="46"/>
    </row>
    <row r="61" spans="1:93" s="109" customFormat="1">
      <c r="A61" s="123"/>
      <c r="B61" s="123"/>
      <c r="C61" s="123"/>
      <c r="D61" s="123"/>
      <c r="E61" s="123"/>
      <c r="F61" s="123"/>
      <c r="G61" s="123"/>
      <c r="H61" s="123"/>
      <c r="I61" s="123"/>
      <c r="J61" s="123"/>
      <c r="K61" s="123"/>
      <c r="L61" s="123"/>
      <c r="M61" s="123"/>
      <c r="N61" s="123"/>
      <c r="O61" s="123"/>
      <c r="P61" s="123"/>
      <c r="Q61" s="123"/>
      <c r="R61" s="127"/>
      <c r="S61" s="127"/>
      <c r="T61" s="127"/>
      <c r="U61" s="127"/>
      <c r="V61" s="127"/>
      <c r="W61" s="127"/>
      <c r="X61" s="127"/>
      <c r="Y61" s="127"/>
      <c r="Z61" s="127"/>
      <c r="AA61" s="126"/>
      <c r="AB61" s="127"/>
      <c r="AC61" s="127"/>
      <c r="AD61" s="127"/>
      <c r="AE61" s="127"/>
      <c r="AF61" s="127"/>
      <c r="AG61" s="127"/>
      <c r="AH61" s="127"/>
      <c r="AI61" s="127"/>
      <c r="AJ61" s="128"/>
      <c r="AK61" s="128"/>
      <c r="AL61" s="51"/>
      <c r="AM61" s="51"/>
      <c r="AN61" s="51"/>
      <c r="AO61" s="44"/>
      <c r="AP61" s="44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46"/>
      <c r="CB61" s="46"/>
      <c r="CC61" s="46"/>
      <c r="CD61" s="46"/>
      <c r="CE61" s="46"/>
      <c r="CF61" s="46"/>
      <c r="CG61" s="46"/>
      <c r="CH61" s="46"/>
      <c r="CI61" s="46"/>
      <c r="CJ61" s="46"/>
      <c r="CK61" s="46"/>
      <c r="CL61" s="46"/>
      <c r="CM61" s="46"/>
    </row>
    <row r="62" spans="1:93" s="109" customFormat="1">
      <c r="A62" s="123"/>
      <c r="B62" s="123"/>
      <c r="C62" s="123"/>
      <c r="D62" s="123"/>
      <c r="E62" s="123"/>
      <c r="F62" s="123"/>
      <c r="G62" s="123"/>
      <c r="H62" s="123"/>
      <c r="I62" s="123"/>
      <c r="J62" s="123"/>
      <c r="K62" s="123"/>
      <c r="L62" s="123"/>
      <c r="M62" s="123"/>
      <c r="N62" s="123"/>
      <c r="O62" s="123"/>
      <c r="P62" s="123"/>
      <c r="Q62" s="123"/>
      <c r="R62" s="127"/>
      <c r="S62" s="127"/>
      <c r="T62" s="127"/>
      <c r="U62" s="127"/>
      <c r="V62" s="127"/>
      <c r="W62" s="127"/>
      <c r="X62" s="127"/>
      <c r="Y62" s="127"/>
      <c r="Z62" s="127"/>
      <c r="AA62" s="126"/>
      <c r="AB62" s="127"/>
      <c r="AC62" s="127"/>
      <c r="AD62" s="127"/>
      <c r="AE62" s="127"/>
      <c r="AF62" s="127"/>
      <c r="AG62" s="127"/>
      <c r="AH62" s="127"/>
      <c r="AI62" s="127"/>
      <c r="AJ62" s="128"/>
      <c r="AK62" s="128"/>
      <c r="AL62" s="51"/>
      <c r="AM62" s="51"/>
      <c r="AN62" s="51"/>
      <c r="AO62" s="44"/>
      <c r="AP62" s="44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6"/>
      <c r="CE62" s="46"/>
      <c r="CF62" s="46"/>
      <c r="CG62" s="46"/>
      <c r="CH62" s="46"/>
      <c r="CI62" s="46"/>
      <c r="CJ62" s="46"/>
      <c r="CK62" s="46"/>
      <c r="CL62" s="46"/>
      <c r="CM62" s="46"/>
    </row>
    <row r="63" spans="1:93" s="109" customFormat="1">
      <c r="A63" s="123"/>
      <c r="B63" s="123"/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  <c r="N63" s="123"/>
      <c r="O63" s="123"/>
      <c r="P63" s="123"/>
      <c r="Q63" s="123"/>
      <c r="R63" s="44"/>
      <c r="S63" s="44"/>
      <c r="T63" s="44"/>
      <c r="U63" s="44"/>
      <c r="V63" s="44"/>
      <c r="W63" s="44"/>
      <c r="X63" s="44"/>
      <c r="Y63" s="44"/>
      <c r="Z63" s="44"/>
      <c r="AA63" s="126"/>
      <c r="AB63" s="44"/>
      <c r="AC63" s="44"/>
      <c r="AD63" s="44"/>
      <c r="AE63" s="44"/>
      <c r="AF63" s="44"/>
      <c r="AG63" s="44"/>
      <c r="AH63" s="44"/>
      <c r="AI63" s="44"/>
      <c r="AJ63" s="51"/>
      <c r="AK63" s="51"/>
      <c r="AL63" s="51"/>
      <c r="AM63" s="51"/>
      <c r="AN63" s="51"/>
      <c r="AO63" s="44"/>
      <c r="AP63" s="44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46"/>
      <c r="BS63" s="46"/>
      <c r="BT63" s="46"/>
      <c r="BU63" s="46"/>
      <c r="BV63" s="46"/>
      <c r="BW63" s="46"/>
      <c r="BX63" s="46"/>
      <c r="BY63" s="46"/>
      <c r="BZ63" s="46"/>
      <c r="CA63" s="46"/>
      <c r="CB63" s="46"/>
      <c r="CC63" s="46"/>
      <c r="CD63" s="46"/>
      <c r="CE63" s="46"/>
      <c r="CF63" s="46"/>
      <c r="CG63" s="46"/>
      <c r="CH63" s="46"/>
      <c r="CI63" s="46"/>
      <c r="CJ63" s="46"/>
      <c r="CK63" s="46"/>
      <c r="CL63" s="46"/>
      <c r="CM63" s="46"/>
    </row>
    <row r="64" spans="1:93" s="109" customFormat="1">
      <c r="A64" s="123"/>
      <c r="B64" s="123"/>
      <c r="C64" s="123"/>
      <c r="D64" s="123"/>
      <c r="E64" s="123"/>
      <c r="F64" s="123"/>
      <c r="G64" s="123"/>
      <c r="H64" s="123"/>
      <c r="I64" s="123"/>
      <c r="J64" s="123"/>
      <c r="K64" s="123"/>
      <c r="L64" s="123"/>
      <c r="M64" s="123"/>
      <c r="N64" s="123"/>
      <c r="O64" s="123"/>
      <c r="P64" s="123"/>
      <c r="Q64" s="123"/>
      <c r="R64" s="127"/>
      <c r="S64" s="127"/>
      <c r="T64" s="127"/>
      <c r="U64" s="127"/>
      <c r="V64" s="127"/>
      <c r="W64" s="127"/>
      <c r="X64" s="127"/>
      <c r="Y64" s="127"/>
      <c r="Z64" s="127"/>
      <c r="AA64" s="127"/>
      <c r="AB64" s="127"/>
      <c r="AC64" s="127"/>
      <c r="AD64" s="127"/>
      <c r="AE64" s="127"/>
      <c r="AF64" s="127"/>
      <c r="AG64" s="127"/>
      <c r="AH64" s="44"/>
      <c r="AI64" s="51"/>
      <c r="AJ64" s="51"/>
      <c r="AK64" s="51"/>
      <c r="AL64" s="51"/>
      <c r="AM64" s="51"/>
      <c r="AN64" s="51"/>
      <c r="AO64" s="44"/>
      <c r="AP64" s="44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6"/>
      <c r="CC64" s="46"/>
      <c r="CD64" s="46"/>
      <c r="CE64" s="46"/>
      <c r="CF64" s="46"/>
      <c r="CG64" s="46"/>
      <c r="CH64" s="46"/>
      <c r="CI64" s="46"/>
      <c r="CJ64" s="46"/>
      <c r="CK64" s="46"/>
      <c r="CL64" s="46"/>
      <c r="CM64" s="46"/>
    </row>
    <row r="65" spans="1:91" ht="19">
      <c r="A65" s="123"/>
      <c r="B65" s="123"/>
      <c r="C65" s="123"/>
      <c r="D65" s="123"/>
      <c r="E65" s="123"/>
      <c r="F65" s="123"/>
      <c r="G65" s="123"/>
      <c r="H65" s="123"/>
      <c r="I65" s="123"/>
      <c r="J65" s="123"/>
      <c r="K65" s="207"/>
      <c r="L65" s="207"/>
      <c r="M65" s="123"/>
      <c r="N65" s="208" t="s">
        <v>39</v>
      </c>
      <c r="O65" s="208"/>
      <c r="P65" s="208"/>
      <c r="Q65" s="123"/>
      <c r="R65" s="210"/>
      <c r="S65" s="210"/>
      <c r="T65" s="126"/>
      <c r="U65" s="126"/>
      <c r="V65" s="126"/>
      <c r="W65" s="129"/>
      <c r="X65" s="126"/>
      <c r="Y65" s="126"/>
      <c r="Z65" s="126"/>
      <c r="AA65" s="126"/>
      <c r="AB65" s="126"/>
      <c r="AC65" s="130"/>
      <c r="AD65" s="130"/>
      <c r="AE65" s="130"/>
      <c r="AF65" s="128"/>
      <c r="AG65" s="127"/>
      <c r="AH65" s="44"/>
      <c r="AI65" s="51"/>
      <c r="AJ65" s="51"/>
      <c r="AK65" s="51"/>
      <c r="AL65" s="51"/>
      <c r="AM65" s="51"/>
      <c r="AN65" s="51"/>
      <c r="AO65" s="44"/>
      <c r="AP65" s="44"/>
    </row>
    <row r="66" spans="1:91" ht="18.75" customHeight="1">
      <c r="A66" s="123"/>
      <c r="B66" s="123"/>
      <c r="C66" s="123"/>
      <c r="D66" s="123"/>
      <c r="E66" s="123"/>
      <c r="F66" s="123"/>
      <c r="G66" s="123"/>
      <c r="H66" s="123"/>
      <c r="I66" s="123"/>
      <c r="J66" s="123"/>
      <c r="K66" s="131"/>
      <c r="L66" s="131"/>
      <c r="M66" s="123"/>
      <c r="N66" s="131" t="s">
        <v>33</v>
      </c>
      <c r="O66" s="131" t="s">
        <v>9</v>
      </c>
      <c r="P66" s="131" t="s">
        <v>40</v>
      </c>
      <c r="Q66" s="123" t="s">
        <v>145</v>
      </c>
      <c r="R66" s="163"/>
      <c r="S66" s="163"/>
      <c r="T66" s="126"/>
      <c r="U66" s="132"/>
      <c r="V66" s="126"/>
      <c r="W66" s="132"/>
      <c r="X66" s="126"/>
      <c r="Y66" s="126"/>
      <c r="Z66" s="126"/>
      <c r="AA66" s="126"/>
      <c r="AB66" s="133"/>
      <c r="AC66" s="134"/>
      <c r="AD66" s="130"/>
      <c r="AE66" s="130"/>
      <c r="AF66" s="128"/>
      <c r="AG66" s="127"/>
      <c r="AH66" s="44"/>
      <c r="AI66" s="44"/>
      <c r="AJ66" s="44"/>
      <c r="AK66" s="44"/>
      <c r="AL66" s="51"/>
      <c r="AM66" s="51"/>
      <c r="AN66" s="51"/>
      <c r="AO66" s="44"/>
      <c r="AP66" s="44"/>
      <c r="AY66" s="46"/>
      <c r="AZ66" s="46"/>
      <c r="BA66" s="46"/>
      <c r="BB66" s="46"/>
      <c r="BC66" s="46"/>
      <c r="BD66" s="46"/>
      <c r="CH66"/>
      <c r="CI66"/>
      <c r="CJ66"/>
      <c r="CK66"/>
      <c r="CL66"/>
      <c r="CM66"/>
    </row>
    <row r="67" spans="1:91" ht="16">
      <c r="A67" s="123"/>
      <c r="B67" s="123"/>
      <c r="C67" s="123"/>
      <c r="D67" s="123"/>
      <c r="E67" s="123"/>
      <c r="F67" s="123"/>
      <c r="G67" s="123"/>
      <c r="H67" s="123"/>
      <c r="I67" s="123"/>
      <c r="J67" s="123"/>
      <c r="K67" s="135"/>
      <c r="L67" s="136"/>
      <c r="M67" s="123"/>
      <c r="N67" s="123">
        <f>A1</f>
        <v>261455.17020557521</v>
      </c>
      <c r="O67" s="123">
        <f t="shared" ref="O67" si="2">B1</f>
        <v>0.58909999999999996</v>
      </c>
      <c r="P67" s="123">
        <f t="shared" ref="P67:P98" si="3">D1</f>
        <v>154023.24076810436</v>
      </c>
      <c r="Q67" s="164">
        <f>C1</f>
        <v>0</v>
      </c>
      <c r="R67" s="165"/>
      <c r="S67" s="165"/>
      <c r="T67" s="126"/>
      <c r="U67" s="137"/>
      <c r="V67" s="138"/>
      <c r="W67" s="137"/>
      <c r="X67" s="138"/>
      <c r="Y67" s="126"/>
      <c r="Z67" s="126"/>
      <c r="AA67" s="139"/>
      <c r="AB67" s="130"/>
      <c r="AC67" s="130"/>
      <c r="AD67" s="126"/>
      <c r="AE67" s="126"/>
      <c r="AF67" s="128"/>
      <c r="AG67" s="127"/>
      <c r="AH67" s="44"/>
      <c r="AI67" s="44"/>
      <c r="AJ67" s="44"/>
      <c r="AK67" s="44"/>
      <c r="AL67" s="51"/>
      <c r="AM67" s="51"/>
      <c r="AN67" s="51"/>
      <c r="AO67" s="44"/>
      <c r="AP67" s="44"/>
      <c r="AY67" s="46"/>
      <c r="AZ67" s="46"/>
      <c r="BA67" s="46"/>
      <c r="BB67" s="46"/>
      <c r="BC67" s="46"/>
      <c r="BD67" s="46"/>
      <c r="CH67"/>
      <c r="CI67"/>
      <c r="CJ67"/>
      <c r="CK67"/>
      <c r="CL67"/>
      <c r="CM67"/>
    </row>
    <row r="68" spans="1:91" ht="16">
      <c r="A68" s="123"/>
      <c r="B68" s="123"/>
      <c r="C68" s="123"/>
      <c r="D68" s="123"/>
      <c r="E68" s="123"/>
      <c r="F68" s="123"/>
      <c r="G68" s="123"/>
      <c r="H68" s="123"/>
      <c r="I68" s="123"/>
      <c r="J68" s="123"/>
      <c r="K68" s="140"/>
      <c r="L68" s="141"/>
      <c r="M68" s="140"/>
      <c r="N68" s="123">
        <f t="shared" ref="N68:N126" si="4">A2</f>
        <v>11473.344999999999</v>
      </c>
      <c r="O68" s="123">
        <f t="shared" ref="O68:O126" si="5">B2</f>
        <v>0.62939999999999996</v>
      </c>
      <c r="P68" s="123">
        <f t="shared" si="3"/>
        <v>7221.3233429999991</v>
      </c>
      <c r="Q68" s="164">
        <f t="shared" ref="Q68:Q126" si="6">C2</f>
        <v>0</v>
      </c>
      <c r="R68" s="165"/>
      <c r="S68" s="165"/>
      <c r="T68" s="126"/>
      <c r="U68" s="137"/>
      <c r="V68" s="138"/>
      <c r="W68" s="137"/>
      <c r="X68" s="138"/>
      <c r="Y68" s="126"/>
      <c r="Z68" s="126"/>
      <c r="AA68" s="139"/>
      <c r="AB68" s="130"/>
      <c r="AC68" s="130"/>
      <c r="AD68" s="126"/>
      <c r="AE68" s="126"/>
      <c r="AF68" s="128"/>
      <c r="AG68" s="127"/>
      <c r="AH68" s="44"/>
      <c r="AI68" s="44"/>
      <c r="AJ68" s="44"/>
      <c r="AK68" s="44"/>
      <c r="AL68" s="51"/>
      <c r="AM68" s="51"/>
      <c r="AN68" s="51"/>
      <c r="AO68" s="44"/>
      <c r="AP68" s="44"/>
      <c r="AY68" s="46"/>
      <c r="AZ68" s="46"/>
      <c r="BA68" s="46"/>
      <c r="BB68" s="46"/>
      <c r="BC68" s="46"/>
      <c r="BD68" s="46"/>
      <c r="CH68"/>
      <c r="CI68"/>
      <c r="CJ68"/>
      <c r="CK68"/>
      <c r="CL68"/>
      <c r="CM68"/>
    </row>
    <row r="69" spans="1:91" ht="16">
      <c r="A69" s="123"/>
      <c r="B69" s="123"/>
      <c r="C69" s="123"/>
      <c r="D69" s="123"/>
      <c r="E69" s="123"/>
      <c r="F69" s="123"/>
      <c r="G69" s="123"/>
      <c r="H69" s="123"/>
      <c r="I69" s="123"/>
      <c r="J69" s="123"/>
      <c r="K69" s="140"/>
      <c r="L69" s="141"/>
      <c r="M69" s="123"/>
      <c r="N69" s="123">
        <f t="shared" si="4"/>
        <v>249981.82520557521</v>
      </c>
      <c r="O69" s="123">
        <f t="shared" si="5"/>
        <v>0.58720000000000006</v>
      </c>
      <c r="P69" s="123">
        <f t="shared" si="3"/>
        <v>146789.32776071379</v>
      </c>
      <c r="Q69" s="164">
        <f t="shared" si="6"/>
        <v>0</v>
      </c>
      <c r="R69" s="165"/>
      <c r="S69" s="165"/>
      <c r="T69" s="126"/>
      <c r="U69" s="137"/>
      <c r="V69" s="138"/>
      <c r="W69" s="137"/>
      <c r="X69" s="138"/>
      <c r="Y69" s="126"/>
      <c r="Z69" s="126"/>
      <c r="AA69" s="139"/>
      <c r="AB69" s="130"/>
      <c r="AC69" s="130"/>
      <c r="AD69" s="126"/>
      <c r="AE69" s="126"/>
      <c r="AF69" s="128"/>
      <c r="AG69" s="127"/>
      <c r="AH69" s="44"/>
      <c r="AI69" s="44"/>
      <c r="AJ69" s="44"/>
      <c r="AK69" s="44"/>
      <c r="AL69" s="51"/>
      <c r="AM69" s="51"/>
      <c r="AN69" s="51"/>
      <c r="AO69" s="44"/>
      <c r="AP69" s="44"/>
      <c r="AY69" s="46"/>
      <c r="AZ69" s="46"/>
      <c r="BA69" s="46"/>
      <c r="BB69" s="46"/>
      <c r="BC69" s="46"/>
      <c r="BD69" s="46"/>
      <c r="CH69"/>
      <c r="CI69"/>
      <c r="CJ69"/>
      <c r="CK69"/>
      <c r="CL69"/>
      <c r="CM69"/>
    </row>
    <row r="70" spans="1:91" ht="16">
      <c r="A70" s="123"/>
      <c r="B70" s="123"/>
      <c r="C70" s="123"/>
      <c r="D70" s="140"/>
      <c r="E70" s="140"/>
      <c r="F70" s="142"/>
      <c r="G70" s="123"/>
      <c r="H70" s="123"/>
      <c r="I70" s="123"/>
      <c r="J70" s="123"/>
      <c r="K70" s="140"/>
      <c r="L70" s="141"/>
      <c r="M70" s="123"/>
      <c r="N70" s="123">
        <f t="shared" si="4"/>
        <v>-4116.7369201152997</v>
      </c>
      <c r="O70" s="123">
        <f t="shared" si="5"/>
        <v>0.6</v>
      </c>
      <c r="P70" s="123">
        <f t="shared" si="3"/>
        <v>-2470.0421520691798</v>
      </c>
      <c r="Q70" s="164">
        <f t="shared" si="6"/>
        <v>6.2619431891058099E-3</v>
      </c>
      <c r="R70" s="165"/>
      <c r="S70" s="165"/>
      <c r="T70" s="126"/>
      <c r="U70" s="137"/>
      <c r="V70" s="138"/>
      <c r="W70" s="137"/>
      <c r="X70" s="138"/>
      <c r="Y70" s="126"/>
      <c r="Z70" s="126"/>
      <c r="AA70" s="139"/>
      <c r="AB70" s="130"/>
      <c r="AC70" s="130"/>
      <c r="AD70" s="126"/>
      <c r="AE70" s="126"/>
      <c r="AF70" s="128"/>
      <c r="AG70" s="127"/>
      <c r="AH70" s="44"/>
      <c r="AI70" s="44"/>
      <c r="AJ70" s="44"/>
      <c r="AK70" s="44"/>
      <c r="AL70" s="51"/>
      <c r="AM70" s="51"/>
      <c r="AN70" s="51"/>
      <c r="AO70" s="44"/>
      <c r="AP70" s="44"/>
      <c r="AY70" s="46"/>
      <c r="AZ70" s="46"/>
      <c r="BA70" s="46"/>
      <c r="BB70" s="46"/>
      <c r="BC70" s="46"/>
      <c r="BD70" s="46"/>
      <c r="CH70"/>
      <c r="CI70"/>
      <c r="CJ70"/>
      <c r="CK70"/>
      <c r="CL70"/>
      <c r="CM70"/>
    </row>
    <row r="71" spans="1:91" ht="16">
      <c r="A71" s="123"/>
      <c r="B71" s="123"/>
      <c r="C71" s="123"/>
      <c r="D71" s="123"/>
      <c r="E71" s="123"/>
      <c r="F71" s="123"/>
      <c r="G71" s="123"/>
      <c r="H71" s="123"/>
      <c r="I71" s="123"/>
      <c r="J71" s="123"/>
      <c r="K71" s="140"/>
      <c r="L71" s="141"/>
      <c r="M71" s="123"/>
      <c r="N71" s="123">
        <f t="shared" si="4"/>
        <v>254098.5621256904</v>
      </c>
      <c r="O71" s="123">
        <f t="shared" si="5"/>
        <v>0.6</v>
      </c>
      <c r="P71" s="123">
        <f t="shared" si="3"/>
        <v>152459.13727541422</v>
      </c>
      <c r="Q71" s="164">
        <f t="shared" si="6"/>
        <v>1</v>
      </c>
      <c r="R71" s="165"/>
      <c r="S71" s="165"/>
      <c r="T71" s="126"/>
      <c r="U71" s="137"/>
      <c r="V71" s="138"/>
      <c r="W71" s="137"/>
      <c r="X71" s="138"/>
      <c r="Y71" s="126"/>
      <c r="Z71" s="126"/>
      <c r="AA71" s="139"/>
      <c r="AB71" s="130"/>
      <c r="AC71" s="130"/>
      <c r="AD71" s="126"/>
      <c r="AE71" s="126"/>
      <c r="AF71" s="128"/>
      <c r="AG71" s="127"/>
      <c r="AH71" s="44"/>
      <c r="AI71" s="44"/>
      <c r="AJ71" s="44"/>
      <c r="AK71" s="44"/>
      <c r="AL71" s="51"/>
      <c r="AM71" s="51"/>
      <c r="AN71" s="51"/>
      <c r="AO71" s="44"/>
      <c r="AP71" s="44"/>
      <c r="AY71" s="46"/>
      <c r="AZ71" s="46"/>
      <c r="BA71" s="46"/>
      <c r="BB71" s="46"/>
      <c r="BC71" s="46"/>
      <c r="BD71" s="46"/>
      <c r="CH71"/>
      <c r="CI71"/>
      <c r="CJ71"/>
      <c r="CK71"/>
      <c r="CL71"/>
      <c r="CM71"/>
    </row>
    <row r="72" spans="1:91" ht="16">
      <c r="A72" s="123"/>
      <c r="B72" s="123"/>
      <c r="C72" s="123"/>
      <c r="D72" s="140"/>
      <c r="E72" s="140"/>
      <c r="F72" s="142"/>
      <c r="G72" s="123"/>
      <c r="H72" s="123"/>
      <c r="I72" s="123"/>
      <c r="J72" s="123"/>
      <c r="K72" s="140"/>
      <c r="L72" s="141"/>
      <c r="M72" s="123"/>
      <c r="N72" s="123">
        <f t="shared" si="4"/>
        <v>693.98717870610005</v>
      </c>
      <c r="O72" s="123">
        <f t="shared" si="5"/>
        <v>0.6</v>
      </c>
      <c r="P72" s="123">
        <f t="shared" si="3"/>
        <v>416.39230722366</v>
      </c>
      <c r="Q72" s="164">
        <f t="shared" si="6"/>
        <v>0</v>
      </c>
      <c r="R72" s="165"/>
      <c r="S72" s="165"/>
      <c r="T72" s="126"/>
      <c r="U72" s="137"/>
      <c r="V72" s="138"/>
      <c r="W72" s="137"/>
      <c r="X72" s="138"/>
      <c r="Y72" s="126"/>
      <c r="Z72" s="126"/>
      <c r="AA72" s="139"/>
      <c r="AB72" s="130"/>
      <c r="AC72" s="130"/>
      <c r="AD72" s="126"/>
      <c r="AE72" s="126"/>
      <c r="AF72" s="128"/>
      <c r="AG72" s="127"/>
      <c r="AH72" s="44"/>
      <c r="AI72" s="44"/>
      <c r="AJ72" s="44"/>
      <c r="AK72" s="44"/>
      <c r="AL72" s="51"/>
      <c r="AM72" s="51"/>
      <c r="AN72" s="51"/>
      <c r="AO72" s="44"/>
      <c r="AP72" s="44"/>
      <c r="AY72" s="46"/>
      <c r="AZ72" s="46"/>
      <c r="BA72" s="46"/>
      <c r="BB72" s="46"/>
      <c r="BC72" s="46"/>
      <c r="BD72" s="46"/>
      <c r="CH72"/>
      <c r="CI72"/>
      <c r="CJ72"/>
      <c r="CK72"/>
      <c r="CL72"/>
      <c r="CM72"/>
    </row>
    <row r="73" spans="1:91" ht="16">
      <c r="A73" s="123"/>
      <c r="B73" s="123"/>
      <c r="C73" s="140"/>
      <c r="D73" s="123"/>
      <c r="E73" s="123"/>
      <c r="F73" s="123"/>
      <c r="G73" s="123"/>
      <c r="H73" s="123"/>
      <c r="I73" s="123"/>
      <c r="J73" s="123"/>
      <c r="K73" s="140"/>
      <c r="L73" s="141"/>
      <c r="M73" s="123"/>
      <c r="N73" s="123">
        <f t="shared" si="4"/>
        <v>253404.5749469843</v>
      </c>
      <c r="O73" s="123">
        <f t="shared" si="5"/>
        <v>0.6</v>
      </c>
      <c r="P73" s="123">
        <f t="shared" si="3"/>
        <v>152042.74496819059</v>
      </c>
      <c r="Q73" s="164">
        <f t="shared" si="6"/>
        <v>1</v>
      </c>
      <c r="R73" s="165"/>
      <c r="S73" s="165"/>
      <c r="T73" s="126"/>
      <c r="U73" s="137"/>
      <c r="V73" s="138"/>
      <c r="W73" s="137"/>
      <c r="X73" s="138"/>
      <c r="Y73" s="126"/>
      <c r="Z73" s="126"/>
      <c r="AA73" s="139"/>
      <c r="AB73" s="130"/>
      <c r="AC73" s="130"/>
      <c r="AD73" s="126"/>
      <c r="AE73" s="126"/>
      <c r="AF73" s="128"/>
      <c r="AG73" s="127"/>
      <c r="AH73" s="44"/>
      <c r="AI73" s="44"/>
      <c r="AJ73" s="44"/>
      <c r="AK73" s="44"/>
      <c r="AL73" s="51"/>
      <c r="AM73" s="51"/>
      <c r="AN73" s="51"/>
      <c r="AO73" s="44"/>
      <c r="AP73" s="44"/>
      <c r="AY73" s="46"/>
      <c r="AZ73" s="46"/>
      <c r="BA73" s="46"/>
      <c r="BB73" s="46"/>
      <c r="BC73" s="46"/>
      <c r="BD73" s="46"/>
      <c r="CH73"/>
      <c r="CI73"/>
      <c r="CJ73"/>
      <c r="CK73"/>
      <c r="CL73"/>
      <c r="CM73"/>
    </row>
    <row r="74" spans="1:91" ht="16">
      <c r="A74" s="123"/>
      <c r="B74" s="123"/>
      <c r="C74" s="123"/>
      <c r="D74" s="140"/>
      <c r="E74" s="140"/>
      <c r="F74" s="143"/>
      <c r="G74" s="143"/>
      <c r="H74" s="141"/>
      <c r="I74" s="123"/>
      <c r="J74" s="123"/>
      <c r="K74" s="140"/>
      <c r="L74" s="141"/>
      <c r="M74" s="123"/>
      <c r="N74" s="123">
        <f t="shared" si="4"/>
        <v>1500</v>
      </c>
      <c r="O74" s="123">
        <f t="shared" si="5"/>
        <v>0.6</v>
      </c>
      <c r="P74" s="123">
        <f t="shared" si="3"/>
        <v>900</v>
      </c>
      <c r="Q74" s="164">
        <f t="shared" si="6"/>
        <v>0</v>
      </c>
      <c r="R74" s="165"/>
      <c r="S74" s="165"/>
      <c r="T74" s="126"/>
      <c r="U74" s="137"/>
      <c r="V74" s="138"/>
      <c r="W74" s="137"/>
      <c r="X74" s="138"/>
      <c r="Y74" s="126"/>
      <c r="Z74" s="126"/>
      <c r="AA74" s="139"/>
      <c r="AB74" s="130"/>
      <c r="AC74" s="130"/>
      <c r="AD74" s="126"/>
      <c r="AE74" s="126"/>
      <c r="AF74" s="128"/>
      <c r="AG74" s="127"/>
      <c r="AH74" s="44"/>
      <c r="AI74" s="44"/>
      <c r="AJ74" s="44"/>
      <c r="AK74" s="44"/>
      <c r="AL74" s="51"/>
      <c r="AM74" s="51"/>
      <c r="AN74" s="51"/>
      <c r="AO74" s="44"/>
      <c r="AP74" s="44"/>
      <c r="AY74" s="46"/>
      <c r="AZ74" s="46"/>
      <c r="BA74" s="46"/>
      <c r="BB74" s="46"/>
      <c r="BC74" s="46"/>
      <c r="BD74" s="46"/>
      <c r="CH74"/>
      <c r="CI74"/>
      <c r="CJ74"/>
      <c r="CK74"/>
      <c r="CL74"/>
      <c r="CM74"/>
    </row>
    <row r="75" spans="1:91" ht="16">
      <c r="A75" s="123"/>
      <c r="B75" s="123"/>
      <c r="C75" s="123"/>
      <c r="D75" s="123"/>
      <c r="E75" s="123"/>
      <c r="F75" s="123"/>
      <c r="G75" s="123"/>
      <c r="H75" s="123"/>
      <c r="I75" s="123"/>
      <c r="J75" s="123"/>
      <c r="K75" s="140"/>
      <c r="L75" s="141"/>
      <c r="M75" s="123"/>
      <c r="N75" s="123">
        <f t="shared" si="4"/>
        <v>43011</v>
      </c>
      <c r="O75" s="123">
        <f t="shared" si="5"/>
        <v>9.9900000000000003E-2</v>
      </c>
      <c r="P75" s="123">
        <f t="shared" si="3"/>
        <v>4296.7988999999998</v>
      </c>
      <c r="Q75" s="164">
        <f t="shared" si="6"/>
        <v>0</v>
      </c>
      <c r="R75" s="165"/>
      <c r="S75" s="165"/>
      <c r="T75" s="126"/>
      <c r="U75" s="137"/>
      <c r="V75" s="138"/>
      <c r="W75" s="137"/>
      <c r="X75" s="138"/>
      <c r="Y75" s="126"/>
      <c r="Z75" s="126"/>
      <c r="AA75" s="139"/>
      <c r="AB75" s="130"/>
      <c r="AC75" s="130"/>
      <c r="AD75" s="126"/>
      <c r="AE75" s="126"/>
      <c r="AF75" s="128"/>
      <c r="AG75" s="127"/>
      <c r="AH75" s="44"/>
      <c r="AI75" s="44"/>
      <c r="AJ75" s="44"/>
      <c r="AK75" s="44"/>
      <c r="AL75" s="51"/>
      <c r="AM75" s="51"/>
      <c r="AN75" s="51"/>
      <c r="AO75" s="44"/>
      <c r="AP75" s="44"/>
      <c r="AY75" s="46"/>
      <c r="AZ75" s="46"/>
      <c r="BA75" s="46"/>
      <c r="BB75" s="46"/>
      <c r="BC75" s="46"/>
      <c r="BD75" s="46"/>
      <c r="CH75"/>
      <c r="CI75"/>
      <c r="CJ75"/>
      <c r="CK75"/>
      <c r="CL75"/>
      <c r="CM75"/>
    </row>
    <row r="76" spans="1:91" ht="16">
      <c r="A76" s="123"/>
      <c r="B76" s="123"/>
      <c r="C76" s="123"/>
      <c r="D76" s="123"/>
      <c r="E76" s="123"/>
      <c r="F76" s="123"/>
      <c r="G76" s="123"/>
      <c r="H76" s="123"/>
      <c r="I76" s="123"/>
      <c r="J76" s="123"/>
      <c r="K76" s="140"/>
      <c r="L76" s="141"/>
      <c r="M76" s="123"/>
      <c r="N76" s="123">
        <f t="shared" si="4"/>
        <v>208893.5749469843</v>
      </c>
      <c r="O76" s="123">
        <f t="shared" si="5"/>
        <v>0.68630000000000002</v>
      </c>
      <c r="P76" s="123">
        <f t="shared" si="3"/>
        <v>143363.66048611532</v>
      </c>
      <c r="Q76" s="164">
        <f t="shared" si="6"/>
        <v>1</v>
      </c>
      <c r="R76" s="165"/>
      <c r="S76" s="165"/>
      <c r="T76" s="126"/>
      <c r="U76" s="137"/>
      <c r="V76" s="138"/>
      <c r="W76" s="137"/>
      <c r="X76" s="138"/>
      <c r="Y76" s="126"/>
      <c r="Z76" s="126"/>
      <c r="AA76" s="139"/>
      <c r="AB76" s="130"/>
      <c r="AC76" s="130"/>
      <c r="AD76" s="126"/>
      <c r="AE76" s="126"/>
      <c r="AF76" s="128"/>
      <c r="AG76" s="127"/>
      <c r="AH76" s="44"/>
      <c r="AI76" s="44"/>
      <c r="AJ76" s="44"/>
      <c r="AK76" s="44"/>
      <c r="AL76" s="51"/>
      <c r="AM76" s="51"/>
      <c r="AN76" s="51"/>
      <c r="AO76" s="44"/>
      <c r="AP76" s="44"/>
      <c r="AY76" s="46"/>
      <c r="AZ76" s="46"/>
      <c r="BA76" s="46"/>
      <c r="BB76" s="46"/>
      <c r="BC76" s="46"/>
      <c r="BD76" s="46"/>
      <c r="CH76"/>
      <c r="CI76"/>
      <c r="CJ76"/>
      <c r="CK76"/>
      <c r="CL76"/>
      <c r="CM76"/>
    </row>
    <row r="77" spans="1:91" ht="16">
      <c r="A77" s="123"/>
      <c r="B77" s="123"/>
      <c r="C77" s="123"/>
      <c r="D77" s="140"/>
      <c r="E77" s="140"/>
      <c r="F77" s="142"/>
      <c r="G77" s="123"/>
      <c r="H77" s="123"/>
      <c r="I77" s="123"/>
      <c r="J77" s="123"/>
      <c r="K77" s="140"/>
      <c r="L77" s="141"/>
      <c r="M77" s="123"/>
      <c r="N77" s="123">
        <f t="shared" si="4"/>
        <v>-870</v>
      </c>
      <c r="O77" s="123">
        <f t="shared" si="5"/>
        <v>0.68469999999999998</v>
      </c>
      <c r="P77" s="123">
        <f t="shared" si="3"/>
        <v>-595.68899999999996</v>
      </c>
      <c r="Q77" s="164">
        <f t="shared" si="6"/>
        <v>9.8899999999999995E-3</v>
      </c>
      <c r="R77" s="165"/>
      <c r="S77" s="165"/>
      <c r="T77" s="126"/>
      <c r="U77" s="137"/>
      <c r="V77" s="138"/>
      <c r="W77" s="137"/>
      <c r="X77" s="138"/>
      <c r="Y77" s="126"/>
      <c r="Z77" s="126"/>
      <c r="AA77" s="139"/>
      <c r="AB77" s="130"/>
      <c r="AC77" s="130"/>
      <c r="AD77" s="126"/>
      <c r="AE77" s="126"/>
      <c r="AF77" s="128"/>
      <c r="AG77" s="127"/>
      <c r="AH77" s="44"/>
      <c r="AI77" s="44"/>
      <c r="AJ77" s="44"/>
      <c r="AK77" s="44"/>
      <c r="AL77" s="51"/>
      <c r="AM77" s="51"/>
      <c r="AN77" s="51"/>
      <c r="AO77" s="44"/>
      <c r="AP77" s="44"/>
      <c r="AY77" s="46"/>
      <c r="AZ77" s="46"/>
      <c r="BA77" s="46"/>
      <c r="BB77" s="46"/>
      <c r="BC77" s="46"/>
      <c r="BD77" s="46"/>
      <c r="CH77"/>
      <c r="CI77"/>
      <c r="CJ77"/>
      <c r="CK77"/>
      <c r="CL77"/>
      <c r="CM77"/>
    </row>
    <row r="78" spans="1:91" ht="16">
      <c r="A78" s="123"/>
      <c r="B78" s="123"/>
      <c r="C78" s="123"/>
      <c r="D78" s="123"/>
      <c r="E78" s="123"/>
      <c r="F78" s="123"/>
      <c r="G78" s="123"/>
      <c r="H78" s="123"/>
      <c r="I78" s="123"/>
      <c r="J78" s="123"/>
      <c r="K78" s="140"/>
      <c r="L78" s="141"/>
      <c r="M78" s="123"/>
      <c r="N78" s="123">
        <f t="shared" si="4"/>
        <v>0</v>
      </c>
      <c r="O78" s="123">
        <f t="shared" si="5"/>
        <v>0</v>
      </c>
      <c r="P78" s="123">
        <f t="shared" si="3"/>
        <v>0</v>
      </c>
      <c r="Q78" s="164">
        <f t="shared" si="6"/>
        <v>0</v>
      </c>
      <c r="R78" s="165"/>
      <c r="S78" s="165"/>
      <c r="T78" s="126"/>
      <c r="U78" s="137"/>
      <c r="V78" s="138"/>
      <c r="W78" s="137"/>
      <c r="X78" s="138"/>
      <c r="Y78" s="126"/>
      <c r="Z78" s="126"/>
      <c r="AA78" s="139"/>
      <c r="AB78" s="130"/>
      <c r="AC78" s="130"/>
      <c r="AD78" s="126"/>
      <c r="AE78" s="126"/>
      <c r="AF78" s="128"/>
      <c r="AG78" s="127"/>
      <c r="AH78" s="44"/>
      <c r="AI78" s="44"/>
      <c r="AJ78" s="44"/>
      <c r="AK78" s="44"/>
      <c r="AL78" s="51"/>
      <c r="AM78" s="51"/>
      <c r="AN78" s="51"/>
      <c r="AO78" s="44"/>
      <c r="AP78" s="44"/>
      <c r="AY78" s="46"/>
      <c r="AZ78" s="46"/>
      <c r="BA78" s="46"/>
      <c r="BB78" s="46"/>
      <c r="BC78" s="46"/>
      <c r="BD78" s="46"/>
      <c r="CH78"/>
      <c r="CI78"/>
      <c r="CJ78"/>
      <c r="CK78"/>
      <c r="CL78"/>
      <c r="CM78"/>
    </row>
    <row r="79" spans="1:91" ht="16">
      <c r="A79" s="123"/>
      <c r="B79" s="123"/>
      <c r="C79" s="123"/>
      <c r="D79" s="123"/>
      <c r="E79" s="123"/>
      <c r="F79" s="123"/>
      <c r="G79" s="123"/>
      <c r="H79" s="123"/>
      <c r="I79" s="123"/>
      <c r="J79" s="123"/>
      <c r="K79" s="140"/>
      <c r="L79" s="141"/>
      <c r="M79" s="123"/>
      <c r="N79" s="123">
        <f t="shared" si="4"/>
        <v>209763.5749469843</v>
      </c>
      <c r="O79" s="123">
        <f t="shared" si="5"/>
        <v>0.68479999999999996</v>
      </c>
      <c r="P79" s="123">
        <f t="shared" si="3"/>
        <v>143646.09612369485</v>
      </c>
      <c r="Q79" s="164">
        <f t="shared" si="6"/>
        <v>1</v>
      </c>
      <c r="R79" s="165"/>
      <c r="S79" s="165"/>
      <c r="T79" s="126"/>
      <c r="U79" s="137"/>
      <c r="V79" s="138"/>
      <c r="W79" s="137"/>
      <c r="X79" s="138"/>
      <c r="Y79" s="126"/>
      <c r="Z79" s="126"/>
      <c r="AA79" s="139"/>
      <c r="AB79" s="130"/>
      <c r="AC79" s="130"/>
      <c r="AD79" s="126"/>
      <c r="AE79" s="126"/>
      <c r="AF79" s="128"/>
      <c r="AG79" s="127"/>
      <c r="AH79" s="44"/>
      <c r="AI79" s="44"/>
      <c r="AJ79" s="44"/>
      <c r="AK79" s="44"/>
      <c r="AL79" s="51"/>
      <c r="AM79" s="51"/>
      <c r="AN79" s="51"/>
      <c r="AO79" s="44"/>
      <c r="AP79" s="44"/>
      <c r="AY79" s="46"/>
      <c r="AZ79" s="46"/>
      <c r="BA79" s="46"/>
      <c r="BB79" s="46"/>
      <c r="BC79" s="46"/>
      <c r="BD79" s="46"/>
      <c r="CH79"/>
      <c r="CI79"/>
      <c r="CJ79"/>
      <c r="CK79"/>
      <c r="CL79"/>
      <c r="CM79"/>
    </row>
    <row r="80" spans="1:91" ht="16">
      <c r="A80" s="123"/>
      <c r="B80" s="123"/>
      <c r="C80" s="123"/>
      <c r="D80" s="123"/>
      <c r="E80" s="140"/>
      <c r="F80" s="140"/>
      <c r="G80" s="140"/>
      <c r="H80" s="123"/>
      <c r="I80" s="123"/>
      <c r="J80" s="123"/>
      <c r="K80" s="140"/>
      <c r="L80" s="141"/>
      <c r="M80" s="123"/>
      <c r="N80" s="123">
        <f t="shared" si="4"/>
        <v>84629.508799999996</v>
      </c>
      <c r="O80" s="123">
        <f t="shared" si="5"/>
        <v>0.68479999999999996</v>
      </c>
      <c r="P80" s="123">
        <f t="shared" si="3"/>
        <v>57954.287626239995</v>
      </c>
      <c r="Q80" s="164">
        <f t="shared" si="6"/>
        <v>1</v>
      </c>
      <c r="R80" s="165"/>
      <c r="S80" s="165"/>
      <c r="T80" s="126"/>
      <c r="U80" s="137"/>
      <c r="V80" s="138"/>
      <c r="W80" s="137"/>
      <c r="X80" s="138"/>
      <c r="Y80" s="126"/>
      <c r="Z80" s="126"/>
      <c r="AA80" s="139"/>
      <c r="AB80" s="130"/>
      <c r="AC80" s="130"/>
      <c r="AD80" s="126"/>
      <c r="AE80" s="126"/>
      <c r="AF80" s="128"/>
      <c r="AG80" s="127"/>
      <c r="AH80" s="44"/>
      <c r="AI80" s="44"/>
      <c r="AJ80" s="44"/>
      <c r="AK80" s="44"/>
      <c r="AL80" s="51"/>
      <c r="AM80" s="51"/>
      <c r="AN80" s="51"/>
      <c r="AO80" s="44"/>
      <c r="AP80" s="44"/>
      <c r="AY80" s="46"/>
      <c r="AZ80" s="46"/>
      <c r="BA80" s="46"/>
      <c r="BB80" s="46"/>
      <c r="BC80" s="46"/>
      <c r="BD80" s="46"/>
      <c r="CH80"/>
      <c r="CI80"/>
      <c r="CJ80"/>
      <c r="CK80"/>
      <c r="CL80"/>
      <c r="CM80"/>
    </row>
    <row r="81" spans="1:91" ht="16">
      <c r="A81" s="123"/>
      <c r="B81" s="123"/>
      <c r="C81" s="123"/>
      <c r="D81" s="123"/>
      <c r="E81" s="123"/>
      <c r="F81" s="123"/>
      <c r="G81" s="123"/>
      <c r="H81" s="123"/>
      <c r="I81" s="123"/>
      <c r="J81" s="123"/>
      <c r="K81" s="140"/>
      <c r="L81" s="141"/>
      <c r="M81" s="123"/>
      <c r="N81" s="123">
        <f t="shared" si="4"/>
        <v>125134.0661469843</v>
      </c>
      <c r="O81" s="123">
        <f t="shared" si="5"/>
        <v>0.68479999999999996</v>
      </c>
      <c r="P81" s="123">
        <f t="shared" si="3"/>
        <v>85691.80849745484</v>
      </c>
      <c r="Q81" s="164">
        <f t="shared" si="6"/>
        <v>1</v>
      </c>
      <c r="R81" s="165"/>
      <c r="S81" s="165"/>
      <c r="T81" s="126"/>
      <c r="U81" s="137"/>
      <c r="V81" s="138"/>
      <c r="W81" s="137"/>
      <c r="X81" s="138"/>
      <c r="Y81" s="126"/>
      <c r="Z81" s="126"/>
      <c r="AA81" s="139"/>
      <c r="AB81" s="130"/>
      <c r="AC81" s="130"/>
      <c r="AD81" s="126"/>
      <c r="AE81" s="126"/>
      <c r="AF81" s="128"/>
      <c r="AG81" s="127"/>
      <c r="AH81" s="44"/>
      <c r="AI81" s="44"/>
      <c r="AJ81" s="44"/>
      <c r="AK81" s="44"/>
      <c r="AL81" s="51"/>
      <c r="AM81" s="51"/>
      <c r="AN81" s="51"/>
      <c r="AO81" s="44"/>
      <c r="AP81" s="44"/>
      <c r="AY81" s="46"/>
      <c r="AZ81" s="46"/>
      <c r="BA81" s="46"/>
      <c r="BB81" s="46"/>
      <c r="BC81" s="46"/>
      <c r="BD81" s="46"/>
      <c r="CH81"/>
      <c r="CI81"/>
      <c r="CJ81"/>
      <c r="CK81"/>
      <c r="CL81"/>
      <c r="CM81"/>
    </row>
    <row r="82" spans="1:91" ht="16">
      <c r="A82" s="123"/>
      <c r="B82" s="123"/>
      <c r="C82" s="123"/>
      <c r="D82" s="140"/>
      <c r="E82" s="123"/>
      <c r="F82" s="123"/>
      <c r="G82" s="123"/>
      <c r="H82" s="123"/>
      <c r="I82" s="123"/>
      <c r="J82" s="123"/>
      <c r="K82" s="140"/>
      <c r="L82" s="141"/>
      <c r="M82" s="123"/>
      <c r="N82" s="123">
        <f t="shared" si="4"/>
        <v>0</v>
      </c>
      <c r="O82" s="123">
        <f t="shared" si="5"/>
        <v>0</v>
      </c>
      <c r="P82" s="123">
        <f t="shared" si="3"/>
        <v>0</v>
      </c>
      <c r="Q82" s="164">
        <f t="shared" si="6"/>
        <v>0</v>
      </c>
      <c r="R82" s="165"/>
      <c r="S82" s="165"/>
      <c r="T82" s="126"/>
      <c r="U82" s="137"/>
      <c r="V82" s="138"/>
      <c r="W82" s="137"/>
      <c r="X82" s="138"/>
      <c r="Y82" s="126"/>
      <c r="Z82" s="126"/>
      <c r="AA82" s="139"/>
      <c r="AB82" s="130"/>
      <c r="AC82" s="130"/>
      <c r="AD82" s="126"/>
      <c r="AE82" s="126"/>
      <c r="AF82" s="128"/>
      <c r="AG82" s="127"/>
      <c r="AH82" s="44"/>
      <c r="AI82" s="44"/>
      <c r="AJ82" s="44"/>
      <c r="AK82" s="44"/>
      <c r="AL82" s="51"/>
      <c r="AM82" s="51"/>
      <c r="AN82" s="51"/>
      <c r="AO82" s="44"/>
      <c r="AP82" s="44"/>
      <c r="AY82" s="46"/>
      <c r="AZ82" s="46"/>
      <c r="BA82" s="46"/>
      <c r="BB82" s="46"/>
      <c r="BC82" s="46"/>
      <c r="BD82" s="46"/>
      <c r="CH82"/>
      <c r="CI82"/>
      <c r="CJ82"/>
      <c r="CK82"/>
      <c r="CL82"/>
      <c r="CM82"/>
    </row>
    <row r="83" spans="1:91" ht="16">
      <c r="A83" s="123"/>
      <c r="B83" s="123"/>
      <c r="C83" s="123"/>
      <c r="D83" s="123"/>
      <c r="E83" s="123"/>
      <c r="F83" s="123"/>
      <c r="G83" s="123"/>
      <c r="H83" s="123"/>
      <c r="I83" s="123"/>
      <c r="J83" s="123"/>
      <c r="K83" s="140"/>
      <c r="L83" s="141"/>
      <c r="M83" s="123"/>
      <c r="N83" s="123">
        <f t="shared" si="4"/>
        <v>1151.136</v>
      </c>
      <c r="O83" s="123">
        <f t="shared" si="5"/>
        <v>0.68479999999999996</v>
      </c>
      <c r="P83" s="123">
        <f t="shared" si="3"/>
        <v>788.2979327999999</v>
      </c>
      <c r="Q83" s="164">
        <f t="shared" si="6"/>
        <v>1</v>
      </c>
      <c r="R83" s="165"/>
      <c r="S83" s="165"/>
      <c r="T83" s="126"/>
      <c r="U83" s="137"/>
      <c r="V83" s="138"/>
      <c r="W83" s="137"/>
      <c r="X83" s="138"/>
      <c r="Y83" s="126"/>
      <c r="Z83" s="126"/>
      <c r="AA83" s="139"/>
      <c r="AB83" s="130"/>
      <c r="AC83" s="130"/>
      <c r="AD83" s="126"/>
      <c r="AE83" s="126"/>
      <c r="AF83" s="128"/>
      <c r="AG83" s="127"/>
      <c r="AH83" s="44"/>
      <c r="AI83" s="44"/>
      <c r="AJ83" s="44"/>
      <c r="AK83" s="44"/>
      <c r="AL83" s="51"/>
      <c r="AM83" s="51"/>
      <c r="AN83" s="51"/>
      <c r="AO83" s="44"/>
      <c r="AP83" s="44"/>
      <c r="AY83" s="46"/>
      <c r="AZ83" s="46"/>
      <c r="BA83" s="46"/>
      <c r="BB83" s="46"/>
      <c r="BC83" s="46"/>
      <c r="BD83" s="46"/>
      <c r="CH83"/>
      <c r="CI83"/>
      <c r="CJ83"/>
      <c r="CK83"/>
      <c r="CL83"/>
      <c r="CM83"/>
    </row>
    <row r="84" spans="1:91" ht="16">
      <c r="A84" s="123"/>
      <c r="B84" s="123"/>
      <c r="C84" s="123"/>
      <c r="D84" s="140"/>
      <c r="E84" s="140"/>
      <c r="F84" s="142"/>
      <c r="G84" s="142"/>
      <c r="H84" s="123"/>
      <c r="I84" s="123"/>
      <c r="J84" s="123"/>
      <c r="K84" s="140"/>
      <c r="L84" s="141"/>
      <c r="M84" s="123"/>
      <c r="N84" s="123">
        <f t="shared" si="4"/>
        <v>0</v>
      </c>
      <c r="O84" s="123">
        <f t="shared" si="5"/>
        <v>0</v>
      </c>
      <c r="P84" s="123">
        <f t="shared" si="3"/>
        <v>0</v>
      </c>
      <c r="Q84" s="164">
        <f t="shared" si="6"/>
        <v>0</v>
      </c>
      <c r="R84" s="165"/>
      <c r="S84" s="165"/>
      <c r="T84" s="126"/>
      <c r="U84" s="137"/>
      <c r="V84" s="138"/>
      <c r="W84" s="137"/>
      <c r="X84" s="138"/>
      <c r="Y84" s="126"/>
      <c r="Z84" s="126"/>
      <c r="AA84" s="139"/>
      <c r="AB84" s="130"/>
      <c r="AC84" s="130"/>
      <c r="AD84" s="126"/>
      <c r="AE84" s="126"/>
      <c r="AF84" s="128"/>
      <c r="AG84" s="127"/>
      <c r="AH84" s="44"/>
      <c r="AI84" s="44"/>
      <c r="AJ84" s="44"/>
      <c r="AK84" s="44"/>
      <c r="AL84" s="51"/>
      <c r="AM84" s="51"/>
      <c r="AN84" s="51"/>
      <c r="AO84" s="44"/>
      <c r="AP84" s="44"/>
      <c r="AY84" s="46"/>
      <c r="AZ84" s="46"/>
      <c r="BA84" s="46"/>
      <c r="BB84" s="46"/>
      <c r="BC84" s="46"/>
      <c r="BD84" s="46"/>
      <c r="CH84"/>
      <c r="CI84"/>
      <c r="CJ84"/>
      <c r="CK84"/>
      <c r="CL84"/>
      <c r="CM84"/>
    </row>
    <row r="85" spans="1:91" ht="16">
      <c r="A85" s="123"/>
      <c r="B85" s="123"/>
      <c r="C85" s="123"/>
      <c r="D85" s="123"/>
      <c r="E85" s="123"/>
      <c r="F85" s="123"/>
      <c r="G85" s="123"/>
      <c r="H85" s="123"/>
      <c r="I85" s="123"/>
      <c r="J85" s="123"/>
      <c r="K85" s="140"/>
      <c r="L85" s="141"/>
      <c r="M85" s="123"/>
      <c r="N85" s="123">
        <f t="shared" si="4"/>
        <v>0</v>
      </c>
      <c r="O85" s="123">
        <f t="shared" si="5"/>
        <v>0</v>
      </c>
      <c r="P85" s="123">
        <f t="shared" si="3"/>
        <v>0</v>
      </c>
      <c r="Q85" s="164">
        <f t="shared" si="6"/>
        <v>0</v>
      </c>
      <c r="R85" s="165"/>
      <c r="S85" s="165"/>
      <c r="T85" s="126"/>
      <c r="U85" s="137"/>
      <c r="V85" s="138"/>
      <c r="W85" s="137"/>
      <c r="X85" s="138"/>
      <c r="Y85" s="126"/>
      <c r="Z85" s="126"/>
      <c r="AA85" s="139"/>
      <c r="AB85" s="130"/>
      <c r="AC85" s="130"/>
      <c r="AD85" s="126"/>
      <c r="AE85" s="126"/>
      <c r="AF85" s="128"/>
      <c r="AG85" s="127"/>
      <c r="AH85" s="44"/>
      <c r="AI85" s="44"/>
      <c r="AJ85" s="44"/>
      <c r="AK85" s="44"/>
      <c r="AL85" s="51"/>
      <c r="AM85" s="51"/>
      <c r="AN85" s="51"/>
      <c r="AO85" s="44"/>
      <c r="AP85" s="44"/>
      <c r="AY85" s="46"/>
      <c r="AZ85" s="46"/>
      <c r="BA85" s="46"/>
      <c r="BB85" s="46"/>
      <c r="BC85" s="46"/>
      <c r="BD85" s="46"/>
      <c r="CH85"/>
      <c r="CI85"/>
      <c r="CJ85"/>
      <c r="CK85"/>
      <c r="CL85"/>
      <c r="CM85"/>
    </row>
    <row r="86" spans="1:91" ht="16">
      <c r="A86" s="123"/>
      <c r="B86" s="123"/>
      <c r="C86" s="123"/>
      <c r="D86" s="123"/>
      <c r="E86" s="123"/>
      <c r="F86" s="123"/>
      <c r="G86" s="123"/>
      <c r="H86" s="123"/>
      <c r="I86" s="123"/>
      <c r="J86" s="123"/>
      <c r="K86" s="140"/>
      <c r="L86" s="141"/>
      <c r="M86" s="123"/>
      <c r="N86" s="123">
        <f t="shared" si="4"/>
        <v>1151.136</v>
      </c>
      <c r="O86" s="123">
        <f t="shared" si="5"/>
        <v>0.68469999999999998</v>
      </c>
      <c r="P86" s="123">
        <f t="shared" si="3"/>
        <v>788.18281919999993</v>
      </c>
      <c r="Q86" s="164">
        <f t="shared" si="6"/>
        <v>0</v>
      </c>
      <c r="R86" s="165"/>
      <c r="S86" s="165"/>
      <c r="T86" s="126"/>
      <c r="U86" s="137"/>
      <c r="V86" s="138"/>
      <c r="W86" s="137"/>
      <c r="X86" s="138"/>
      <c r="Y86" s="126"/>
      <c r="Z86" s="126"/>
      <c r="AA86" s="139"/>
      <c r="AB86" s="130"/>
      <c r="AC86" s="130"/>
      <c r="AD86" s="126"/>
      <c r="AE86" s="126"/>
      <c r="AF86" s="128"/>
      <c r="AG86" s="127"/>
      <c r="AH86" s="44"/>
      <c r="AI86" s="44"/>
      <c r="AJ86" s="44"/>
      <c r="AK86" s="44"/>
      <c r="AL86" s="51"/>
      <c r="AM86" s="51"/>
      <c r="AN86" s="51"/>
      <c r="AO86" s="44"/>
      <c r="AP86" s="44"/>
      <c r="AY86" s="46"/>
      <c r="AZ86" s="46"/>
      <c r="BA86" s="46"/>
      <c r="BB86" s="46"/>
      <c r="BC86" s="46"/>
      <c r="BD86" s="46"/>
      <c r="CH86"/>
      <c r="CI86"/>
      <c r="CJ86"/>
      <c r="CK86"/>
      <c r="CL86"/>
      <c r="CM86"/>
    </row>
    <row r="87" spans="1:91" ht="16">
      <c r="A87" s="123"/>
      <c r="B87" s="123"/>
      <c r="C87" s="123"/>
      <c r="D87" s="123"/>
      <c r="E87" s="123"/>
      <c r="F87" s="123"/>
      <c r="G87" s="123"/>
      <c r="H87" s="123"/>
      <c r="I87" s="123"/>
      <c r="J87" s="123"/>
      <c r="K87" s="140"/>
      <c r="L87" s="141"/>
      <c r="M87" s="140"/>
      <c r="N87" s="123">
        <f t="shared" si="4"/>
        <v>83478.372799999997</v>
      </c>
      <c r="O87" s="123">
        <f t="shared" si="5"/>
        <v>0.68469999999999998</v>
      </c>
      <c r="P87" s="123">
        <f t="shared" si="3"/>
        <v>57157.641856159993</v>
      </c>
      <c r="Q87" s="164">
        <f t="shared" si="6"/>
        <v>0</v>
      </c>
      <c r="R87" s="165"/>
      <c r="S87" s="165"/>
      <c r="T87" s="126"/>
      <c r="U87" s="137"/>
      <c r="V87" s="138"/>
      <c r="W87" s="137"/>
      <c r="X87" s="138"/>
      <c r="Y87" s="126"/>
      <c r="Z87" s="126"/>
      <c r="AA87" s="139"/>
      <c r="AB87" s="130"/>
      <c r="AC87" s="130"/>
      <c r="AD87" s="126"/>
      <c r="AE87" s="126"/>
      <c r="AF87" s="128"/>
      <c r="AG87" s="127"/>
      <c r="AH87" s="44"/>
      <c r="AI87" s="44"/>
      <c r="AJ87" s="44"/>
      <c r="AK87" s="44"/>
      <c r="AL87" s="51"/>
      <c r="AM87" s="51"/>
      <c r="AN87" s="51"/>
      <c r="AO87" s="44"/>
      <c r="AP87" s="44"/>
      <c r="AY87" s="46"/>
      <c r="AZ87" s="46"/>
      <c r="BA87" s="46"/>
      <c r="BB87" s="46"/>
      <c r="BC87" s="46"/>
      <c r="BD87" s="46"/>
      <c r="CH87"/>
      <c r="CI87"/>
      <c r="CJ87"/>
      <c r="CK87"/>
      <c r="CL87"/>
      <c r="CM87"/>
    </row>
    <row r="88" spans="1:91" ht="16">
      <c r="A88" s="123"/>
      <c r="B88" s="123"/>
      <c r="C88" s="123"/>
      <c r="D88" s="140"/>
      <c r="E88" s="140"/>
      <c r="F88" s="142"/>
      <c r="G88" s="142"/>
      <c r="H88" s="123"/>
      <c r="I88" s="123"/>
      <c r="J88" s="123"/>
      <c r="K88" s="140"/>
      <c r="L88" s="141"/>
      <c r="M88" s="123"/>
      <c r="N88" s="123">
        <f t="shared" si="4"/>
        <v>87216.858032629694</v>
      </c>
      <c r="O88" s="123">
        <f t="shared" si="5"/>
        <v>0.68469999999999998</v>
      </c>
      <c r="P88" s="123">
        <f t="shared" si="3"/>
        <v>59717.382694941552</v>
      </c>
      <c r="Q88" s="164">
        <f t="shared" si="6"/>
        <v>0</v>
      </c>
      <c r="R88" s="165"/>
      <c r="S88" s="165"/>
      <c r="T88" s="126"/>
      <c r="U88" s="137"/>
      <c r="V88" s="138"/>
      <c r="W88" s="137"/>
      <c r="X88" s="138"/>
      <c r="Y88" s="126"/>
      <c r="Z88" s="126"/>
      <c r="AA88" s="139"/>
      <c r="AB88" s="130"/>
      <c r="AC88" s="130"/>
      <c r="AD88" s="126"/>
      <c r="AE88" s="126"/>
      <c r="AF88" s="127"/>
      <c r="AG88" s="127"/>
      <c r="AH88" s="44"/>
      <c r="AI88" s="44"/>
      <c r="AJ88" s="44"/>
      <c r="AK88" s="44"/>
      <c r="AL88" s="51"/>
      <c r="AM88" s="51"/>
      <c r="AN88" s="51"/>
      <c r="AO88" s="44"/>
      <c r="AP88" s="44"/>
      <c r="AY88" s="46"/>
      <c r="AZ88" s="46"/>
      <c r="BA88" s="46"/>
      <c r="BB88" s="46"/>
      <c r="BC88" s="46"/>
      <c r="BD88" s="46"/>
      <c r="CH88"/>
      <c r="CI88"/>
      <c r="CJ88"/>
      <c r="CK88"/>
      <c r="CL88"/>
      <c r="CM88"/>
    </row>
    <row r="89" spans="1:91" ht="16">
      <c r="A89" s="123"/>
      <c r="B89" s="123"/>
      <c r="C89" s="123"/>
      <c r="D89" s="123"/>
      <c r="E89" s="123"/>
      <c r="F89" s="123"/>
      <c r="G89" s="123"/>
      <c r="H89" s="123"/>
      <c r="I89" s="123"/>
      <c r="J89" s="123"/>
      <c r="K89" s="140"/>
      <c r="L89" s="141"/>
      <c r="M89" s="123"/>
      <c r="N89" s="123">
        <f t="shared" si="4"/>
        <v>0</v>
      </c>
      <c r="O89" s="123">
        <f t="shared" si="5"/>
        <v>0</v>
      </c>
      <c r="P89" s="123">
        <f t="shared" si="3"/>
        <v>0</v>
      </c>
      <c r="Q89" s="164">
        <f t="shared" si="6"/>
        <v>0</v>
      </c>
      <c r="R89" s="165"/>
      <c r="S89" s="165"/>
      <c r="T89" s="126"/>
      <c r="U89" s="137"/>
      <c r="V89" s="138"/>
      <c r="W89" s="137"/>
      <c r="X89" s="138"/>
      <c r="Y89" s="126"/>
      <c r="Z89" s="126"/>
      <c r="AA89" s="139"/>
      <c r="AB89" s="130"/>
      <c r="AC89" s="130"/>
      <c r="AD89" s="126"/>
      <c r="AE89" s="126"/>
      <c r="AF89" s="127"/>
      <c r="AG89" s="127"/>
      <c r="AH89" s="44"/>
      <c r="AI89" s="44"/>
      <c r="AJ89" s="44"/>
      <c r="AK89" s="44"/>
      <c r="AL89" s="51"/>
      <c r="AM89" s="51"/>
      <c r="AN89" s="51"/>
      <c r="AO89" s="44"/>
      <c r="AP89" s="44"/>
      <c r="AY89" s="46"/>
      <c r="AZ89" s="46"/>
      <c r="BA89" s="46"/>
      <c r="BB89" s="46"/>
      <c r="BC89" s="46"/>
      <c r="BD89" s="46"/>
      <c r="CH89"/>
      <c r="CI89"/>
      <c r="CJ89"/>
      <c r="CK89"/>
      <c r="CL89"/>
      <c r="CM89"/>
    </row>
    <row r="90" spans="1:91" ht="16">
      <c r="A90" s="123"/>
      <c r="B90" s="123"/>
      <c r="C90" s="123"/>
      <c r="D90" s="123"/>
      <c r="E90" s="123"/>
      <c r="F90" s="123"/>
      <c r="G90" s="123"/>
      <c r="H90" s="123"/>
      <c r="I90" s="123"/>
      <c r="J90" s="123"/>
      <c r="K90" s="140"/>
      <c r="L90" s="141"/>
      <c r="M90" s="123"/>
      <c r="N90" s="123">
        <f t="shared" si="4"/>
        <v>7011</v>
      </c>
      <c r="O90" s="123">
        <f t="shared" si="5"/>
        <v>0</v>
      </c>
      <c r="P90" s="123">
        <f t="shared" si="3"/>
        <v>0</v>
      </c>
      <c r="Q90" s="164">
        <f t="shared" si="6"/>
        <v>0</v>
      </c>
      <c r="R90" s="165"/>
      <c r="S90" s="165"/>
      <c r="T90" s="126"/>
      <c r="U90" s="137"/>
      <c r="V90" s="138"/>
      <c r="W90" s="137"/>
      <c r="X90" s="138"/>
      <c r="Y90" s="126"/>
      <c r="Z90" s="126"/>
      <c r="AA90" s="139"/>
      <c r="AB90" s="130"/>
      <c r="AC90" s="130"/>
      <c r="AD90" s="126"/>
      <c r="AE90" s="126"/>
      <c r="AF90" s="127"/>
      <c r="AG90" s="127"/>
      <c r="AH90" s="44"/>
      <c r="AI90" s="44"/>
      <c r="AJ90" s="44"/>
      <c r="AK90" s="44"/>
      <c r="AL90" s="51"/>
      <c r="AM90" s="51"/>
      <c r="AN90" s="51"/>
      <c r="AO90" s="44"/>
      <c r="AP90" s="44"/>
      <c r="AY90" s="46"/>
      <c r="AZ90" s="46"/>
      <c r="BA90" s="46"/>
      <c r="BB90" s="46"/>
      <c r="BC90" s="46"/>
      <c r="BD90" s="46"/>
      <c r="CH90"/>
      <c r="CI90"/>
      <c r="CJ90"/>
      <c r="CK90"/>
      <c r="CL90"/>
      <c r="CM90"/>
    </row>
    <row r="91" spans="1:91" ht="16">
      <c r="A91" s="123"/>
      <c r="B91" s="123"/>
      <c r="C91" s="123"/>
      <c r="D91" s="123"/>
      <c r="E91" s="123"/>
      <c r="F91" s="140"/>
      <c r="G91" s="140"/>
      <c r="H91" s="140"/>
      <c r="I91" s="123"/>
      <c r="J91" s="123"/>
      <c r="K91" s="140"/>
      <c r="L91" s="141"/>
      <c r="M91" s="123"/>
      <c r="N91" s="123">
        <f t="shared" si="4"/>
        <v>132145.06614698429</v>
      </c>
      <c r="O91" s="123">
        <f t="shared" si="5"/>
        <v>0.64849999999999997</v>
      </c>
      <c r="P91" s="123">
        <f t="shared" si="3"/>
        <v>85696.075396319313</v>
      </c>
      <c r="Q91" s="164">
        <f t="shared" si="6"/>
        <v>1</v>
      </c>
      <c r="R91" s="165"/>
      <c r="S91" s="165"/>
      <c r="T91" s="126"/>
      <c r="U91" s="137"/>
      <c r="V91" s="138"/>
      <c r="W91" s="137"/>
      <c r="X91" s="138"/>
      <c r="Y91" s="126"/>
      <c r="Z91" s="126"/>
      <c r="AA91" s="126"/>
      <c r="AB91" s="126"/>
      <c r="AC91" s="126"/>
      <c r="AD91" s="126"/>
      <c r="AE91" s="126"/>
      <c r="AF91" s="127"/>
      <c r="AG91" s="127"/>
      <c r="AH91" s="44"/>
      <c r="AI91" s="44"/>
      <c r="AJ91" s="44"/>
      <c r="AK91" s="44"/>
      <c r="AL91" s="51"/>
      <c r="AM91" s="51"/>
      <c r="AN91" s="51"/>
      <c r="AO91" s="44"/>
      <c r="AP91" s="44"/>
      <c r="AY91" s="46"/>
      <c r="AZ91" s="46"/>
      <c r="BA91" s="46"/>
      <c r="BB91" s="46"/>
      <c r="BC91" s="46"/>
      <c r="BD91" s="46"/>
      <c r="CH91"/>
      <c r="CI91"/>
      <c r="CJ91"/>
      <c r="CK91"/>
      <c r="CL91"/>
      <c r="CM91"/>
    </row>
    <row r="92" spans="1:91" ht="16">
      <c r="A92" s="123"/>
      <c r="B92" s="123"/>
      <c r="C92" s="123"/>
      <c r="D92" s="123"/>
      <c r="E92" s="123"/>
      <c r="F92" s="123"/>
      <c r="G92" s="123"/>
      <c r="H92" s="123"/>
      <c r="I92" s="123"/>
      <c r="J92" s="123"/>
      <c r="K92" s="140"/>
      <c r="L92" s="141"/>
      <c r="M92" s="123"/>
      <c r="N92" s="123">
        <f t="shared" si="4"/>
        <v>11983.055953228601</v>
      </c>
      <c r="O92" s="123">
        <f t="shared" si="5"/>
        <v>0.64359999999999995</v>
      </c>
      <c r="P92" s="123">
        <f t="shared" si="3"/>
        <v>7712.2948114979272</v>
      </c>
      <c r="Q92" s="164">
        <f t="shared" si="6"/>
        <v>1</v>
      </c>
      <c r="R92" s="165"/>
      <c r="S92" s="165"/>
      <c r="T92" s="126"/>
      <c r="U92" s="137"/>
      <c r="V92" s="138"/>
      <c r="W92" s="137"/>
      <c r="X92" s="138"/>
      <c r="Y92" s="126"/>
      <c r="Z92" s="126"/>
      <c r="AA92" s="126"/>
      <c r="AB92" s="126"/>
      <c r="AC92" s="130"/>
      <c r="AD92" s="137"/>
      <c r="AE92" s="126"/>
      <c r="AF92" s="127"/>
      <c r="AG92" s="127"/>
      <c r="AH92" s="44"/>
      <c r="AI92" s="44"/>
      <c r="AJ92" s="44"/>
      <c r="AK92" s="44"/>
      <c r="AL92" s="51"/>
      <c r="AM92" s="51"/>
      <c r="AN92" s="51"/>
      <c r="AO92" s="44"/>
      <c r="AP92" s="44"/>
      <c r="AY92" s="46"/>
      <c r="AZ92" s="46"/>
      <c r="BA92" s="46"/>
      <c r="BB92" s="46"/>
      <c r="BC92" s="46"/>
      <c r="BD92" s="46"/>
      <c r="CH92"/>
      <c r="CI92"/>
      <c r="CJ92"/>
      <c r="CK92"/>
      <c r="CL92"/>
      <c r="CM92"/>
    </row>
    <row r="93" spans="1:91" ht="21">
      <c r="A93" s="123"/>
      <c r="B93" s="123"/>
      <c r="C93" s="123"/>
      <c r="D93" s="140"/>
      <c r="E93" s="140"/>
      <c r="F93" s="142"/>
      <c r="G93" s="142"/>
      <c r="H93" s="123"/>
      <c r="I93" s="123"/>
      <c r="J93" s="123"/>
      <c r="K93" s="140"/>
      <c r="L93" s="141"/>
      <c r="M93" s="123"/>
      <c r="N93" s="123">
        <f t="shared" si="4"/>
        <v>13097.735953228599</v>
      </c>
      <c r="O93" s="123">
        <f t="shared" si="5"/>
        <v>0</v>
      </c>
      <c r="P93" s="123">
        <f t="shared" si="3"/>
        <v>0</v>
      </c>
      <c r="Q93" s="164">
        <f t="shared" si="6"/>
        <v>1</v>
      </c>
      <c r="R93" s="165"/>
      <c r="S93" s="165"/>
      <c r="T93" s="126"/>
      <c r="U93" s="137"/>
      <c r="V93" s="138"/>
      <c r="W93" s="137"/>
      <c r="X93" s="138"/>
      <c r="Y93" s="126"/>
      <c r="Z93" s="126"/>
      <c r="AA93" s="115"/>
      <c r="AB93" s="115"/>
      <c r="AC93" s="126"/>
      <c r="AD93" s="126"/>
      <c r="AE93" s="126"/>
      <c r="AF93" s="127"/>
      <c r="AG93" s="127"/>
      <c r="AH93" s="44"/>
      <c r="AI93" s="44"/>
      <c r="AJ93" s="44"/>
      <c r="AK93" s="44"/>
      <c r="AL93" s="51"/>
      <c r="AM93" s="51"/>
      <c r="AN93" s="51"/>
      <c r="AO93" s="44"/>
      <c r="AP93" s="44"/>
      <c r="AY93" s="46"/>
      <c r="AZ93" s="46"/>
      <c r="BA93" s="46"/>
      <c r="BB93" s="46"/>
      <c r="BC93" s="46"/>
      <c r="BD93" s="46"/>
      <c r="CH93"/>
      <c r="CI93"/>
      <c r="CJ93"/>
      <c r="CK93"/>
      <c r="CL93"/>
      <c r="CM93"/>
    </row>
    <row r="94" spans="1:91" ht="16">
      <c r="A94" s="123"/>
      <c r="B94" s="123"/>
      <c r="C94" s="123"/>
      <c r="D94" s="140"/>
      <c r="E94" s="140"/>
      <c r="F94" s="142"/>
      <c r="G94" s="142"/>
      <c r="H94" s="123"/>
      <c r="I94" s="123"/>
      <c r="J94" s="123"/>
      <c r="K94" s="140"/>
      <c r="L94" s="141"/>
      <c r="M94" s="123"/>
      <c r="N94" s="123">
        <f t="shared" si="4"/>
        <v>1189.3055953229</v>
      </c>
      <c r="O94" s="123">
        <f t="shared" si="5"/>
        <v>0.64359999999999995</v>
      </c>
      <c r="P94" s="123">
        <f t="shared" si="3"/>
        <v>765.43708114981837</v>
      </c>
      <c r="Q94" s="164">
        <f t="shared" si="6"/>
        <v>1</v>
      </c>
      <c r="R94" s="165"/>
      <c r="S94" s="165"/>
      <c r="T94" s="126"/>
      <c r="U94" s="137"/>
      <c r="V94" s="138"/>
      <c r="W94" s="137"/>
      <c r="X94" s="138"/>
      <c r="Y94" s="126"/>
      <c r="Z94" s="126"/>
      <c r="AA94" s="126"/>
      <c r="AB94" s="126"/>
      <c r="AC94" s="126"/>
      <c r="AD94" s="126"/>
      <c r="AE94" s="126"/>
      <c r="AF94" s="127"/>
      <c r="AG94" s="127"/>
      <c r="AH94" s="44"/>
      <c r="AI94" s="44"/>
      <c r="AJ94" s="44"/>
      <c r="AK94" s="44"/>
      <c r="AL94" s="44"/>
      <c r="AM94" s="44"/>
      <c r="AN94" s="44"/>
      <c r="AO94" s="44"/>
      <c r="AP94" s="44"/>
      <c r="AY94" s="46"/>
      <c r="AZ94" s="46"/>
      <c r="BA94" s="46"/>
      <c r="BB94" s="46"/>
      <c r="BC94" s="46"/>
      <c r="BD94" s="46"/>
      <c r="CH94"/>
      <c r="CI94"/>
      <c r="CJ94"/>
      <c r="CK94"/>
      <c r="CL94"/>
      <c r="CM94"/>
    </row>
    <row r="95" spans="1:91" ht="16">
      <c r="A95" s="123"/>
      <c r="B95" s="123"/>
      <c r="C95" s="123"/>
      <c r="D95" s="140"/>
      <c r="E95" s="140"/>
      <c r="F95" s="142"/>
      <c r="G95" s="123"/>
      <c r="H95" s="123"/>
      <c r="I95" s="123"/>
      <c r="J95" s="123"/>
      <c r="K95" s="140"/>
      <c r="L95" s="141"/>
      <c r="M95" s="123"/>
      <c r="N95" s="123">
        <f t="shared" si="4"/>
        <v>1189.3055953229</v>
      </c>
      <c r="O95" s="123">
        <f t="shared" si="5"/>
        <v>0.65410000000000001</v>
      </c>
      <c r="P95" s="123">
        <f t="shared" si="3"/>
        <v>777.9247899007089</v>
      </c>
      <c r="Q95" s="164">
        <f t="shared" si="6"/>
        <v>0</v>
      </c>
      <c r="R95" s="165"/>
      <c r="S95" s="165"/>
      <c r="T95" s="126"/>
      <c r="U95" s="137"/>
      <c r="V95" s="138"/>
      <c r="W95" s="137"/>
      <c r="X95" s="138"/>
      <c r="Y95" s="126"/>
      <c r="Z95" s="126"/>
      <c r="AA95" s="126"/>
      <c r="AB95" s="126"/>
      <c r="AC95" s="126"/>
      <c r="AD95" s="126"/>
      <c r="AE95" s="126"/>
      <c r="AF95" s="127"/>
      <c r="AG95" s="127"/>
      <c r="AH95" s="44"/>
      <c r="AI95" s="44"/>
      <c r="AJ95" s="44"/>
      <c r="AK95" s="44"/>
      <c r="AL95" s="44"/>
      <c r="AM95" s="44"/>
      <c r="AN95" s="44"/>
      <c r="AO95" s="44"/>
      <c r="AP95" s="44"/>
      <c r="AY95" s="46"/>
      <c r="AZ95" s="46"/>
      <c r="BA95" s="46"/>
      <c r="BB95" s="46"/>
      <c r="BC95" s="46"/>
      <c r="BD95" s="46"/>
      <c r="CH95"/>
      <c r="CI95"/>
      <c r="CJ95"/>
      <c r="CK95"/>
      <c r="CL95"/>
      <c r="CM95"/>
    </row>
    <row r="96" spans="1:91" ht="16">
      <c r="A96" s="123"/>
      <c r="B96" s="123"/>
      <c r="C96" s="123"/>
      <c r="D96" s="123"/>
      <c r="E96" s="123"/>
      <c r="F96" s="123"/>
      <c r="G96" s="123"/>
      <c r="H96" s="123"/>
      <c r="I96" s="123"/>
      <c r="J96" s="123"/>
      <c r="K96" s="140"/>
      <c r="L96" s="141"/>
      <c r="M96" s="123"/>
      <c r="N96" s="123">
        <f t="shared" si="4"/>
        <v>1000</v>
      </c>
      <c r="O96" s="123">
        <f t="shared" si="5"/>
        <v>0</v>
      </c>
      <c r="P96" s="123">
        <f t="shared" si="3"/>
        <v>0</v>
      </c>
      <c r="Q96" s="164">
        <f t="shared" si="6"/>
        <v>0</v>
      </c>
      <c r="R96" s="165"/>
      <c r="S96" s="165"/>
      <c r="T96" s="126"/>
      <c r="U96" s="137"/>
      <c r="V96" s="138"/>
      <c r="W96" s="137"/>
      <c r="X96" s="138"/>
      <c r="Y96" s="126"/>
      <c r="Z96" s="126"/>
      <c r="AA96" s="126"/>
      <c r="AB96" s="126"/>
      <c r="AC96" s="126"/>
      <c r="AD96" s="126"/>
      <c r="AE96" s="126"/>
      <c r="AF96" s="127"/>
      <c r="AG96" s="127"/>
      <c r="AH96" s="44"/>
      <c r="AI96" s="44"/>
      <c r="AJ96" s="44"/>
      <c r="AK96" s="44"/>
      <c r="AL96" s="44"/>
      <c r="AM96" s="44"/>
      <c r="AN96" s="44"/>
      <c r="AO96" s="44"/>
      <c r="AP96" s="44"/>
      <c r="AY96" s="46"/>
      <c r="AZ96" s="46"/>
      <c r="BA96" s="46"/>
      <c r="BB96" s="46"/>
      <c r="BC96" s="46"/>
      <c r="BD96" s="46"/>
      <c r="CH96"/>
      <c r="CI96"/>
      <c r="CJ96"/>
      <c r="CK96"/>
      <c r="CL96"/>
      <c r="CM96"/>
    </row>
    <row r="97" spans="1:91" ht="16">
      <c r="A97" s="123"/>
      <c r="B97" s="123"/>
      <c r="C97" s="123"/>
      <c r="D97" s="140"/>
      <c r="E97" s="140"/>
      <c r="F97" s="123"/>
      <c r="G97" s="123"/>
      <c r="H97" s="123"/>
      <c r="I97" s="123"/>
      <c r="J97" s="123"/>
      <c r="K97" s="140"/>
      <c r="L97" s="141"/>
      <c r="M97" s="123"/>
      <c r="N97" s="123">
        <f t="shared" si="4"/>
        <v>3287.8954015671002</v>
      </c>
      <c r="O97" s="123">
        <f t="shared" si="5"/>
        <v>0.64359999999999995</v>
      </c>
      <c r="P97" s="123">
        <f t="shared" si="3"/>
        <v>2116.0894804485856</v>
      </c>
      <c r="Q97" s="164">
        <f t="shared" si="6"/>
        <v>0</v>
      </c>
      <c r="R97" s="165"/>
      <c r="S97" s="165"/>
      <c r="T97" s="126"/>
      <c r="U97" s="137"/>
      <c r="V97" s="138"/>
      <c r="W97" s="137"/>
      <c r="X97" s="138"/>
      <c r="Y97" s="126"/>
      <c r="Z97" s="126"/>
      <c r="AA97" s="126"/>
      <c r="AB97" s="126"/>
      <c r="AC97" s="126"/>
      <c r="AD97" s="126"/>
      <c r="AE97" s="126"/>
      <c r="AF97" s="127"/>
      <c r="AG97" s="127"/>
      <c r="AH97" s="44"/>
      <c r="AI97" s="44"/>
      <c r="AJ97" s="44"/>
      <c r="AK97" s="44"/>
      <c r="AL97" s="44"/>
      <c r="AM97" s="44"/>
      <c r="AN97" s="44"/>
      <c r="AO97" s="44"/>
      <c r="AP97" s="44"/>
      <c r="AY97" s="46"/>
      <c r="AZ97" s="46"/>
      <c r="BA97" s="46"/>
      <c r="BB97" s="46"/>
      <c r="BC97" s="46"/>
      <c r="BD97" s="46"/>
      <c r="CH97"/>
      <c r="CI97"/>
      <c r="CJ97"/>
      <c r="CK97"/>
      <c r="CL97"/>
      <c r="CM97"/>
    </row>
    <row r="98" spans="1:91" ht="16">
      <c r="A98" s="123"/>
      <c r="B98" s="123"/>
      <c r="C98" s="123"/>
      <c r="D98" s="123"/>
      <c r="E98" s="123"/>
      <c r="F98" s="123"/>
      <c r="G98" s="123"/>
      <c r="H98" s="123"/>
      <c r="I98" s="123"/>
      <c r="J98" s="123"/>
      <c r="K98" s="140"/>
      <c r="L98" s="141"/>
      <c r="M98" s="123"/>
      <c r="N98" s="123">
        <f t="shared" si="4"/>
        <v>123260.6</v>
      </c>
      <c r="O98" s="123">
        <f t="shared" si="5"/>
        <v>0.65410000000000001</v>
      </c>
      <c r="P98" s="123">
        <f t="shared" si="3"/>
        <v>80624.758460000012</v>
      </c>
      <c r="Q98" s="164">
        <f t="shared" si="6"/>
        <v>0</v>
      </c>
      <c r="R98" s="165"/>
      <c r="S98" s="165"/>
      <c r="T98" s="126"/>
      <c r="U98" s="137"/>
      <c r="V98" s="138"/>
      <c r="W98" s="137"/>
      <c r="X98" s="138"/>
      <c r="Y98" s="126"/>
      <c r="Z98" s="126"/>
      <c r="AA98" s="126"/>
      <c r="AB98" s="126"/>
      <c r="AC98" s="126"/>
      <c r="AD98" s="126"/>
      <c r="AE98" s="126"/>
      <c r="AF98" s="127"/>
      <c r="AG98" s="127"/>
      <c r="AH98" s="44"/>
      <c r="AI98" s="44"/>
      <c r="AJ98" s="44"/>
      <c r="AK98" s="44"/>
      <c r="AL98" s="44"/>
      <c r="AM98" s="44"/>
      <c r="AN98" s="44"/>
      <c r="AO98" s="44"/>
      <c r="AP98" s="44"/>
      <c r="AY98" s="46"/>
      <c r="AZ98" s="46"/>
      <c r="BA98" s="46"/>
      <c r="BB98" s="46"/>
      <c r="BC98" s="46"/>
      <c r="BD98" s="46"/>
      <c r="CH98"/>
      <c r="CI98"/>
      <c r="CJ98"/>
      <c r="CK98"/>
      <c r="CL98"/>
      <c r="CM98"/>
    </row>
    <row r="99" spans="1:91" ht="16">
      <c r="A99" s="123"/>
      <c r="B99" s="123"/>
      <c r="C99" s="123"/>
      <c r="D99" s="123"/>
      <c r="E99" s="123"/>
      <c r="F99" s="123"/>
      <c r="G99" s="123"/>
      <c r="H99" s="123"/>
      <c r="I99" s="123"/>
      <c r="J99" s="123"/>
      <c r="K99" s="140"/>
      <c r="L99" s="141"/>
      <c r="M99" s="123"/>
      <c r="N99" s="123">
        <f t="shared" si="4"/>
        <v>0</v>
      </c>
      <c r="O99" s="123">
        <f t="shared" si="5"/>
        <v>0</v>
      </c>
      <c r="P99" s="123">
        <f t="shared" ref="P99:P126" si="7">D33</f>
        <v>0</v>
      </c>
      <c r="Q99" s="164">
        <f t="shared" si="6"/>
        <v>0</v>
      </c>
      <c r="R99" s="165"/>
      <c r="S99" s="165"/>
      <c r="T99" s="126"/>
      <c r="U99" s="137"/>
      <c r="V99" s="138"/>
      <c r="W99" s="137"/>
      <c r="X99" s="138"/>
      <c r="Y99" s="126"/>
      <c r="Z99" s="126"/>
      <c r="AA99" s="126"/>
      <c r="AB99" s="126"/>
      <c r="AC99" s="126"/>
      <c r="AD99" s="126"/>
      <c r="AE99" s="126"/>
      <c r="AF99" s="127"/>
      <c r="AG99" s="127"/>
      <c r="AH99" s="44"/>
      <c r="AI99" s="44"/>
      <c r="AJ99" s="44"/>
      <c r="AK99" s="44"/>
      <c r="AL99" s="44"/>
      <c r="AM99" s="44"/>
      <c r="AN99" s="44"/>
      <c r="AO99" s="44"/>
      <c r="AP99" s="44"/>
      <c r="AY99" s="46"/>
      <c r="AZ99" s="46"/>
      <c r="BA99" s="46"/>
      <c r="BB99" s="46"/>
      <c r="BC99" s="46"/>
      <c r="BD99" s="46"/>
      <c r="CH99"/>
      <c r="CI99"/>
      <c r="CJ99"/>
      <c r="CK99"/>
      <c r="CL99"/>
      <c r="CM99"/>
    </row>
    <row r="100" spans="1:91" ht="16">
      <c r="A100" s="123"/>
      <c r="B100" s="123"/>
      <c r="C100" s="123"/>
      <c r="D100" s="140"/>
      <c r="E100" s="140"/>
      <c r="F100" s="142"/>
      <c r="G100" s="142"/>
      <c r="H100" s="123"/>
      <c r="I100" s="123"/>
      <c r="J100" s="123"/>
      <c r="K100" s="140"/>
      <c r="L100" s="141"/>
      <c r="M100" s="123"/>
      <c r="N100" s="123">
        <f t="shared" si="4"/>
        <v>-3287.8954015671002</v>
      </c>
      <c r="O100" s="123">
        <f t="shared" si="5"/>
        <v>0</v>
      </c>
      <c r="P100" s="123">
        <f t="shared" si="7"/>
        <v>0</v>
      </c>
      <c r="Q100" s="164">
        <f t="shared" si="6"/>
        <v>0</v>
      </c>
      <c r="R100" s="165"/>
      <c r="S100" s="165"/>
      <c r="T100" s="126"/>
      <c r="U100" s="137"/>
      <c r="V100" s="138"/>
      <c r="W100" s="137"/>
      <c r="X100" s="138"/>
      <c r="Y100" s="126"/>
      <c r="Z100" s="126"/>
      <c r="AA100" s="126"/>
      <c r="AB100" s="126"/>
      <c r="AC100" s="126"/>
      <c r="AD100" s="126"/>
      <c r="AE100" s="126"/>
      <c r="AF100" s="127"/>
      <c r="AG100" s="127"/>
      <c r="AH100" s="44"/>
      <c r="AI100" s="44"/>
      <c r="AJ100" s="44"/>
      <c r="AK100" s="44"/>
      <c r="AL100" s="44"/>
      <c r="AM100" s="44"/>
      <c r="AN100" s="44"/>
      <c r="AO100" s="44"/>
      <c r="AP100" s="44"/>
      <c r="AY100" s="46"/>
      <c r="AZ100" s="46"/>
      <c r="BA100" s="46"/>
      <c r="BB100" s="46"/>
      <c r="BC100" s="46"/>
      <c r="BD100" s="46"/>
      <c r="CH100"/>
      <c r="CI100"/>
      <c r="CJ100"/>
      <c r="CK100"/>
      <c r="CL100"/>
      <c r="CM100"/>
    </row>
    <row r="101" spans="1:91" ht="16">
      <c r="A101" s="123"/>
      <c r="B101" s="123"/>
      <c r="C101" s="123"/>
      <c r="D101" s="140"/>
      <c r="E101" s="140"/>
      <c r="F101" s="143"/>
      <c r="G101" s="143"/>
      <c r="H101" s="141"/>
      <c r="I101" s="123"/>
      <c r="J101" s="123"/>
      <c r="K101" s="140"/>
      <c r="L101" s="141"/>
      <c r="M101" s="123"/>
      <c r="N101" s="123">
        <f t="shared" si="4"/>
        <v>4312.5021039050998</v>
      </c>
      <c r="O101" s="123">
        <f t="shared" si="5"/>
        <v>0.65410000000000001</v>
      </c>
      <c r="P101" s="123">
        <f t="shared" si="7"/>
        <v>2820.8076261643259</v>
      </c>
      <c r="Q101" s="164">
        <f t="shared" si="6"/>
        <v>0</v>
      </c>
      <c r="R101" s="165"/>
      <c r="S101" s="165"/>
      <c r="T101" s="126"/>
      <c r="U101" s="137"/>
      <c r="V101" s="138"/>
      <c r="W101" s="137"/>
      <c r="X101" s="138"/>
      <c r="Y101" s="126"/>
      <c r="Z101" s="126"/>
      <c r="AA101" s="126"/>
      <c r="AB101" s="126"/>
      <c r="AC101" s="126"/>
      <c r="AD101" s="126"/>
      <c r="AE101" s="126"/>
      <c r="AF101" s="127"/>
      <c r="AG101" s="127"/>
      <c r="AH101" s="44"/>
      <c r="AI101" s="44"/>
      <c r="AJ101" s="44"/>
      <c r="AK101" s="44"/>
      <c r="AL101" s="44"/>
      <c r="AM101" s="44"/>
      <c r="AN101" s="44"/>
      <c r="AO101" s="44"/>
      <c r="AP101" s="44"/>
      <c r="AY101" s="46"/>
      <c r="AZ101" s="46"/>
      <c r="BA101" s="46"/>
      <c r="BB101" s="46"/>
      <c r="BC101" s="46"/>
      <c r="BD101" s="46"/>
      <c r="CH101"/>
      <c r="CI101"/>
      <c r="CJ101"/>
      <c r="CK101"/>
      <c r="CL101"/>
      <c r="CM101"/>
    </row>
    <row r="102" spans="1:91" ht="16">
      <c r="A102" s="123"/>
      <c r="B102" s="123"/>
      <c r="C102" s="123"/>
      <c r="D102" s="140"/>
      <c r="E102" s="140"/>
      <c r="F102" s="142"/>
      <c r="G102" s="142"/>
      <c r="H102" s="123"/>
      <c r="I102" s="123"/>
      <c r="J102" s="123"/>
      <c r="K102" s="140"/>
      <c r="L102" s="141"/>
      <c r="M102" s="123"/>
      <c r="N102" s="123">
        <f t="shared" si="4"/>
        <v>-6548.9178960949002</v>
      </c>
      <c r="O102" s="123">
        <f t="shared" si="5"/>
        <v>0</v>
      </c>
      <c r="P102" s="123">
        <f t="shared" si="7"/>
        <v>0</v>
      </c>
      <c r="Q102" s="164">
        <f t="shared" si="6"/>
        <v>0</v>
      </c>
      <c r="R102" s="165"/>
      <c r="S102" s="165"/>
      <c r="T102" s="126"/>
      <c r="U102" s="137"/>
      <c r="V102" s="138"/>
      <c r="W102" s="137"/>
      <c r="X102" s="138"/>
      <c r="Y102" s="126"/>
      <c r="Z102" s="126"/>
      <c r="AA102" s="126"/>
      <c r="AB102" s="126"/>
      <c r="AC102" s="126"/>
      <c r="AD102" s="126"/>
      <c r="AE102" s="126"/>
      <c r="AF102" s="127"/>
      <c r="AG102" s="127"/>
      <c r="AH102" s="44"/>
      <c r="AI102" s="44"/>
      <c r="AJ102" s="44"/>
      <c r="AK102" s="44"/>
      <c r="AL102" s="44"/>
      <c r="AM102" s="44"/>
      <c r="AN102" s="44"/>
      <c r="AO102" s="44"/>
      <c r="AP102" s="44"/>
      <c r="AY102" s="46"/>
      <c r="AZ102" s="46"/>
      <c r="BA102" s="46"/>
      <c r="BB102" s="46"/>
      <c r="BC102" s="46"/>
      <c r="BD102" s="46"/>
      <c r="CH102"/>
      <c r="CI102"/>
      <c r="CJ102"/>
      <c r="CK102"/>
      <c r="CL102"/>
      <c r="CM102"/>
    </row>
    <row r="103" spans="1:91" ht="16">
      <c r="A103" s="123"/>
      <c r="B103" s="123"/>
      <c r="C103" s="123"/>
      <c r="D103" s="123"/>
      <c r="E103" s="123"/>
      <c r="F103" s="123"/>
      <c r="G103" s="123"/>
      <c r="H103" s="123"/>
      <c r="I103" s="123"/>
      <c r="J103" s="123"/>
      <c r="K103" s="140"/>
      <c r="L103" s="141"/>
      <c r="M103" s="123"/>
      <c r="N103" s="123">
        <f t="shared" si="4"/>
        <v>108207.245</v>
      </c>
      <c r="O103" s="123">
        <f t="shared" si="5"/>
        <v>0.65410000000000001</v>
      </c>
      <c r="P103" s="123">
        <f t="shared" si="7"/>
        <v>70778.3589545</v>
      </c>
      <c r="Q103" s="164">
        <f t="shared" si="6"/>
        <v>0</v>
      </c>
      <c r="R103" s="165"/>
      <c r="S103" s="165"/>
      <c r="T103" s="126"/>
      <c r="U103" s="137"/>
      <c r="V103" s="138"/>
      <c r="W103" s="137"/>
      <c r="X103" s="138"/>
      <c r="Y103" s="126"/>
      <c r="Z103" s="126"/>
      <c r="AA103" s="126"/>
      <c r="AB103" s="126"/>
      <c r="AC103" s="126"/>
      <c r="AD103" s="126"/>
      <c r="AE103" s="126"/>
      <c r="AF103" s="127"/>
      <c r="AG103" s="127"/>
      <c r="AH103" s="44"/>
      <c r="AI103" s="44"/>
      <c r="AJ103" s="44"/>
      <c r="AK103" s="44"/>
      <c r="AL103" s="44"/>
      <c r="AM103" s="44"/>
      <c r="AN103" s="44"/>
      <c r="AO103" s="44"/>
      <c r="AP103" s="44"/>
      <c r="AY103" s="46"/>
      <c r="AZ103" s="46"/>
      <c r="BA103" s="46"/>
      <c r="BB103" s="46"/>
      <c r="BC103" s="46"/>
      <c r="BD103" s="46"/>
      <c r="CH103"/>
      <c r="CI103"/>
      <c r="CJ103"/>
      <c r="CK103"/>
      <c r="CL103"/>
      <c r="CM103"/>
    </row>
    <row r="104" spans="1:91" ht="16">
      <c r="A104" s="123"/>
      <c r="B104" s="123"/>
      <c r="C104" s="123"/>
      <c r="D104" s="140"/>
      <c r="E104" s="140"/>
      <c r="F104" s="142"/>
      <c r="G104" s="142"/>
      <c r="H104" s="123"/>
      <c r="I104" s="123"/>
      <c r="J104" s="123"/>
      <c r="K104" s="140"/>
      <c r="L104" s="141"/>
      <c r="M104" s="123"/>
      <c r="N104" s="123">
        <f t="shared" si="4"/>
        <v>117765.29459999999</v>
      </c>
      <c r="O104" s="123">
        <f t="shared" si="5"/>
        <v>0.65539999999999998</v>
      </c>
      <c r="P104" s="123">
        <f t="shared" si="7"/>
        <v>77183.374080839989</v>
      </c>
      <c r="Q104" s="164">
        <f t="shared" si="6"/>
        <v>0</v>
      </c>
      <c r="R104" s="165"/>
      <c r="S104" s="165"/>
      <c r="T104" s="126"/>
      <c r="U104" s="137"/>
      <c r="V104" s="138"/>
      <c r="W104" s="137"/>
      <c r="X104" s="138"/>
      <c r="Y104" s="126"/>
      <c r="Z104" s="126"/>
      <c r="AA104" s="126"/>
      <c r="AB104" s="126"/>
      <c r="AC104" s="126"/>
      <c r="AD104" s="126"/>
      <c r="AE104" s="126"/>
      <c r="AF104" s="127"/>
      <c r="AG104" s="127"/>
      <c r="AH104" s="44"/>
      <c r="AI104" s="44"/>
      <c r="AJ104" s="44"/>
      <c r="AK104" s="44"/>
      <c r="AL104" s="44"/>
      <c r="AM104" s="44"/>
      <c r="AN104" s="44"/>
      <c r="AO104" s="44"/>
      <c r="AP104" s="44"/>
      <c r="AY104" s="46"/>
      <c r="AZ104" s="46"/>
      <c r="BA104" s="46"/>
      <c r="BB104" s="46"/>
      <c r="BC104" s="46"/>
      <c r="BD104" s="46"/>
      <c r="CH104"/>
      <c r="CI104"/>
      <c r="CJ104"/>
      <c r="CK104"/>
      <c r="CL104"/>
      <c r="CM104"/>
    </row>
    <row r="105" spans="1:91" ht="16">
      <c r="A105" s="123"/>
      <c r="B105" s="123"/>
      <c r="C105" s="123"/>
      <c r="D105" s="123"/>
      <c r="E105" s="123"/>
      <c r="F105" s="123"/>
      <c r="G105" s="123"/>
      <c r="H105" s="123"/>
      <c r="I105" s="123"/>
      <c r="J105" s="123"/>
      <c r="K105" s="140"/>
      <c r="L105" s="141"/>
      <c r="M105" s="123"/>
      <c r="N105" s="123">
        <f t="shared" si="4"/>
        <v>0</v>
      </c>
      <c r="O105" s="123">
        <f t="shared" si="5"/>
        <v>0</v>
      </c>
      <c r="P105" s="123">
        <f t="shared" si="7"/>
        <v>0</v>
      </c>
      <c r="Q105" s="164">
        <f t="shared" si="6"/>
        <v>0</v>
      </c>
      <c r="R105" s="165"/>
      <c r="S105" s="165"/>
      <c r="T105" s="126"/>
      <c r="U105" s="137"/>
      <c r="V105" s="138"/>
      <c r="W105" s="137"/>
      <c r="X105" s="138"/>
      <c r="Y105" s="126"/>
      <c r="Z105" s="126"/>
      <c r="AA105" s="126"/>
      <c r="AB105" s="126"/>
      <c r="AC105" s="126"/>
      <c r="AD105" s="126"/>
      <c r="AE105" s="126"/>
      <c r="AF105" s="127"/>
      <c r="AG105" s="127"/>
      <c r="AH105" s="44"/>
      <c r="AI105" s="44"/>
      <c r="AJ105" s="44"/>
      <c r="AK105" s="44"/>
      <c r="AL105" s="44"/>
      <c r="AM105" s="44"/>
      <c r="AN105" s="44"/>
      <c r="AO105" s="44"/>
      <c r="AP105" s="44"/>
      <c r="AY105" s="46"/>
      <c r="AZ105" s="46"/>
      <c r="BA105" s="46"/>
      <c r="BB105" s="46"/>
      <c r="BC105" s="46"/>
      <c r="BD105" s="46"/>
      <c r="CH105"/>
      <c r="CI105"/>
      <c r="CJ105"/>
      <c r="CK105"/>
      <c r="CL105"/>
      <c r="CM105"/>
    </row>
    <row r="106" spans="1:91" ht="16">
      <c r="A106" s="123"/>
      <c r="B106" s="123"/>
      <c r="C106" s="123"/>
      <c r="D106" s="123"/>
      <c r="E106" s="123"/>
      <c r="F106" s="123"/>
      <c r="G106" s="123"/>
      <c r="H106" s="123"/>
      <c r="I106" s="123"/>
      <c r="J106" s="123"/>
      <c r="K106" s="140"/>
      <c r="L106" s="141"/>
      <c r="M106" s="123"/>
      <c r="N106" s="123">
        <f t="shared" si="4"/>
        <v>1926.6</v>
      </c>
      <c r="O106" s="123">
        <f t="shared" si="5"/>
        <v>0.57999999999999996</v>
      </c>
      <c r="P106" s="123">
        <f t="shared" si="7"/>
        <v>1117.4279999999999</v>
      </c>
      <c r="Q106" s="164">
        <f t="shared" si="6"/>
        <v>0</v>
      </c>
      <c r="R106" s="165"/>
      <c r="S106" s="165"/>
      <c r="T106" s="126"/>
      <c r="U106" s="137"/>
      <c r="V106" s="138"/>
      <c r="W106" s="137"/>
      <c r="X106" s="138"/>
      <c r="Y106" s="126"/>
      <c r="Z106" s="126"/>
      <c r="AA106" s="126"/>
      <c r="AB106" s="126"/>
      <c r="AC106" s="126"/>
      <c r="AD106" s="126"/>
      <c r="AE106" s="126"/>
      <c r="AF106" s="127"/>
      <c r="AG106" s="127"/>
      <c r="AH106" s="44"/>
      <c r="AI106" s="44"/>
      <c r="AJ106" s="44"/>
      <c r="AK106" s="44"/>
      <c r="AL106" s="44"/>
      <c r="AM106" s="44"/>
      <c r="AN106" s="44"/>
      <c r="AO106" s="44"/>
      <c r="AP106" s="44"/>
      <c r="AY106" s="46"/>
      <c r="AZ106" s="46"/>
      <c r="BA106" s="46"/>
      <c r="BB106" s="46"/>
      <c r="BC106" s="46"/>
      <c r="BD106" s="46"/>
      <c r="CH106"/>
      <c r="CI106"/>
      <c r="CJ106"/>
      <c r="CK106"/>
      <c r="CL106"/>
      <c r="CM106"/>
    </row>
    <row r="107" spans="1:91" ht="16">
      <c r="A107" s="123"/>
      <c r="B107" s="123"/>
      <c r="C107" s="123"/>
      <c r="D107" s="123"/>
      <c r="E107" s="123"/>
      <c r="F107" s="123"/>
      <c r="G107" s="123"/>
      <c r="H107" s="123"/>
      <c r="I107" s="123"/>
      <c r="J107" s="123"/>
      <c r="K107" s="140"/>
      <c r="L107" s="141"/>
      <c r="M107" s="123"/>
      <c r="N107" s="123">
        <f t="shared" si="4"/>
        <v>1541.28</v>
      </c>
      <c r="O107" s="123">
        <f t="shared" si="5"/>
        <v>0.57999999999999996</v>
      </c>
      <c r="P107" s="123">
        <f t="shared" si="7"/>
        <v>893.94239999999991</v>
      </c>
      <c r="Q107" s="164">
        <f t="shared" si="6"/>
        <v>1</v>
      </c>
      <c r="R107" s="165"/>
      <c r="S107" s="165"/>
      <c r="T107" s="126"/>
      <c r="U107" s="137"/>
      <c r="V107" s="138"/>
      <c r="W107" s="137"/>
      <c r="X107" s="138"/>
      <c r="Y107" s="126"/>
      <c r="Z107" s="126"/>
      <c r="AA107" s="126"/>
      <c r="AB107" s="126"/>
      <c r="AC107" s="126"/>
      <c r="AD107" s="126"/>
      <c r="AE107" s="126"/>
      <c r="AF107" s="127"/>
      <c r="AG107" s="127"/>
      <c r="AH107" s="44"/>
      <c r="AI107" s="44"/>
      <c r="AJ107" s="44"/>
      <c r="AK107" s="44"/>
      <c r="AL107" s="44"/>
      <c r="AM107" s="44"/>
      <c r="AN107" s="44"/>
      <c r="AO107" s="44"/>
      <c r="AP107" s="44"/>
      <c r="AY107" s="46"/>
      <c r="AZ107" s="46"/>
      <c r="BA107" s="46"/>
      <c r="BB107" s="46"/>
      <c r="BC107" s="46"/>
      <c r="BD107" s="46"/>
      <c r="CH107"/>
      <c r="CI107"/>
      <c r="CJ107"/>
      <c r="CK107"/>
      <c r="CL107"/>
      <c r="CM107"/>
    </row>
    <row r="108" spans="1:91" ht="16">
      <c r="A108" s="123"/>
      <c r="B108" s="123"/>
      <c r="C108" s="123"/>
      <c r="D108" s="123"/>
      <c r="E108" s="123"/>
      <c r="F108" s="123"/>
      <c r="G108" s="123"/>
      <c r="H108" s="123"/>
      <c r="I108" s="123"/>
      <c r="J108" s="123"/>
      <c r="K108" s="140"/>
      <c r="L108" s="141"/>
      <c r="M108" s="123"/>
      <c r="N108" s="123">
        <f t="shared" si="4"/>
        <v>385.32</v>
      </c>
      <c r="O108" s="123">
        <f t="shared" si="5"/>
        <v>0.60029999999999994</v>
      </c>
      <c r="P108" s="123">
        <f t="shared" si="7"/>
        <v>231.30759599999996</v>
      </c>
      <c r="Q108" s="164">
        <f t="shared" si="6"/>
        <v>1</v>
      </c>
      <c r="R108" s="165"/>
      <c r="S108" s="165"/>
      <c r="T108" s="126"/>
      <c r="U108" s="137"/>
      <c r="V108" s="138"/>
      <c r="W108" s="137"/>
      <c r="X108" s="138"/>
      <c r="Y108" s="126"/>
      <c r="Z108" s="126"/>
      <c r="AA108" s="126"/>
      <c r="AB108" s="126"/>
      <c r="AC108" s="126"/>
      <c r="AD108" s="126"/>
      <c r="AE108" s="126"/>
      <c r="AF108" s="127"/>
      <c r="AG108" s="127"/>
      <c r="AH108" s="44"/>
      <c r="AI108" s="44"/>
      <c r="AJ108" s="44"/>
      <c r="AK108" s="44"/>
      <c r="AL108" s="44"/>
      <c r="AM108" s="44"/>
      <c r="AN108" s="44"/>
      <c r="AO108" s="44"/>
      <c r="AP108" s="44"/>
      <c r="AY108" s="46"/>
      <c r="AZ108" s="46"/>
      <c r="BA108" s="46"/>
      <c r="BB108" s="46"/>
      <c r="BC108" s="46"/>
      <c r="BD108" s="46"/>
      <c r="CH108"/>
      <c r="CI108"/>
      <c r="CJ108"/>
      <c r="CK108"/>
      <c r="CL108"/>
      <c r="CM108"/>
    </row>
    <row r="109" spans="1:91" s="109" customFormat="1" ht="16">
      <c r="A109" s="123"/>
      <c r="B109" s="123"/>
      <c r="C109" s="123"/>
      <c r="D109" s="123"/>
      <c r="E109" s="123"/>
      <c r="F109" s="123"/>
      <c r="G109" s="123"/>
      <c r="H109" s="123"/>
      <c r="I109" s="123"/>
      <c r="J109" s="123"/>
      <c r="K109" s="140"/>
      <c r="L109" s="141"/>
      <c r="M109" s="123"/>
      <c r="N109" s="123">
        <f t="shared" si="4"/>
        <v>385.32</v>
      </c>
      <c r="O109" s="123">
        <f t="shared" si="5"/>
        <v>0.60029999999999994</v>
      </c>
      <c r="P109" s="123">
        <f t="shared" si="7"/>
        <v>231.30759599999996</v>
      </c>
      <c r="Q109" s="164">
        <f t="shared" si="6"/>
        <v>0</v>
      </c>
      <c r="R109" s="165"/>
      <c r="S109" s="165"/>
      <c r="T109" s="126"/>
      <c r="U109" s="137"/>
      <c r="V109" s="138"/>
      <c r="W109" s="137"/>
      <c r="X109" s="138"/>
      <c r="Y109" s="126"/>
      <c r="Z109" s="126"/>
      <c r="AA109" s="126"/>
      <c r="AB109" s="126"/>
      <c r="AC109" s="126"/>
      <c r="AD109" s="126"/>
      <c r="AE109" s="126"/>
      <c r="AF109" s="127"/>
      <c r="AG109" s="127"/>
      <c r="AH109" s="44"/>
      <c r="AI109" s="44"/>
      <c r="AJ109" s="44"/>
      <c r="AK109" s="44"/>
      <c r="AL109" s="44"/>
      <c r="AM109" s="44"/>
      <c r="AN109" s="44"/>
      <c r="AO109" s="44"/>
      <c r="AP109" s="44"/>
      <c r="AY109" s="46"/>
      <c r="AZ109" s="46"/>
      <c r="BA109" s="46"/>
      <c r="BB109" s="46"/>
      <c r="BC109" s="46"/>
      <c r="BD109" s="46"/>
      <c r="BE109" s="46"/>
      <c r="BF109" s="46"/>
      <c r="BG109" s="46"/>
      <c r="BH109" s="46"/>
      <c r="BI109" s="46"/>
      <c r="BJ109" s="46"/>
      <c r="BK109" s="46"/>
      <c r="BL109" s="46"/>
      <c r="BM109" s="46"/>
      <c r="BN109" s="46"/>
      <c r="BO109" s="46"/>
      <c r="BP109" s="46"/>
      <c r="BQ109" s="46"/>
      <c r="BR109" s="46"/>
      <c r="BS109" s="46"/>
      <c r="BT109" s="46"/>
      <c r="BU109" s="46"/>
      <c r="BV109" s="46"/>
      <c r="BW109" s="46"/>
      <c r="BX109" s="46"/>
      <c r="BY109" s="46"/>
      <c r="BZ109" s="46"/>
      <c r="CA109" s="46"/>
      <c r="CB109" s="46"/>
      <c r="CC109" s="46"/>
      <c r="CD109" s="46"/>
      <c r="CE109" s="46"/>
      <c r="CF109" s="46"/>
      <c r="CG109" s="46"/>
    </row>
    <row r="110" spans="1:91" s="109" customFormat="1" ht="16">
      <c r="A110" s="123"/>
      <c r="B110" s="123"/>
      <c r="C110" s="123"/>
      <c r="D110" s="123"/>
      <c r="E110" s="123"/>
      <c r="F110" s="123"/>
      <c r="G110" s="123"/>
      <c r="H110" s="123"/>
      <c r="I110" s="123"/>
      <c r="J110" s="123"/>
      <c r="K110" s="140"/>
      <c r="L110" s="141"/>
      <c r="M110" s="123"/>
      <c r="N110" s="123">
        <f t="shared" si="4"/>
        <v>0</v>
      </c>
      <c r="O110" s="123">
        <f t="shared" si="5"/>
        <v>0</v>
      </c>
      <c r="P110" s="123">
        <f t="shared" si="7"/>
        <v>0</v>
      </c>
      <c r="Q110" s="164">
        <f t="shared" si="6"/>
        <v>1</v>
      </c>
      <c r="R110" s="165"/>
      <c r="S110" s="165"/>
      <c r="T110" s="126"/>
      <c r="U110" s="137"/>
      <c r="V110" s="138"/>
      <c r="W110" s="137"/>
      <c r="X110" s="138"/>
      <c r="Y110" s="126"/>
      <c r="Z110" s="126"/>
      <c r="AA110" s="126"/>
      <c r="AB110" s="126"/>
      <c r="AC110" s="126"/>
      <c r="AD110" s="126"/>
      <c r="AE110" s="126"/>
      <c r="AF110" s="127"/>
      <c r="AG110" s="127"/>
      <c r="AH110" s="44"/>
      <c r="AI110" s="44"/>
      <c r="AJ110" s="44"/>
      <c r="AK110" s="44"/>
      <c r="AL110" s="44"/>
      <c r="AM110" s="44"/>
      <c r="AN110" s="44"/>
      <c r="AO110" s="44"/>
      <c r="AP110" s="44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  <c r="BI110" s="46"/>
      <c r="BJ110" s="46"/>
      <c r="BK110" s="46"/>
      <c r="BL110" s="46"/>
      <c r="BM110" s="46"/>
      <c r="BN110" s="46"/>
      <c r="BO110" s="46"/>
      <c r="BP110" s="46"/>
      <c r="BQ110" s="46"/>
      <c r="BR110" s="46"/>
      <c r="BS110" s="46"/>
      <c r="BT110" s="46"/>
      <c r="BU110" s="46"/>
      <c r="BV110" s="46"/>
      <c r="BW110" s="46"/>
      <c r="BX110" s="46"/>
      <c r="BY110" s="46"/>
      <c r="BZ110" s="46"/>
      <c r="CA110" s="46"/>
      <c r="CB110" s="46"/>
      <c r="CC110" s="46"/>
      <c r="CD110" s="46"/>
      <c r="CE110" s="46"/>
      <c r="CF110" s="46"/>
      <c r="CG110" s="46"/>
    </row>
    <row r="111" spans="1:91" ht="16">
      <c r="A111" s="123"/>
      <c r="B111" s="123"/>
      <c r="C111" s="123"/>
      <c r="D111" s="140"/>
      <c r="E111" s="140"/>
      <c r="F111" s="143"/>
      <c r="G111" s="143"/>
      <c r="H111" s="141"/>
      <c r="I111" s="123"/>
      <c r="J111" s="123"/>
      <c r="K111" s="140"/>
      <c r="L111" s="141"/>
      <c r="M111" s="123"/>
      <c r="N111" s="123">
        <f t="shared" si="4"/>
        <v>0</v>
      </c>
      <c r="O111" s="123">
        <f t="shared" si="5"/>
        <v>0</v>
      </c>
      <c r="P111" s="123">
        <f t="shared" si="7"/>
        <v>0</v>
      </c>
      <c r="Q111" s="164">
        <f t="shared" si="6"/>
        <v>1</v>
      </c>
      <c r="R111" s="165"/>
      <c r="S111" s="165"/>
      <c r="T111" s="126"/>
      <c r="U111" s="137"/>
      <c r="V111" s="138"/>
      <c r="W111" s="137"/>
      <c r="X111" s="138"/>
      <c r="Y111" s="126"/>
      <c r="Z111" s="126"/>
      <c r="AA111" s="126"/>
      <c r="AB111" s="126"/>
      <c r="AC111" s="126"/>
      <c r="AD111" s="126"/>
      <c r="AE111" s="126"/>
      <c r="AF111" s="127"/>
      <c r="AG111" s="127"/>
      <c r="AH111" s="44"/>
      <c r="AI111" s="44"/>
      <c r="AJ111" s="44"/>
      <c r="AK111" s="44"/>
      <c r="AL111" s="44"/>
      <c r="AM111" s="44"/>
      <c r="AN111" s="44"/>
      <c r="AO111" s="44"/>
      <c r="AP111" s="44"/>
      <c r="AY111" s="46"/>
      <c r="AZ111" s="46"/>
      <c r="BA111" s="46"/>
      <c r="BB111" s="46"/>
      <c r="BC111" s="46"/>
      <c r="BD111" s="46"/>
      <c r="CH111"/>
      <c r="CI111"/>
      <c r="CJ111"/>
      <c r="CK111"/>
      <c r="CL111"/>
      <c r="CM111"/>
    </row>
    <row r="112" spans="1:91" ht="16">
      <c r="A112" s="123"/>
      <c r="B112" s="123"/>
      <c r="C112" s="123"/>
      <c r="D112" s="123"/>
      <c r="E112" s="123"/>
      <c r="F112" s="123"/>
      <c r="G112" s="123"/>
      <c r="H112" s="123"/>
      <c r="I112" s="123"/>
      <c r="J112" s="123"/>
      <c r="K112" s="140"/>
      <c r="L112" s="141"/>
      <c r="M112" s="123"/>
      <c r="N112" s="123">
        <f t="shared" si="4"/>
        <v>0</v>
      </c>
      <c r="O112" s="123">
        <f t="shared" si="5"/>
        <v>0</v>
      </c>
      <c r="P112" s="123">
        <f t="shared" si="7"/>
        <v>0</v>
      </c>
      <c r="Q112" s="164">
        <f t="shared" si="6"/>
        <v>1</v>
      </c>
      <c r="R112" s="165"/>
      <c r="S112" s="165"/>
      <c r="T112" s="126"/>
      <c r="U112" s="137"/>
      <c r="V112" s="138"/>
      <c r="W112" s="137"/>
      <c r="X112" s="138"/>
      <c r="Y112" s="126"/>
      <c r="Z112" s="126"/>
      <c r="AA112" s="126"/>
      <c r="AB112" s="126"/>
      <c r="AC112" s="126"/>
      <c r="AD112" s="126"/>
      <c r="AE112" s="126"/>
      <c r="AF112" s="127"/>
      <c r="AG112" s="127"/>
      <c r="AH112" s="44"/>
      <c r="AI112" s="44"/>
      <c r="AJ112" s="44"/>
      <c r="AK112" s="44"/>
      <c r="AL112" s="44"/>
      <c r="AM112" s="44"/>
      <c r="AN112" s="44"/>
      <c r="AO112" s="44"/>
      <c r="AP112" s="44"/>
      <c r="AY112" s="46"/>
      <c r="AZ112" s="46"/>
      <c r="BA112" s="46"/>
      <c r="BB112" s="46"/>
      <c r="BC112" s="46"/>
      <c r="BD112" s="46"/>
      <c r="CH112"/>
      <c r="CI112"/>
      <c r="CJ112"/>
      <c r="CK112"/>
      <c r="CL112"/>
      <c r="CM112"/>
    </row>
    <row r="113" spans="1:91" ht="16">
      <c r="A113" s="123"/>
      <c r="B113" s="123"/>
      <c r="C113" s="123"/>
      <c r="D113" s="123"/>
      <c r="E113" s="123"/>
      <c r="F113" s="123"/>
      <c r="G113" s="123"/>
      <c r="H113" s="123"/>
      <c r="I113" s="123"/>
      <c r="J113" s="123"/>
      <c r="K113" s="140"/>
      <c r="L113" s="141"/>
      <c r="M113" s="123"/>
      <c r="N113" s="123">
        <f t="shared" si="4"/>
        <v>0</v>
      </c>
      <c r="O113" s="123">
        <f t="shared" si="5"/>
        <v>0.60029999999999994</v>
      </c>
      <c r="P113" s="123">
        <f t="shared" si="7"/>
        <v>0</v>
      </c>
      <c r="Q113" s="164">
        <f t="shared" si="6"/>
        <v>0</v>
      </c>
      <c r="R113" s="165"/>
      <c r="S113" s="165"/>
      <c r="T113" s="126"/>
      <c r="U113" s="137"/>
      <c r="V113" s="138"/>
      <c r="W113" s="137"/>
      <c r="X113" s="138"/>
      <c r="Y113" s="126"/>
      <c r="Z113" s="126"/>
      <c r="AA113" s="126"/>
      <c r="AB113" s="126"/>
      <c r="AC113" s="126"/>
      <c r="AD113" s="126"/>
      <c r="AE113" s="126"/>
      <c r="AF113" s="127"/>
      <c r="AG113" s="127"/>
      <c r="AH113" s="44"/>
      <c r="AI113" s="44"/>
      <c r="AJ113" s="44"/>
      <c r="AK113" s="44"/>
      <c r="AL113" s="44"/>
      <c r="AM113" s="44"/>
      <c r="AN113" s="44"/>
      <c r="AO113" s="44"/>
      <c r="AP113" s="44"/>
      <c r="AY113" s="46"/>
      <c r="AZ113" s="46"/>
      <c r="BA113" s="46"/>
      <c r="BB113" s="46"/>
      <c r="BC113" s="46"/>
      <c r="BD113" s="46"/>
      <c r="CH113"/>
      <c r="CI113"/>
      <c r="CJ113"/>
      <c r="CK113"/>
      <c r="CL113"/>
      <c r="CM113"/>
    </row>
    <row r="114" spans="1:91" ht="16">
      <c r="A114" s="123"/>
      <c r="B114" s="123"/>
      <c r="C114" s="123"/>
      <c r="D114" s="140"/>
      <c r="E114" s="140"/>
      <c r="F114" s="143"/>
      <c r="G114" s="143"/>
      <c r="H114" s="141"/>
      <c r="I114" s="123"/>
      <c r="J114" s="123"/>
      <c r="K114" s="140"/>
      <c r="L114" s="141"/>
      <c r="M114" s="123"/>
      <c r="N114" s="123">
        <f t="shared" si="4"/>
        <v>0</v>
      </c>
      <c r="O114" s="123">
        <f t="shared" si="5"/>
        <v>0</v>
      </c>
      <c r="P114" s="123">
        <f t="shared" si="7"/>
        <v>0</v>
      </c>
      <c r="Q114" s="164">
        <f t="shared" si="6"/>
        <v>1</v>
      </c>
      <c r="R114" s="165"/>
      <c r="S114" s="165"/>
      <c r="T114" s="126"/>
      <c r="U114" s="137"/>
      <c r="V114" s="138"/>
      <c r="W114" s="137"/>
      <c r="X114" s="138"/>
      <c r="Y114" s="126"/>
      <c r="Z114" s="126"/>
      <c r="AA114" s="126"/>
      <c r="AB114" s="126"/>
      <c r="AC114" s="126"/>
      <c r="AD114" s="126"/>
      <c r="AE114" s="126"/>
      <c r="AF114" s="127"/>
      <c r="AG114" s="127"/>
      <c r="AH114" s="44"/>
      <c r="AI114" s="44"/>
      <c r="AJ114" s="44"/>
      <c r="AK114" s="44"/>
      <c r="AL114" s="44"/>
      <c r="AM114" s="44"/>
      <c r="AN114" s="44"/>
      <c r="AO114" s="44"/>
      <c r="AP114" s="44"/>
      <c r="AY114" s="46"/>
      <c r="AZ114" s="46"/>
      <c r="BA114" s="46"/>
      <c r="BB114" s="46"/>
      <c r="BC114" s="46"/>
      <c r="BD114" s="46"/>
      <c r="CH114"/>
      <c r="CI114"/>
      <c r="CJ114"/>
      <c r="CK114"/>
      <c r="CL114"/>
      <c r="CM114"/>
    </row>
    <row r="115" spans="1:91" ht="16">
      <c r="A115" s="123"/>
      <c r="B115" s="123"/>
      <c r="C115" s="123"/>
      <c r="D115" s="123"/>
      <c r="E115" s="123"/>
      <c r="F115" s="123"/>
      <c r="G115" s="123"/>
      <c r="H115" s="123"/>
      <c r="I115" s="123"/>
      <c r="J115" s="123"/>
      <c r="K115" s="140"/>
      <c r="L115" s="141"/>
      <c r="M115" s="123"/>
      <c r="N115" s="123">
        <f t="shared" si="4"/>
        <v>10861.42</v>
      </c>
      <c r="O115" s="123">
        <f t="shared" si="5"/>
        <v>0.65410000000000001</v>
      </c>
      <c r="P115" s="123">
        <f t="shared" si="7"/>
        <v>7104.4548220000006</v>
      </c>
      <c r="Q115" s="164">
        <f t="shared" si="6"/>
        <v>0</v>
      </c>
      <c r="R115" s="165"/>
      <c r="S115" s="165"/>
      <c r="T115" s="126"/>
      <c r="U115" s="137"/>
      <c r="V115" s="138"/>
      <c r="W115" s="137"/>
      <c r="X115" s="138"/>
      <c r="Y115" s="126"/>
      <c r="Z115" s="126"/>
      <c r="AA115" s="126"/>
      <c r="AB115" s="126"/>
      <c r="AC115" s="126"/>
      <c r="AD115" s="126"/>
      <c r="AE115" s="126"/>
      <c r="AF115" s="127"/>
      <c r="AG115" s="127"/>
      <c r="AH115" s="44"/>
      <c r="AI115" s="44"/>
      <c r="AJ115" s="44"/>
      <c r="AK115" s="44"/>
      <c r="AL115" s="44"/>
      <c r="AM115" s="44"/>
      <c r="AN115" s="44"/>
      <c r="AO115" s="44"/>
      <c r="AP115" s="44"/>
      <c r="AY115" s="46"/>
      <c r="AZ115" s="46"/>
      <c r="BA115" s="46"/>
      <c r="BB115" s="46"/>
      <c r="BC115" s="46"/>
      <c r="BD115" s="46"/>
      <c r="CH115"/>
      <c r="CI115"/>
      <c r="CJ115"/>
      <c r="CK115"/>
      <c r="CL115"/>
      <c r="CM115"/>
    </row>
    <row r="116" spans="1:91" ht="16" customHeight="1">
      <c r="A116" s="123"/>
      <c r="B116" s="123"/>
      <c r="C116" s="123"/>
      <c r="D116" s="140"/>
      <c r="E116" s="140"/>
      <c r="F116" s="143"/>
      <c r="G116" s="143"/>
      <c r="H116" s="141"/>
      <c r="I116" s="123"/>
      <c r="J116" s="123"/>
      <c r="K116" s="140"/>
      <c r="L116" s="141"/>
      <c r="M116" s="123"/>
      <c r="N116" s="123">
        <f t="shared" si="4"/>
        <v>1303.3704</v>
      </c>
      <c r="O116" s="123">
        <f t="shared" si="5"/>
        <v>0.65410000000000001</v>
      </c>
      <c r="P116" s="123">
        <f t="shared" si="7"/>
        <v>852.53457864000006</v>
      </c>
      <c r="Q116" s="164">
        <f t="shared" si="6"/>
        <v>1</v>
      </c>
      <c r="R116" s="165"/>
      <c r="S116" s="165"/>
      <c r="T116" s="126"/>
      <c r="U116" s="137"/>
      <c r="V116" s="138"/>
      <c r="W116" s="137"/>
      <c r="X116" s="138"/>
      <c r="Y116" s="126"/>
      <c r="Z116" s="126"/>
      <c r="AA116" s="126"/>
      <c r="AB116" s="126"/>
      <c r="AC116" s="126"/>
      <c r="AD116" s="126"/>
      <c r="AE116" s="126"/>
      <c r="AF116" s="127"/>
      <c r="AG116" s="127"/>
      <c r="AH116" s="44"/>
      <c r="AI116" s="44"/>
      <c r="AJ116" s="44"/>
      <c r="AK116" s="44"/>
      <c r="AL116" s="44"/>
      <c r="AM116" s="44"/>
      <c r="AN116" s="44"/>
      <c r="AO116" s="44"/>
      <c r="AP116" s="44"/>
      <c r="AY116" s="46"/>
      <c r="AZ116" s="46"/>
      <c r="BA116" s="46"/>
      <c r="BB116" s="46"/>
      <c r="BC116" s="46"/>
      <c r="BD116" s="46"/>
      <c r="CH116"/>
      <c r="CI116"/>
      <c r="CJ116"/>
      <c r="CK116"/>
      <c r="CL116"/>
      <c r="CM116"/>
    </row>
    <row r="117" spans="1:91" ht="16">
      <c r="A117" s="123"/>
      <c r="B117" s="123"/>
      <c r="C117" s="123"/>
      <c r="D117" s="140"/>
      <c r="E117" s="140"/>
      <c r="F117" s="142"/>
      <c r="G117" s="142"/>
      <c r="H117" s="123"/>
      <c r="I117" s="123"/>
      <c r="J117" s="123"/>
      <c r="K117" s="140"/>
      <c r="L117" s="141"/>
      <c r="M117" s="123"/>
      <c r="N117" s="123">
        <f t="shared" si="4"/>
        <v>0</v>
      </c>
      <c r="O117" s="123">
        <f t="shared" si="5"/>
        <v>0</v>
      </c>
      <c r="P117" s="123">
        <f t="shared" si="7"/>
        <v>0</v>
      </c>
      <c r="Q117" s="164">
        <f t="shared" si="6"/>
        <v>0</v>
      </c>
      <c r="R117" s="165"/>
      <c r="S117" s="165"/>
      <c r="T117" s="126"/>
      <c r="U117" s="137"/>
      <c r="V117" s="138"/>
      <c r="W117" s="137"/>
      <c r="X117" s="138"/>
      <c r="Y117" s="126"/>
      <c r="Z117" s="126"/>
      <c r="AA117" s="126"/>
      <c r="AB117" s="126"/>
      <c r="AC117" s="126"/>
      <c r="AD117" s="126"/>
      <c r="AE117" s="126"/>
      <c r="AF117" s="127"/>
      <c r="AG117" s="127"/>
      <c r="AH117" s="44"/>
      <c r="AI117" s="44"/>
      <c r="AJ117" s="44"/>
      <c r="AK117" s="44"/>
      <c r="AL117" s="44"/>
      <c r="AM117" s="44"/>
      <c r="AN117" s="44"/>
      <c r="AO117" s="44"/>
      <c r="AP117" s="44"/>
      <c r="AY117" s="46"/>
      <c r="AZ117" s="46"/>
      <c r="BA117" s="46"/>
      <c r="BB117" s="46"/>
      <c r="BC117" s="46"/>
      <c r="BD117" s="46"/>
      <c r="CH117"/>
      <c r="CI117"/>
      <c r="CJ117"/>
      <c r="CK117"/>
      <c r="CL117"/>
      <c r="CM117"/>
    </row>
    <row r="118" spans="1:91" ht="16">
      <c r="A118" s="123"/>
      <c r="B118" s="123"/>
      <c r="C118" s="123"/>
      <c r="D118" s="123"/>
      <c r="E118" s="123"/>
      <c r="F118" s="123"/>
      <c r="G118" s="123"/>
      <c r="H118" s="123"/>
      <c r="I118" s="123"/>
      <c r="J118" s="123"/>
      <c r="K118" s="140"/>
      <c r="L118" s="141"/>
      <c r="M118" s="123"/>
      <c r="N118" s="123">
        <f t="shared" si="4"/>
        <v>9558.0496000000003</v>
      </c>
      <c r="O118" s="123">
        <f t="shared" si="5"/>
        <v>0.65410000000000001</v>
      </c>
      <c r="P118" s="123">
        <f t="shared" si="7"/>
        <v>6251.9202433600003</v>
      </c>
      <c r="Q118" s="164">
        <f t="shared" si="6"/>
        <v>0</v>
      </c>
      <c r="R118" s="165"/>
      <c r="S118" s="165"/>
      <c r="T118" s="126"/>
      <c r="U118" s="137"/>
      <c r="V118" s="138"/>
      <c r="W118" s="137"/>
      <c r="X118" s="138"/>
      <c r="Y118" s="126"/>
      <c r="Z118" s="126"/>
      <c r="AA118" s="126"/>
      <c r="AB118" s="126"/>
      <c r="AC118" s="126"/>
      <c r="AD118" s="126"/>
      <c r="AE118" s="126"/>
      <c r="AF118" s="127"/>
      <c r="AG118" s="127"/>
      <c r="AH118" s="44"/>
      <c r="AI118" s="44"/>
      <c r="AJ118" s="44"/>
      <c r="AK118" s="44"/>
      <c r="AL118" s="44"/>
      <c r="AM118" s="44"/>
      <c r="AN118" s="44"/>
      <c r="AO118" s="44"/>
      <c r="AP118" s="44"/>
      <c r="AY118" s="46"/>
      <c r="AZ118" s="46"/>
      <c r="BA118" s="46"/>
      <c r="BB118" s="46"/>
      <c r="BC118" s="46"/>
      <c r="BD118" s="46"/>
      <c r="CH118"/>
      <c r="CI118"/>
      <c r="CJ118"/>
      <c r="CK118"/>
      <c r="CL118"/>
      <c r="CM118"/>
    </row>
    <row r="119" spans="1:91" ht="16">
      <c r="A119" s="123"/>
      <c r="B119" s="123"/>
      <c r="C119" s="123"/>
      <c r="D119" s="123"/>
      <c r="E119" s="123"/>
      <c r="F119" s="123"/>
      <c r="G119" s="123"/>
      <c r="H119" s="123"/>
      <c r="I119" s="123"/>
      <c r="J119" s="123"/>
      <c r="K119" s="140"/>
      <c r="L119" s="141"/>
      <c r="M119" s="123"/>
      <c r="N119" s="123">
        <f t="shared" si="4"/>
        <v>0</v>
      </c>
      <c r="O119" s="123">
        <f t="shared" si="5"/>
        <v>0</v>
      </c>
      <c r="P119" s="123">
        <f t="shared" si="7"/>
        <v>0</v>
      </c>
      <c r="Q119" s="164">
        <f t="shared" si="6"/>
        <v>0</v>
      </c>
      <c r="R119" s="165"/>
      <c r="S119" s="165"/>
      <c r="T119" s="126"/>
      <c r="U119" s="137"/>
      <c r="V119" s="138"/>
      <c r="W119" s="137"/>
      <c r="X119" s="138"/>
      <c r="Y119" s="126"/>
      <c r="Z119" s="126"/>
      <c r="AA119" s="126"/>
      <c r="AB119" s="126"/>
      <c r="AC119" s="126"/>
      <c r="AD119" s="126"/>
      <c r="AE119" s="126"/>
      <c r="AF119" s="127"/>
      <c r="AG119" s="127"/>
      <c r="AH119" s="44"/>
      <c r="AI119" s="44"/>
      <c r="AJ119" s="44"/>
      <c r="AK119" s="44"/>
      <c r="AL119" s="44"/>
      <c r="AM119" s="44"/>
      <c r="AN119" s="44"/>
      <c r="AO119" s="44"/>
      <c r="AP119" s="44"/>
      <c r="AY119" s="46"/>
      <c r="AZ119" s="46"/>
      <c r="BA119" s="46"/>
      <c r="BB119" s="46"/>
      <c r="BC119" s="46"/>
      <c r="BD119" s="46"/>
      <c r="CH119"/>
      <c r="CI119"/>
      <c r="CJ119"/>
      <c r="CK119"/>
      <c r="CL119"/>
      <c r="CM119"/>
    </row>
    <row r="120" spans="1:91" ht="16">
      <c r="A120" s="123"/>
      <c r="B120" s="123"/>
      <c r="C120" s="123"/>
      <c r="D120" s="123"/>
      <c r="E120" s="123"/>
      <c r="F120" s="123"/>
      <c r="G120" s="123"/>
      <c r="H120" s="123"/>
      <c r="I120" s="123"/>
      <c r="J120" s="123"/>
      <c r="K120" s="140"/>
      <c r="L120" s="141"/>
      <c r="M120" s="123"/>
      <c r="N120" s="123">
        <f t="shared" si="4"/>
        <v>0</v>
      </c>
      <c r="O120" s="123">
        <f t="shared" si="5"/>
        <v>0</v>
      </c>
      <c r="P120" s="123">
        <f t="shared" si="7"/>
        <v>0</v>
      </c>
      <c r="Q120" s="164">
        <f t="shared" si="6"/>
        <v>0</v>
      </c>
      <c r="R120" s="165"/>
      <c r="S120" s="165"/>
      <c r="T120" s="126"/>
      <c r="U120" s="137"/>
      <c r="V120" s="138"/>
      <c r="W120" s="137"/>
      <c r="X120" s="138"/>
      <c r="Y120" s="126"/>
      <c r="Z120" s="126"/>
      <c r="AA120" s="126"/>
      <c r="AB120" s="126"/>
      <c r="AC120" s="126"/>
      <c r="AD120" s="126"/>
      <c r="AE120" s="126"/>
      <c r="AF120" s="127"/>
      <c r="AG120" s="127"/>
      <c r="AH120" s="44"/>
      <c r="AI120" s="44"/>
      <c r="AJ120" s="44"/>
      <c r="AK120" s="44"/>
      <c r="AL120" s="44"/>
      <c r="AM120" s="44"/>
      <c r="AN120" s="44"/>
      <c r="AO120" s="44"/>
      <c r="AP120" s="44"/>
      <c r="AY120" s="46"/>
      <c r="AZ120" s="46"/>
      <c r="BA120" s="46"/>
      <c r="BB120" s="46"/>
      <c r="BC120" s="46"/>
      <c r="BD120" s="46"/>
      <c r="CH120"/>
      <c r="CI120"/>
      <c r="CJ120"/>
      <c r="CK120"/>
      <c r="CL120"/>
      <c r="CM120"/>
    </row>
    <row r="121" spans="1:91" ht="16">
      <c r="A121" s="123"/>
      <c r="B121" s="123"/>
      <c r="C121" s="123"/>
      <c r="D121" s="140"/>
      <c r="E121" s="140"/>
      <c r="F121" s="142"/>
      <c r="G121" s="142"/>
      <c r="H121" s="123"/>
      <c r="I121" s="123"/>
      <c r="J121" s="123"/>
      <c r="K121" s="140"/>
      <c r="L121" s="141"/>
      <c r="M121" s="123"/>
      <c r="N121" s="123">
        <f t="shared" si="4"/>
        <v>1688.6904</v>
      </c>
      <c r="O121" s="123">
        <f t="shared" si="5"/>
        <v>0.64180000000000004</v>
      </c>
      <c r="P121" s="123">
        <f t="shared" si="7"/>
        <v>1083.8014987199999</v>
      </c>
      <c r="Q121" s="164">
        <f t="shared" si="6"/>
        <v>0</v>
      </c>
      <c r="R121" s="165"/>
      <c r="S121" s="165"/>
      <c r="T121" s="126"/>
      <c r="U121" s="137"/>
      <c r="V121" s="138"/>
      <c r="W121" s="137"/>
      <c r="X121" s="138"/>
      <c r="Y121" s="126"/>
      <c r="Z121" s="126"/>
      <c r="AA121" s="126"/>
      <c r="AB121" s="126"/>
      <c r="AC121" s="126"/>
      <c r="AD121" s="126"/>
      <c r="AE121" s="126"/>
      <c r="AF121" s="127"/>
      <c r="AG121" s="127"/>
      <c r="AH121" s="44"/>
      <c r="AI121" s="44"/>
      <c r="AJ121" s="44"/>
      <c r="AK121" s="44"/>
      <c r="AL121" s="44"/>
      <c r="AM121" s="44"/>
      <c r="AN121" s="44"/>
      <c r="AO121" s="44"/>
      <c r="AP121" s="44"/>
      <c r="AY121" s="46"/>
      <c r="AZ121" s="46"/>
      <c r="BA121" s="46"/>
      <c r="BB121" s="46"/>
      <c r="BC121" s="46"/>
      <c r="BD121" s="46"/>
      <c r="CH121"/>
      <c r="CI121"/>
      <c r="CJ121"/>
      <c r="CK121"/>
      <c r="CL121"/>
      <c r="CM121"/>
    </row>
    <row r="122" spans="1:91" ht="16">
      <c r="A122" s="123"/>
      <c r="B122" s="123"/>
      <c r="C122" s="123"/>
      <c r="D122" s="123"/>
      <c r="E122" s="123"/>
      <c r="F122" s="123"/>
      <c r="G122" s="123"/>
      <c r="H122" s="123"/>
      <c r="I122" s="123"/>
      <c r="J122" s="123"/>
      <c r="K122" s="140"/>
      <c r="L122" s="141"/>
      <c r="M122" s="123"/>
      <c r="N122" s="123">
        <f t="shared" si="4"/>
        <v>0</v>
      </c>
      <c r="O122" s="123">
        <f t="shared" si="5"/>
        <v>0</v>
      </c>
      <c r="P122" s="123">
        <f t="shared" si="7"/>
        <v>0</v>
      </c>
      <c r="Q122" s="164">
        <f t="shared" si="6"/>
        <v>0</v>
      </c>
      <c r="R122" s="165"/>
      <c r="S122" s="165"/>
      <c r="T122" s="126"/>
      <c r="U122" s="137"/>
      <c r="V122" s="138"/>
      <c r="W122" s="137"/>
      <c r="X122" s="138"/>
      <c r="Y122" s="126"/>
      <c r="Z122" s="126"/>
      <c r="AA122" s="126"/>
      <c r="AB122" s="126"/>
      <c r="AC122" s="126"/>
      <c r="AD122" s="126"/>
      <c r="AE122" s="126"/>
      <c r="AF122" s="127"/>
      <c r="AG122" s="127"/>
      <c r="AH122" s="44"/>
      <c r="AI122" s="44"/>
      <c r="AJ122" s="44"/>
      <c r="AK122" s="44"/>
      <c r="AL122" s="44"/>
      <c r="AM122" s="44"/>
      <c r="AN122" s="44"/>
      <c r="AO122" s="44"/>
      <c r="AP122" s="44"/>
      <c r="AY122" s="46"/>
      <c r="AZ122" s="46"/>
      <c r="BA122" s="46"/>
      <c r="BB122" s="46"/>
      <c r="BC122" s="46"/>
      <c r="BD122" s="46"/>
      <c r="CH122"/>
      <c r="CI122"/>
      <c r="CJ122"/>
      <c r="CK122"/>
      <c r="CL122"/>
      <c r="CM122"/>
    </row>
    <row r="123" spans="1:91" ht="16">
      <c r="A123" s="123"/>
      <c r="B123" s="123"/>
      <c r="C123" s="123"/>
      <c r="D123" s="140"/>
      <c r="E123" s="140"/>
      <c r="F123" s="142"/>
      <c r="G123" s="140"/>
      <c r="H123" s="123"/>
      <c r="I123" s="123"/>
      <c r="J123" s="123"/>
      <c r="K123" s="140"/>
      <c r="L123" s="141"/>
      <c r="M123" s="123"/>
      <c r="N123" s="123">
        <f t="shared" si="4"/>
        <v>11473.344999999999</v>
      </c>
      <c r="O123" s="123">
        <f t="shared" si="5"/>
        <v>0</v>
      </c>
      <c r="P123" s="123">
        <f t="shared" si="7"/>
        <v>0</v>
      </c>
      <c r="Q123" s="164">
        <f t="shared" si="6"/>
        <v>0</v>
      </c>
      <c r="R123" s="165"/>
      <c r="S123" s="165"/>
      <c r="T123" s="126"/>
      <c r="U123" s="137"/>
      <c r="V123" s="138"/>
      <c r="W123" s="137"/>
      <c r="X123" s="138"/>
      <c r="Y123" s="126"/>
      <c r="Z123" s="126"/>
      <c r="AA123" s="126"/>
      <c r="AB123" s="126"/>
      <c r="AC123" s="126"/>
      <c r="AD123" s="126"/>
      <c r="AE123" s="126"/>
      <c r="AF123" s="127"/>
      <c r="AG123" s="127"/>
      <c r="AH123" s="44"/>
      <c r="AI123" s="44"/>
      <c r="AJ123" s="44"/>
      <c r="AK123" s="44"/>
      <c r="AL123" s="44"/>
      <c r="AM123" s="44"/>
      <c r="AN123" s="44"/>
      <c r="AO123" s="44"/>
      <c r="AP123" s="44"/>
      <c r="AY123" s="46"/>
      <c r="AZ123" s="46"/>
      <c r="BA123" s="46"/>
      <c r="BB123" s="46"/>
      <c r="BC123" s="46"/>
      <c r="BD123" s="46"/>
      <c r="CH123"/>
      <c r="CI123"/>
      <c r="CJ123"/>
      <c r="CK123"/>
      <c r="CL123"/>
      <c r="CM123"/>
    </row>
    <row r="124" spans="1:91" ht="16">
      <c r="A124" s="123"/>
      <c r="B124" s="123"/>
      <c r="C124" s="123"/>
      <c r="D124" s="123"/>
      <c r="E124" s="123"/>
      <c r="F124" s="123"/>
      <c r="G124" s="123"/>
      <c r="H124" s="123"/>
      <c r="I124" s="123"/>
      <c r="J124" s="123"/>
      <c r="K124" s="140"/>
      <c r="L124" s="141"/>
      <c r="M124" s="123"/>
      <c r="N124" s="123">
        <f t="shared" si="4"/>
        <v>0</v>
      </c>
      <c r="O124" s="123">
        <f t="shared" si="5"/>
        <v>0</v>
      </c>
      <c r="P124" s="123">
        <f t="shared" si="7"/>
        <v>0</v>
      </c>
      <c r="Q124" s="164">
        <f t="shared" si="6"/>
        <v>1</v>
      </c>
      <c r="R124" s="165"/>
      <c r="S124" s="165"/>
      <c r="T124" s="126"/>
      <c r="U124" s="137"/>
      <c r="V124" s="138"/>
      <c r="W124" s="137"/>
      <c r="X124" s="138"/>
      <c r="Y124" s="126"/>
      <c r="Z124" s="126"/>
      <c r="AA124" s="126"/>
      <c r="AB124" s="126"/>
      <c r="AC124" s="126"/>
      <c r="AD124" s="126"/>
      <c r="AE124" s="126"/>
      <c r="AF124" s="127"/>
      <c r="AG124" s="127"/>
      <c r="AH124" s="44"/>
      <c r="AI124" s="44"/>
      <c r="AJ124" s="44"/>
      <c r="AK124" s="44"/>
      <c r="AL124" s="44"/>
      <c r="AM124" s="44"/>
      <c r="AN124" s="44"/>
      <c r="AO124" s="44"/>
      <c r="AP124" s="44"/>
      <c r="AY124" s="46"/>
      <c r="AZ124" s="46"/>
      <c r="BA124" s="46"/>
      <c r="BB124" s="46"/>
      <c r="BC124" s="46"/>
      <c r="BD124" s="46"/>
      <c r="CH124"/>
      <c r="CI124"/>
      <c r="CJ124"/>
      <c r="CK124"/>
      <c r="CL124"/>
      <c r="CM124"/>
    </row>
    <row r="125" spans="1:91" ht="16">
      <c r="A125" s="123"/>
      <c r="B125" s="123"/>
      <c r="C125" s="123"/>
      <c r="D125" s="140"/>
      <c r="E125" s="140"/>
      <c r="F125" s="142"/>
      <c r="G125" s="123"/>
      <c r="H125" s="123"/>
      <c r="I125" s="123"/>
      <c r="J125" s="123"/>
      <c r="K125" s="140"/>
      <c r="L125" s="141"/>
      <c r="M125" s="123"/>
      <c r="N125" s="123">
        <f t="shared" si="4"/>
        <v>0</v>
      </c>
      <c r="O125" s="123">
        <f t="shared" si="5"/>
        <v>0</v>
      </c>
      <c r="P125" s="123">
        <f t="shared" si="7"/>
        <v>0</v>
      </c>
      <c r="Q125" s="164">
        <f t="shared" si="6"/>
        <v>0</v>
      </c>
      <c r="R125" s="165"/>
      <c r="S125" s="165"/>
      <c r="T125" s="126"/>
      <c r="U125" s="137"/>
      <c r="V125" s="138"/>
      <c r="W125" s="137"/>
      <c r="X125" s="138"/>
      <c r="Y125" s="126"/>
      <c r="Z125" s="126"/>
      <c r="AA125" s="126"/>
      <c r="AB125" s="126"/>
      <c r="AC125" s="126"/>
      <c r="AD125" s="126"/>
      <c r="AE125" s="126"/>
      <c r="AF125" s="127"/>
      <c r="AG125" s="127"/>
      <c r="AH125" s="44"/>
      <c r="AI125" s="44"/>
      <c r="AJ125" s="44"/>
      <c r="AK125" s="44"/>
      <c r="AL125" s="44"/>
      <c r="AM125" s="44"/>
      <c r="AN125" s="44"/>
      <c r="AO125" s="44"/>
      <c r="AP125" s="44"/>
      <c r="AY125" s="46"/>
      <c r="AZ125" s="46"/>
      <c r="BA125" s="46"/>
      <c r="BB125" s="46"/>
      <c r="BC125" s="46"/>
      <c r="BD125" s="46"/>
      <c r="CH125"/>
      <c r="CI125"/>
      <c r="CJ125"/>
      <c r="CK125"/>
      <c r="CL125"/>
      <c r="CM125"/>
    </row>
    <row r="126" spans="1:91" s="109" customFormat="1" ht="16">
      <c r="A126" s="123"/>
      <c r="B126" s="123"/>
      <c r="C126" s="123"/>
      <c r="D126" s="123"/>
      <c r="E126" s="123"/>
      <c r="F126" s="123"/>
      <c r="G126" s="123"/>
      <c r="H126" s="123"/>
      <c r="I126" s="123"/>
      <c r="J126" s="123"/>
      <c r="K126" s="140"/>
      <c r="L126" s="141"/>
      <c r="M126" s="123"/>
      <c r="N126" s="123">
        <f t="shared" si="4"/>
        <v>0</v>
      </c>
      <c r="O126" s="123">
        <f t="shared" si="5"/>
        <v>0</v>
      </c>
      <c r="P126" s="123">
        <f t="shared" si="7"/>
        <v>0</v>
      </c>
      <c r="Q126" s="164">
        <f t="shared" si="6"/>
        <v>0</v>
      </c>
      <c r="R126" s="165"/>
      <c r="S126" s="165"/>
      <c r="T126" s="126"/>
      <c r="U126" s="137"/>
      <c r="V126" s="138"/>
      <c r="W126" s="137"/>
      <c r="X126" s="138"/>
      <c r="Y126" s="126"/>
      <c r="Z126" s="126"/>
      <c r="AA126" s="126"/>
      <c r="AB126" s="126"/>
      <c r="AC126" s="126"/>
      <c r="AD126" s="126"/>
      <c r="AE126" s="126"/>
      <c r="AF126" s="127"/>
      <c r="AG126" s="127"/>
      <c r="AH126" s="44"/>
      <c r="AI126" s="44"/>
      <c r="AJ126" s="44"/>
      <c r="AK126" s="44"/>
      <c r="AL126" s="44"/>
      <c r="AM126" s="44"/>
      <c r="AN126" s="44"/>
      <c r="AO126" s="44"/>
      <c r="AP126" s="44"/>
      <c r="AY126" s="46"/>
      <c r="AZ126" s="46"/>
      <c r="BA126" s="46"/>
      <c r="BB126" s="46"/>
      <c r="BC126" s="46"/>
      <c r="BD126" s="46"/>
      <c r="BE126" s="46"/>
      <c r="BF126" s="46"/>
      <c r="BG126" s="46"/>
      <c r="BH126" s="46"/>
      <c r="BI126" s="46"/>
      <c r="BJ126" s="46"/>
      <c r="BK126" s="46"/>
      <c r="BL126" s="46"/>
      <c r="BM126" s="46"/>
      <c r="BN126" s="46"/>
      <c r="BO126" s="46"/>
      <c r="BP126" s="46"/>
      <c r="BQ126" s="46"/>
      <c r="BR126" s="46"/>
      <c r="BS126" s="46"/>
      <c r="BT126" s="46"/>
      <c r="BU126" s="46"/>
      <c r="BV126" s="46"/>
      <c r="BW126" s="46"/>
      <c r="BX126" s="46"/>
      <c r="BY126" s="46"/>
      <c r="BZ126" s="46"/>
      <c r="CA126" s="46"/>
      <c r="CB126" s="46"/>
      <c r="CC126" s="46"/>
      <c r="CD126" s="46"/>
      <c r="CE126" s="46"/>
      <c r="CF126" s="46"/>
      <c r="CG126" s="46"/>
    </row>
    <row r="127" spans="1:91" s="109" customFormat="1">
      <c r="A127" s="123"/>
      <c r="B127" s="123"/>
      <c r="C127" s="123"/>
      <c r="D127" s="123"/>
      <c r="E127" s="123"/>
      <c r="F127" s="123"/>
      <c r="G127" s="123"/>
      <c r="H127" s="123"/>
      <c r="I127" s="123"/>
      <c r="J127" s="123"/>
      <c r="K127" s="123"/>
      <c r="L127" s="123"/>
      <c r="M127" s="123"/>
      <c r="N127" s="123"/>
      <c r="O127" s="123"/>
      <c r="P127" s="123"/>
      <c r="Q127" s="123"/>
      <c r="R127" s="144"/>
      <c r="S127" s="144"/>
      <c r="T127" s="144"/>
      <c r="U127" s="144"/>
      <c r="V127" s="144"/>
      <c r="W127" s="144"/>
      <c r="X127" s="144"/>
      <c r="Y127" s="144"/>
      <c r="Z127" s="144"/>
      <c r="AA127" s="144"/>
      <c r="AB127" s="144"/>
      <c r="AC127" s="144"/>
      <c r="AD127" s="144"/>
      <c r="AE127" s="144"/>
      <c r="AF127" s="44"/>
      <c r="AG127" s="44"/>
      <c r="AH127" s="44"/>
      <c r="AI127" s="44"/>
      <c r="AJ127" s="44"/>
      <c r="AK127" s="44"/>
      <c r="AL127" s="44"/>
      <c r="AM127" s="44"/>
      <c r="AN127" s="44"/>
      <c r="AO127" s="44"/>
      <c r="AP127" s="44"/>
      <c r="AY127" s="46"/>
      <c r="AZ127" s="46"/>
      <c r="BA127" s="46"/>
      <c r="BB127" s="46"/>
      <c r="BC127" s="46"/>
      <c r="BD127" s="46"/>
      <c r="BE127" s="46"/>
      <c r="BF127" s="46"/>
      <c r="BG127" s="46"/>
      <c r="BH127" s="46"/>
      <c r="BI127" s="46"/>
      <c r="BJ127" s="46"/>
      <c r="BK127" s="46"/>
      <c r="BL127" s="46"/>
      <c r="BM127" s="46"/>
      <c r="BN127" s="46"/>
      <c r="BO127" s="46"/>
      <c r="BP127" s="46"/>
      <c r="BQ127" s="46"/>
      <c r="BR127" s="46"/>
      <c r="BS127" s="46"/>
      <c r="BT127" s="46"/>
      <c r="BU127" s="46"/>
      <c r="BV127" s="46"/>
      <c r="BW127" s="46"/>
      <c r="BX127" s="46"/>
      <c r="BY127" s="46"/>
      <c r="BZ127" s="46"/>
      <c r="CA127" s="46"/>
      <c r="CB127" s="46"/>
      <c r="CC127" s="46"/>
      <c r="CD127" s="46"/>
      <c r="CE127" s="46"/>
      <c r="CF127" s="46"/>
      <c r="CG127" s="46"/>
    </row>
    <row r="128" spans="1:91" s="109" customFormat="1">
      <c r="A128" s="123"/>
      <c r="B128" s="123"/>
      <c r="C128" s="123"/>
      <c r="D128" s="123"/>
      <c r="E128" s="123"/>
      <c r="F128" s="123"/>
      <c r="G128" s="123"/>
      <c r="H128" s="123"/>
      <c r="I128" s="123"/>
      <c r="J128" s="123"/>
      <c r="K128" s="123"/>
      <c r="L128" s="123"/>
      <c r="M128" s="123"/>
      <c r="N128" s="123"/>
      <c r="O128" s="123"/>
      <c r="P128" s="123"/>
      <c r="Q128" s="123"/>
      <c r="R128" s="144"/>
      <c r="S128" s="144"/>
      <c r="T128" s="144"/>
      <c r="U128" s="144"/>
      <c r="V128" s="144"/>
      <c r="W128" s="144"/>
      <c r="X128" s="144"/>
      <c r="Y128" s="144"/>
      <c r="Z128" s="144"/>
      <c r="AA128" s="144"/>
      <c r="AB128" s="144"/>
      <c r="AC128" s="144"/>
      <c r="AD128" s="144"/>
      <c r="AE128" s="1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</row>
    <row r="129" spans="1:91">
      <c r="A129" s="123"/>
      <c r="B129" s="123"/>
      <c r="C129" s="123"/>
      <c r="D129" s="123"/>
      <c r="E129" s="123"/>
      <c r="F129" s="123"/>
      <c r="G129" s="123"/>
      <c r="H129" s="123"/>
      <c r="I129" s="123"/>
      <c r="J129" s="123"/>
      <c r="K129" s="209"/>
      <c r="L129" s="209"/>
      <c r="M129" s="123"/>
      <c r="N129" s="161"/>
      <c r="O129" s="161"/>
      <c r="P129" s="123"/>
      <c r="Q129" s="123"/>
      <c r="R129" s="166"/>
      <c r="S129" s="144"/>
      <c r="T129" s="144"/>
      <c r="U129" s="144"/>
      <c r="V129" s="144"/>
      <c r="W129" s="144"/>
      <c r="X129" s="144"/>
      <c r="Y129" s="144"/>
      <c r="Z129" s="144"/>
      <c r="AA129" s="144"/>
      <c r="AB129" s="144"/>
      <c r="AC129" s="144"/>
      <c r="AD129" s="144"/>
      <c r="AE129" s="144"/>
      <c r="AF129" s="44"/>
      <c r="AG129" s="44"/>
      <c r="AH129" s="44"/>
      <c r="AI129" s="44"/>
      <c r="AJ129" s="44"/>
      <c r="AK129" s="44"/>
      <c r="AL129" s="44"/>
      <c r="AM129" s="44"/>
      <c r="AN129" s="44"/>
      <c r="AO129" s="44"/>
      <c r="AP129" s="44"/>
      <c r="AY129" s="46"/>
      <c r="AZ129" s="46"/>
      <c r="BA129" s="46"/>
      <c r="BB129" s="46"/>
      <c r="BC129" s="46"/>
      <c r="BD129" s="46"/>
      <c r="CH129"/>
      <c r="CI129"/>
      <c r="CJ129"/>
      <c r="CK129"/>
      <c r="CL129"/>
      <c r="CM129"/>
    </row>
    <row r="130" spans="1:91">
      <c r="A130" s="123"/>
      <c r="B130" s="123"/>
      <c r="C130" s="123"/>
      <c r="D130" s="123"/>
      <c r="E130" s="123"/>
      <c r="F130" s="123"/>
      <c r="G130" s="123"/>
      <c r="H130" s="123"/>
      <c r="I130" s="123"/>
      <c r="J130" s="123"/>
      <c r="K130" s="161"/>
      <c r="L130" s="161"/>
      <c r="M130" s="123"/>
      <c r="N130" s="161"/>
      <c r="O130" s="161"/>
      <c r="P130" s="123"/>
      <c r="Q130" s="123"/>
      <c r="R130" s="166"/>
      <c r="S130" s="166"/>
      <c r="T130" s="144"/>
      <c r="U130" s="144"/>
      <c r="V130" s="144"/>
      <c r="W130" s="144"/>
      <c r="X130" s="144"/>
      <c r="Y130" s="144"/>
      <c r="Z130" s="144"/>
      <c r="AA130" s="144"/>
      <c r="AB130" s="144"/>
      <c r="AC130" s="144"/>
      <c r="AD130" s="144"/>
      <c r="AE130" s="1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Y130" s="46"/>
      <c r="AZ130" s="46"/>
      <c r="BA130" s="46"/>
      <c r="BB130" s="46"/>
      <c r="BC130" s="46"/>
      <c r="BD130" s="46"/>
      <c r="CH130"/>
      <c r="CI130"/>
      <c r="CJ130"/>
      <c r="CK130"/>
      <c r="CL130"/>
      <c r="CM130"/>
    </row>
    <row r="131" spans="1:91">
      <c r="A131" s="123"/>
      <c r="B131" s="123"/>
      <c r="C131" s="123"/>
      <c r="D131" s="123"/>
      <c r="E131" s="123"/>
      <c r="F131" s="123"/>
      <c r="G131" s="123"/>
      <c r="H131" s="123"/>
      <c r="I131" s="123"/>
      <c r="J131" s="123"/>
      <c r="K131" s="123"/>
      <c r="L131" s="123"/>
      <c r="M131" s="123"/>
      <c r="N131" s="140"/>
      <c r="O131" s="141"/>
      <c r="P131" s="123"/>
      <c r="Q131" s="123"/>
      <c r="R131" s="144"/>
      <c r="S131" s="144"/>
      <c r="T131" s="144"/>
      <c r="U131" s="144"/>
      <c r="V131" s="144"/>
      <c r="W131" s="144"/>
      <c r="X131" s="144"/>
      <c r="Y131" s="144"/>
      <c r="Z131" s="144"/>
      <c r="AA131" s="144"/>
      <c r="AB131" s="144"/>
      <c r="AC131" s="144"/>
      <c r="AD131" s="144"/>
      <c r="AE131" s="144"/>
      <c r="AF131" s="44"/>
      <c r="AG131" s="44"/>
      <c r="AH131" s="44"/>
      <c r="AI131" s="44"/>
      <c r="AJ131" s="44"/>
      <c r="AK131" s="44"/>
      <c r="AL131" s="44"/>
      <c r="AM131" s="44"/>
      <c r="AN131" s="44"/>
      <c r="AO131" s="44"/>
      <c r="AP131" s="44"/>
      <c r="AY131" s="46"/>
      <c r="AZ131" s="46"/>
      <c r="BA131" s="46"/>
      <c r="BB131" s="46"/>
      <c r="BC131" s="46"/>
      <c r="BD131" s="46"/>
      <c r="CH131"/>
      <c r="CI131"/>
      <c r="CJ131"/>
      <c r="CK131"/>
      <c r="CL131"/>
      <c r="CM131"/>
    </row>
    <row r="132" spans="1:91">
      <c r="A132" s="123"/>
      <c r="B132" s="123"/>
      <c r="C132" s="123"/>
      <c r="D132" s="123"/>
      <c r="E132" s="123"/>
      <c r="F132" s="123"/>
      <c r="G132" s="123"/>
      <c r="H132" s="123"/>
      <c r="I132" s="123"/>
      <c r="J132" s="123"/>
      <c r="K132" s="123"/>
      <c r="L132" s="123"/>
      <c r="M132" s="123"/>
      <c r="N132" s="140"/>
      <c r="O132" s="141"/>
      <c r="P132" s="123"/>
      <c r="Q132" s="123"/>
      <c r="R132" s="144"/>
      <c r="S132" s="144"/>
      <c r="T132" s="144"/>
      <c r="U132" s="144"/>
      <c r="V132" s="144"/>
      <c r="W132" s="144"/>
      <c r="X132" s="144"/>
      <c r="Y132" s="144"/>
      <c r="Z132" s="144"/>
      <c r="AA132" s="144"/>
      <c r="AB132" s="144"/>
      <c r="AC132" s="144"/>
      <c r="AD132" s="144"/>
      <c r="AE132" s="144"/>
      <c r="AF132" s="44"/>
      <c r="AG132" s="44"/>
      <c r="AH132" s="44"/>
      <c r="AI132" s="44"/>
      <c r="AJ132" s="44"/>
      <c r="AK132" s="44"/>
      <c r="AL132" s="44"/>
      <c r="AM132" s="44"/>
      <c r="AN132" s="44"/>
      <c r="AO132" s="44"/>
      <c r="AP132" s="44"/>
      <c r="AY132" s="46"/>
      <c r="AZ132" s="46"/>
      <c r="BA132" s="46"/>
      <c r="BB132" s="46"/>
      <c r="BC132" s="46"/>
      <c r="BD132" s="46"/>
      <c r="CH132"/>
      <c r="CI132"/>
      <c r="CJ132"/>
      <c r="CK132"/>
      <c r="CL132"/>
      <c r="CM132"/>
    </row>
    <row r="133" spans="1:91">
      <c r="A133" s="123"/>
      <c r="B133" s="123"/>
      <c r="C133" s="123"/>
      <c r="D133" s="123"/>
      <c r="E133" s="123"/>
      <c r="F133" s="123"/>
      <c r="G133" s="123"/>
      <c r="H133" s="123"/>
      <c r="I133" s="123"/>
      <c r="J133" s="123"/>
      <c r="K133" s="123"/>
      <c r="L133" s="123"/>
      <c r="M133" s="123"/>
      <c r="N133" s="140"/>
      <c r="O133" s="141"/>
      <c r="P133" s="123"/>
      <c r="Q133" s="123"/>
      <c r="R133" s="144"/>
      <c r="S133" s="144"/>
      <c r="T133" s="144"/>
      <c r="U133" s="144"/>
      <c r="V133" s="144"/>
      <c r="W133" s="144"/>
      <c r="X133" s="144"/>
      <c r="Y133" s="144"/>
      <c r="Z133" s="144"/>
      <c r="AA133" s="144"/>
      <c r="AB133" s="144"/>
      <c r="AC133" s="144"/>
      <c r="AD133" s="144"/>
      <c r="AE133" s="144"/>
      <c r="AF133" s="44"/>
      <c r="AG133" s="44"/>
      <c r="AH133" s="44"/>
      <c r="AI133" s="44"/>
      <c r="AJ133" s="44"/>
      <c r="AK133" s="44"/>
      <c r="AL133" s="44"/>
      <c r="AM133" s="44"/>
      <c r="AN133" s="44"/>
      <c r="AO133" s="44"/>
      <c r="AP133" s="44"/>
      <c r="AY133" s="46"/>
      <c r="AZ133" s="46"/>
      <c r="BA133" s="46"/>
      <c r="BB133" s="46"/>
      <c r="BC133" s="46"/>
      <c r="BD133" s="46"/>
      <c r="CH133"/>
      <c r="CI133"/>
      <c r="CJ133"/>
      <c r="CK133"/>
      <c r="CL133"/>
      <c r="CM133"/>
    </row>
    <row r="134" spans="1:91">
      <c r="A134" s="123"/>
      <c r="B134" s="123"/>
      <c r="C134" s="123"/>
      <c r="D134" s="123"/>
      <c r="E134" s="123"/>
      <c r="F134" s="123"/>
      <c r="G134" s="123"/>
      <c r="H134" s="123"/>
      <c r="I134" s="123"/>
      <c r="J134" s="123"/>
      <c r="K134" s="123"/>
      <c r="L134" s="123"/>
      <c r="M134" s="123"/>
      <c r="N134" s="140"/>
      <c r="O134" s="141"/>
      <c r="P134" s="123"/>
      <c r="Q134" s="123"/>
      <c r="R134" s="144"/>
      <c r="S134" s="144"/>
      <c r="T134" s="144"/>
      <c r="U134" s="144"/>
      <c r="V134" s="144"/>
      <c r="W134" s="144"/>
      <c r="X134" s="144"/>
      <c r="Y134" s="144"/>
      <c r="Z134" s="144"/>
      <c r="AA134" s="144"/>
      <c r="AB134" s="144"/>
      <c r="AC134" s="144"/>
      <c r="AD134" s="144"/>
      <c r="AE134" s="144"/>
      <c r="AF134" s="44"/>
      <c r="AG134" s="44"/>
      <c r="AH134" s="44"/>
      <c r="AI134" s="44"/>
      <c r="AJ134" s="44"/>
      <c r="AK134" s="44"/>
      <c r="AL134" s="44"/>
      <c r="AM134" s="44"/>
      <c r="AN134" s="44"/>
      <c r="AO134" s="44"/>
      <c r="AP134" s="44"/>
      <c r="AY134" s="46"/>
      <c r="AZ134" s="46"/>
      <c r="BA134" s="46"/>
      <c r="BB134" s="46"/>
      <c r="BC134" s="46"/>
      <c r="BD134" s="46"/>
      <c r="CH134"/>
      <c r="CI134"/>
      <c r="CJ134"/>
      <c r="CK134"/>
      <c r="CL134"/>
      <c r="CM134"/>
    </row>
    <row r="135" spans="1:91">
      <c r="A135" s="123"/>
      <c r="B135" s="123"/>
      <c r="C135" s="123"/>
      <c r="D135" s="123"/>
      <c r="E135" s="123"/>
      <c r="F135" s="123"/>
      <c r="G135" s="123"/>
      <c r="H135" s="123"/>
      <c r="I135" s="123"/>
      <c r="J135" s="123"/>
      <c r="K135" s="123"/>
      <c r="L135" s="123"/>
      <c r="M135" s="123"/>
      <c r="N135" s="140"/>
      <c r="O135" s="141"/>
      <c r="P135" s="123"/>
      <c r="Q135" s="123"/>
      <c r="R135" s="144"/>
      <c r="S135" s="144"/>
      <c r="T135" s="144"/>
      <c r="U135" s="144"/>
      <c r="V135" s="144"/>
      <c r="W135" s="144"/>
      <c r="X135" s="144"/>
      <c r="Y135" s="144"/>
      <c r="Z135" s="144"/>
      <c r="AA135" s="144"/>
      <c r="AB135" s="144"/>
      <c r="AC135" s="144"/>
      <c r="AD135" s="144"/>
      <c r="AE135" s="144"/>
      <c r="AF135" s="44"/>
      <c r="AG135" s="44"/>
      <c r="AH135" s="44"/>
      <c r="AI135" s="44"/>
      <c r="AJ135" s="44"/>
      <c r="AK135" s="44"/>
      <c r="AL135" s="44"/>
      <c r="AM135" s="44"/>
      <c r="AN135" s="44"/>
      <c r="AO135" s="44"/>
      <c r="AP135" s="44"/>
      <c r="AY135" s="46"/>
      <c r="AZ135" s="46"/>
      <c r="BA135" s="46"/>
      <c r="BB135" s="46"/>
      <c r="BC135" s="46"/>
      <c r="BD135" s="46"/>
      <c r="CH135"/>
      <c r="CI135"/>
      <c r="CJ135"/>
      <c r="CK135"/>
      <c r="CL135"/>
      <c r="CM135"/>
    </row>
    <row r="136" spans="1:91">
      <c r="A136" s="123"/>
      <c r="B136" s="123"/>
      <c r="C136" s="123"/>
      <c r="D136" s="123"/>
      <c r="E136" s="123"/>
      <c r="F136" s="123"/>
      <c r="G136" s="123"/>
      <c r="H136" s="123"/>
      <c r="I136" s="123"/>
      <c r="J136" s="123"/>
      <c r="K136" s="123"/>
      <c r="L136" s="123"/>
      <c r="M136" s="123"/>
      <c r="N136" s="140"/>
      <c r="O136" s="141"/>
      <c r="P136" s="123"/>
      <c r="Q136" s="123"/>
      <c r="R136" s="144"/>
      <c r="S136" s="144"/>
      <c r="T136" s="144"/>
      <c r="U136" s="144"/>
      <c r="V136" s="144"/>
      <c r="W136" s="144"/>
      <c r="X136" s="144"/>
      <c r="Y136" s="144"/>
      <c r="Z136" s="144"/>
      <c r="AA136" s="144"/>
      <c r="AB136" s="144"/>
      <c r="AC136" s="144"/>
      <c r="AD136" s="144"/>
      <c r="AE136" s="1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Y136" s="46"/>
      <c r="AZ136" s="46"/>
      <c r="BA136" s="46"/>
      <c r="BB136" s="46"/>
      <c r="BC136" s="46"/>
      <c r="BD136" s="46"/>
      <c r="CH136"/>
      <c r="CI136"/>
      <c r="CJ136"/>
      <c r="CK136"/>
      <c r="CL136"/>
      <c r="CM136"/>
    </row>
    <row r="137" spans="1:91">
      <c r="A137" s="123"/>
      <c r="B137" s="123"/>
      <c r="C137" s="123"/>
      <c r="D137" s="123"/>
      <c r="E137" s="123"/>
      <c r="F137" s="123"/>
      <c r="G137" s="123"/>
      <c r="H137" s="123"/>
      <c r="I137" s="123"/>
      <c r="J137" s="123"/>
      <c r="K137" s="123"/>
      <c r="L137" s="123"/>
      <c r="M137" s="123"/>
      <c r="N137" s="140"/>
      <c r="O137" s="141"/>
      <c r="P137" s="123"/>
      <c r="Q137" s="123"/>
      <c r="R137" s="144"/>
      <c r="S137" s="144"/>
      <c r="T137" s="144"/>
      <c r="U137" s="144"/>
      <c r="V137" s="144"/>
      <c r="W137" s="144"/>
      <c r="X137" s="144"/>
      <c r="Y137" s="144"/>
      <c r="Z137" s="144"/>
      <c r="AA137" s="144"/>
      <c r="AB137" s="144"/>
      <c r="AC137" s="144"/>
      <c r="AD137" s="144"/>
      <c r="AE137" s="144"/>
      <c r="AF137" s="44"/>
      <c r="AG137" s="44"/>
      <c r="AH137" s="44"/>
      <c r="AI137" s="44"/>
      <c r="AJ137" s="44"/>
      <c r="AK137" s="44"/>
      <c r="AL137" s="44"/>
      <c r="AM137" s="44"/>
      <c r="AN137" s="44"/>
      <c r="AO137" s="44"/>
      <c r="AP137" s="44"/>
      <c r="AY137" s="46"/>
      <c r="AZ137" s="46"/>
      <c r="BA137" s="46"/>
      <c r="BB137" s="46"/>
      <c r="BC137" s="46"/>
      <c r="BD137" s="46"/>
      <c r="CH137"/>
      <c r="CI137"/>
      <c r="CJ137"/>
      <c r="CK137"/>
      <c r="CL137"/>
      <c r="CM137"/>
    </row>
    <row r="138" spans="1:91">
      <c r="A138" s="123"/>
      <c r="B138" s="123"/>
      <c r="C138" s="123"/>
      <c r="D138" s="123"/>
      <c r="E138" s="123"/>
      <c r="F138" s="123"/>
      <c r="G138" s="123"/>
      <c r="H138" s="123"/>
      <c r="I138" s="123"/>
      <c r="J138" s="123"/>
      <c r="K138" s="123"/>
      <c r="L138" s="123"/>
      <c r="M138" s="123"/>
      <c r="N138" s="140"/>
      <c r="O138" s="141"/>
      <c r="P138" s="123"/>
      <c r="Q138" s="123"/>
      <c r="R138" s="144"/>
      <c r="S138" s="144"/>
      <c r="T138" s="144"/>
      <c r="U138" s="144"/>
      <c r="V138" s="144"/>
      <c r="W138" s="144"/>
      <c r="X138" s="144"/>
      <c r="Y138" s="144"/>
      <c r="Z138" s="144"/>
      <c r="AA138" s="144"/>
      <c r="AB138" s="144"/>
      <c r="AC138" s="144"/>
      <c r="AD138" s="144"/>
      <c r="AE138" s="144"/>
      <c r="AF138" s="44"/>
      <c r="AG138" s="44"/>
      <c r="AH138" s="44"/>
      <c r="AI138" s="44"/>
      <c r="AJ138" s="44"/>
      <c r="AK138" s="44"/>
      <c r="AL138" s="44"/>
      <c r="AM138" s="44"/>
      <c r="AN138" s="44"/>
      <c r="AO138" s="44"/>
      <c r="AP138" s="44"/>
      <c r="AY138" s="46"/>
      <c r="AZ138" s="46"/>
      <c r="BA138" s="46"/>
      <c r="BB138" s="46"/>
      <c r="BC138" s="46"/>
      <c r="BD138" s="46"/>
      <c r="CH138"/>
      <c r="CI138"/>
      <c r="CJ138"/>
      <c r="CK138"/>
      <c r="CL138"/>
      <c r="CM138"/>
    </row>
    <row r="139" spans="1:91">
      <c r="A139" s="123"/>
      <c r="B139" s="123"/>
      <c r="C139" s="123"/>
      <c r="D139" s="123"/>
      <c r="E139" s="123"/>
      <c r="F139" s="123"/>
      <c r="G139" s="123"/>
      <c r="H139" s="123"/>
      <c r="I139" s="123"/>
      <c r="J139" s="123"/>
      <c r="K139" s="123"/>
      <c r="L139" s="123"/>
      <c r="M139" s="123"/>
      <c r="N139" s="140"/>
      <c r="O139" s="141"/>
      <c r="P139" s="123"/>
      <c r="Q139" s="123"/>
      <c r="R139" s="144"/>
      <c r="S139" s="144"/>
      <c r="T139" s="144"/>
      <c r="U139" s="144"/>
      <c r="V139" s="144"/>
      <c r="W139" s="144"/>
      <c r="X139" s="144"/>
      <c r="Y139" s="144"/>
      <c r="Z139" s="144"/>
      <c r="AA139" s="144"/>
      <c r="AB139" s="144"/>
      <c r="AC139" s="144"/>
      <c r="AD139" s="144"/>
      <c r="AE139" s="144"/>
      <c r="AF139" s="44"/>
      <c r="AG139" s="44"/>
      <c r="AH139" s="44"/>
      <c r="AI139" s="44"/>
      <c r="AJ139" s="44"/>
      <c r="AK139" s="44"/>
      <c r="AL139" s="44"/>
      <c r="AM139" s="44"/>
      <c r="AN139" s="44"/>
      <c r="AO139" s="44"/>
      <c r="AP139" s="44"/>
      <c r="AY139" s="46"/>
      <c r="AZ139" s="46"/>
      <c r="BA139" s="46"/>
      <c r="BB139" s="46"/>
      <c r="BC139" s="46"/>
      <c r="BD139" s="46"/>
      <c r="CH139"/>
      <c r="CI139"/>
      <c r="CJ139"/>
      <c r="CK139"/>
      <c r="CL139"/>
      <c r="CM139"/>
    </row>
    <row r="140" spans="1:91">
      <c r="A140" s="123"/>
      <c r="B140" s="123"/>
      <c r="C140" s="123"/>
      <c r="D140" s="123"/>
      <c r="E140" s="123"/>
      <c r="F140" s="123"/>
      <c r="G140" s="123"/>
      <c r="H140" s="123"/>
      <c r="I140" s="123"/>
      <c r="J140" s="123"/>
      <c r="K140" s="123"/>
      <c r="L140" s="123"/>
      <c r="M140" s="123"/>
      <c r="N140" s="140"/>
      <c r="O140" s="141"/>
      <c r="P140" s="123"/>
      <c r="Q140" s="123"/>
      <c r="R140" s="144"/>
      <c r="S140" s="144"/>
      <c r="T140" s="144"/>
      <c r="U140" s="144"/>
      <c r="V140" s="144"/>
      <c r="W140" s="144"/>
      <c r="X140" s="144"/>
      <c r="Y140" s="144"/>
      <c r="Z140" s="144"/>
      <c r="AA140" s="144"/>
      <c r="AB140" s="144"/>
      <c r="AC140" s="144"/>
      <c r="AD140" s="144"/>
      <c r="AE140" s="144"/>
      <c r="AF140" s="44"/>
      <c r="AG140" s="44"/>
      <c r="AH140" s="44"/>
      <c r="AI140" s="44"/>
      <c r="AJ140" s="44"/>
      <c r="AK140" s="44"/>
      <c r="AL140" s="44"/>
      <c r="AM140" s="44"/>
      <c r="AN140" s="44"/>
      <c r="AO140" s="44"/>
      <c r="AP140" s="44"/>
      <c r="AY140" s="46"/>
      <c r="AZ140" s="46"/>
      <c r="BA140" s="46"/>
      <c r="BB140" s="46"/>
      <c r="BC140" s="46"/>
      <c r="BD140" s="46"/>
      <c r="CH140"/>
      <c r="CI140"/>
      <c r="CJ140"/>
      <c r="CK140"/>
      <c r="CL140"/>
      <c r="CM140"/>
    </row>
    <row r="141" spans="1:91">
      <c r="A141" s="123"/>
      <c r="B141" s="123"/>
      <c r="C141" s="123"/>
      <c r="D141" s="123"/>
      <c r="E141" s="123"/>
      <c r="F141" s="123"/>
      <c r="G141" s="123"/>
      <c r="H141" s="123"/>
      <c r="I141" s="123"/>
      <c r="J141" s="123"/>
      <c r="K141" s="123"/>
      <c r="L141" s="123"/>
      <c r="M141" s="123"/>
      <c r="N141" s="140"/>
      <c r="O141" s="141"/>
      <c r="P141" s="123"/>
      <c r="Q141" s="123"/>
      <c r="R141" s="144"/>
      <c r="S141" s="144"/>
      <c r="T141" s="144"/>
      <c r="U141" s="144"/>
      <c r="V141" s="144"/>
      <c r="W141" s="144"/>
      <c r="X141" s="144"/>
      <c r="Y141" s="144"/>
      <c r="Z141" s="144"/>
      <c r="AA141" s="144"/>
      <c r="AB141" s="144"/>
      <c r="AC141" s="144"/>
      <c r="AD141" s="144"/>
      <c r="AE141" s="144"/>
      <c r="AF141" s="44"/>
      <c r="AG141" s="44"/>
      <c r="AH141" s="44"/>
      <c r="AI141" s="44"/>
      <c r="AJ141" s="44"/>
      <c r="AK141" s="44"/>
      <c r="AL141" s="44"/>
      <c r="AM141" s="44"/>
      <c r="AN141" s="44"/>
      <c r="AO141" s="44"/>
      <c r="AP141" s="44"/>
      <c r="AY141" s="46"/>
      <c r="AZ141" s="46"/>
      <c r="BA141" s="46"/>
      <c r="BB141" s="46"/>
      <c r="BC141" s="46"/>
      <c r="BD141" s="46"/>
      <c r="CH141"/>
      <c r="CI141"/>
      <c r="CJ141"/>
      <c r="CK141"/>
      <c r="CL141"/>
      <c r="CM141"/>
    </row>
    <row r="142" spans="1:91">
      <c r="A142" s="123"/>
      <c r="B142" s="123"/>
      <c r="C142" s="123"/>
      <c r="D142" s="123"/>
      <c r="E142" s="123"/>
      <c r="F142" s="123"/>
      <c r="G142" s="123"/>
      <c r="H142" s="123"/>
      <c r="I142" s="123"/>
      <c r="J142" s="123"/>
      <c r="K142" s="123"/>
      <c r="L142" s="123"/>
      <c r="M142" s="123"/>
      <c r="N142" s="140"/>
      <c r="O142" s="141"/>
      <c r="P142" s="123"/>
      <c r="Q142" s="123"/>
      <c r="R142" s="144"/>
      <c r="S142" s="144"/>
      <c r="T142" s="144"/>
      <c r="U142" s="144"/>
      <c r="V142" s="144"/>
      <c r="W142" s="144"/>
      <c r="X142" s="144"/>
      <c r="Y142" s="144"/>
      <c r="Z142" s="144"/>
      <c r="AA142" s="144"/>
      <c r="AB142" s="144"/>
      <c r="AC142" s="144"/>
      <c r="AD142" s="144"/>
      <c r="AE142" s="144"/>
      <c r="AF142" s="44"/>
      <c r="AG142" s="44"/>
      <c r="AH142" s="44"/>
      <c r="AI142" s="44"/>
      <c r="AJ142" s="44"/>
      <c r="AK142" s="44"/>
      <c r="AL142" s="44"/>
      <c r="AM142" s="44"/>
      <c r="AN142" s="44"/>
      <c r="AO142" s="44"/>
      <c r="AP142" s="44"/>
      <c r="AY142" s="46"/>
      <c r="AZ142" s="46"/>
      <c r="BA142" s="46"/>
      <c r="BB142" s="46"/>
      <c r="BC142" s="46"/>
      <c r="BD142" s="46"/>
      <c r="CH142"/>
      <c r="CI142"/>
      <c r="CJ142"/>
      <c r="CK142"/>
      <c r="CL142"/>
      <c r="CM142"/>
    </row>
    <row r="143" spans="1:91">
      <c r="A143" s="123"/>
      <c r="B143" s="123"/>
      <c r="C143" s="123"/>
      <c r="D143" s="123"/>
      <c r="E143" s="123"/>
      <c r="F143" s="123"/>
      <c r="G143" s="123"/>
      <c r="H143" s="123"/>
      <c r="I143" s="123"/>
      <c r="J143" s="123"/>
      <c r="K143" s="123"/>
      <c r="L143" s="123"/>
      <c r="M143" s="123"/>
      <c r="N143" s="140"/>
      <c r="O143" s="141"/>
      <c r="P143" s="123"/>
      <c r="Q143" s="123"/>
      <c r="R143" s="144"/>
      <c r="S143" s="144"/>
      <c r="T143" s="144"/>
      <c r="U143" s="144"/>
      <c r="V143" s="144"/>
      <c r="W143" s="144"/>
      <c r="X143" s="144"/>
      <c r="Y143" s="144"/>
      <c r="Z143" s="144"/>
      <c r="AA143" s="144"/>
      <c r="AB143" s="144"/>
      <c r="AC143" s="144"/>
      <c r="AD143" s="144"/>
      <c r="AE143" s="144"/>
      <c r="AF143" s="44"/>
      <c r="AG143" s="44"/>
      <c r="AH143" s="44"/>
      <c r="AI143" s="44"/>
      <c r="AJ143" s="44"/>
      <c r="AK143" s="44"/>
      <c r="AL143" s="44"/>
      <c r="AM143" s="44"/>
      <c r="AN143" s="44"/>
      <c r="AO143" s="44"/>
      <c r="AP143" s="44"/>
      <c r="AY143" s="46"/>
      <c r="AZ143" s="46"/>
      <c r="BA143" s="46"/>
      <c r="BB143" s="46"/>
      <c r="BC143" s="46"/>
      <c r="BD143" s="46"/>
      <c r="CH143"/>
      <c r="CI143"/>
      <c r="CJ143"/>
      <c r="CK143"/>
      <c r="CL143"/>
      <c r="CM143"/>
    </row>
    <row r="144" spans="1:91">
      <c r="A144" s="123"/>
      <c r="B144" s="123"/>
      <c r="C144" s="123"/>
      <c r="D144" s="123"/>
      <c r="E144" s="123"/>
      <c r="F144" s="123"/>
      <c r="G144" s="123"/>
      <c r="H144" s="123"/>
      <c r="I144" s="123"/>
      <c r="J144" s="123"/>
      <c r="K144" s="123"/>
      <c r="L144" s="123"/>
      <c r="M144" s="123"/>
      <c r="N144" s="140"/>
      <c r="O144" s="141"/>
      <c r="P144" s="123"/>
      <c r="Q144" s="123"/>
      <c r="R144" s="144"/>
      <c r="S144" s="144"/>
      <c r="T144" s="144"/>
      <c r="U144" s="144"/>
      <c r="V144" s="144"/>
      <c r="W144" s="144"/>
      <c r="X144" s="144"/>
      <c r="Y144" s="144"/>
      <c r="Z144" s="144"/>
      <c r="AA144" s="144"/>
      <c r="AB144" s="144"/>
      <c r="AC144" s="144"/>
      <c r="AD144" s="144"/>
      <c r="AE144" s="144"/>
      <c r="AF144" s="44"/>
      <c r="AG144" s="44"/>
      <c r="AH144" s="44"/>
      <c r="AI144" s="44"/>
      <c r="AJ144" s="44"/>
      <c r="AK144" s="44"/>
      <c r="AL144" s="44"/>
      <c r="AM144" s="44"/>
      <c r="AN144" s="44"/>
      <c r="AO144" s="44"/>
      <c r="AP144" s="44"/>
      <c r="AY144" s="46"/>
      <c r="AZ144" s="46"/>
      <c r="BA144" s="46"/>
      <c r="BB144" s="46"/>
      <c r="BC144" s="46"/>
      <c r="BD144" s="46"/>
      <c r="CH144"/>
      <c r="CI144"/>
      <c r="CJ144"/>
      <c r="CK144"/>
      <c r="CL144"/>
      <c r="CM144"/>
    </row>
    <row r="145" spans="1:91">
      <c r="A145" s="123"/>
      <c r="B145" s="123"/>
      <c r="C145" s="123"/>
      <c r="D145" s="123"/>
      <c r="E145" s="123"/>
      <c r="F145" s="123"/>
      <c r="G145" s="123"/>
      <c r="H145" s="123"/>
      <c r="I145" s="123"/>
      <c r="J145" s="123"/>
      <c r="K145" s="123"/>
      <c r="L145" s="123"/>
      <c r="M145" s="123"/>
      <c r="N145" s="140"/>
      <c r="O145" s="141"/>
      <c r="P145" s="123"/>
      <c r="Q145" s="123"/>
      <c r="R145" s="144"/>
      <c r="S145" s="144"/>
      <c r="T145" s="144"/>
      <c r="U145" s="144"/>
      <c r="V145" s="144"/>
      <c r="W145" s="144"/>
      <c r="X145" s="144"/>
      <c r="Y145" s="144"/>
      <c r="Z145" s="144"/>
      <c r="AA145" s="144"/>
      <c r="AB145" s="144"/>
      <c r="AC145" s="144"/>
      <c r="AD145" s="144"/>
      <c r="AE145" s="144"/>
      <c r="AF145" s="44"/>
      <c r="AG145" s="44"/>
      <c r="AH145" s="44"/>
      <c r="AI145" s="44"/>
      <c r="AJ145" s="44"/>
      <c r="AK145" s="44"/>
      <c r="AL145" s="44"/>
      <c r="AM145" s="44"/>
      <c r="AN145" s="44"/>
      <c r="AO145" s="44"/>
      <c r="AP145" s="44"/>
      <c r="AY145" s="46"/>
      <c r="AZ145" s="46"/>
      <c r="BA145" s="46"/>
      <c r="BB145" s="46"/>
      <c r="BC145" s="46"/>
      <c r="BD145" s="46"/>
      <c r="CH145"/>
      <c r="CI145"/>
      <c r="CJ145"/>
      <c r="CK145"/>
      <c r="CL145"/>
      <c r="CM145"/>
    </row>
    <row r="146" spans="1:91">
      <c r="A146" s="123"/>
      <c r="B146" s="123"/>
      <c r="C146" s="123"/>
      <c r="D146" s="123"/>
      <c r="E146" s="123"/>
      <c r="F146" s="123"/>
      <c r="G146" s="123"/>
      <c r="H146" s="123"/>
      <c r="I146" s="123"/>
      <c r="J146" s="123"/>
      <c r="K146" s="123"/>
      <c r="L146" s="123"/>
      <c r="M146" s="123"/>
      <c r="N146" s="140"/>
      <c r="O146" s="141"/>
      <c r="P146" s="123"/>
      <c r="Q146" s="123"/>
      <c r="R146" s="144"/>
      <c r="S146" s="144"/>
      <c r="T146" s="144"/>
      <c r="U146" s="144"/>
      <c r="V146" s="144"/>
      <c r="W146" s="144"/>
      <c r="X146" s="144"/>
      <c r="Y146" s="144"/>
      <c r="Z146" s="144"/>
      <c r="AA146" s="144"/>
      <c r="AB146" s="144"/>
      <c r="AC146" s="144"/>
      <c r="AD146" s="144"/>
      <c r="AE146" s="144"/>
      <c r="AF146" s="44"/>
      <c r="AG146" s="44"/>
      <c r="AH146" s="44"/>
      <c r="AI146" s="44"/>
      <c r="AJ146" s="44"/>
      <c r="AK146" s="44"/>
      <c r="AL146" s="44"/>
      <c r="AM146" s="44"/>
      <c r="AN146" s="44"/>
      <c r="AO146" s="44"/>
      <c r="AP146" s="44"/>
      <c r="AY146" s="46"/>
      <c r="AZ146" s="46"/>
      <c r="BA146" s="46"/>
      <c r="BB146" s="46"/>
      <c r="BC146" s="46"/>
      <c r="BD146" s="46"/>
      <c r="CH146"/>
      <c r="CI146"/>
      <c r="CJ146"/>
      <c r="CK146"/>
      <c r="CL146"/>
      <c r="CM146"/>
    </row>
    <row r="147" spans="1:91">
      <c r="A147" s="123"/>
      <c r="B147" s="123"/>
      <c r="C147" s="123"/>
      <c r="D147" s="123"/>
      <c r="E147" s="123"/>
      <c r="F147" s="123"/>
      <c r="G147" s="123"/>
      <c r="H147" s="123"/>
      <c r="I147" s="123"/>
      <c r="J147" s="123"/>
      <c r="K147" s="123"/>
      <c r="L147" s="123"/>
      <c r="M147" s="123"/>
      <c r="N147" s="140"/>
      <c r="O147" s="141"/>
      <c r="P147" s="123"/>
      <c r="Q147" s="123"/>
      <c r="R147" s="144"/>
      <c r="S147" s="144"/>
      <c r="T147" s="144"/>
      <c r="U147" s="144"/>
      <c r="V147" s="144"/>
      <c r="W147" s="144"/>
      <c r="X147" s="144"/>
      <c r="Y147" s="144"/>
      <c r="Z147" s="144"/>
      <c r="AA147" s="144"/>
      <c r="AB147" s="144"/>
      <c r="AC147" s="144"/>
      <c r="AD147" s="144"/>
      <c r="AE147" s="144"/>
      <c r="AF147" s="44"/>
      <c r="AG147" s="44"/>
      <c r="AH147" s="44"/>
      <c r="AI147" s="44"/>
      <c r="AJ147" s="44"/>
      <c r="AK147" s="44"/>
      <c r="AL147" s="44"/>
      <c r="AM147" s="44"/>
      <c r="AN147" s="44"/>
      <c r="AO147" s="44"/>
      <c r="AP147" s="44"/>
      <c r="AY147" s="46"/>
      <c r="AZ147" s="46"/>
      <c r="BA147" s="46"/>
      <c r="BB147" s="46"/>
      <c r="BC147" s="46"/>
      <c r="BD147" s="46"/>
      <c r="CH147"/>
      <c r="CI147"/>
      <c r="CJ147"/>
      <c r="CK147"/>
      <c r="CL147"/>
      <c r="CM147"/>
    </row>
    <row r="148" spans="1:91">
      <c r="A148" s="123"/>
      <c r="B148" s="123"/>
      <c r="C148" s="123"/>
      <c r="D148" s="123"/>
      <c r="E148" s="123"/>
      <c r="F148" s="123"/>
      <c r="G148" s="123"/>
      <c r="H148" s="123"/>
      <c r="I148" s="123"/>
      <c r="J148" s="123"/>
      <c r="K148" s="123"/>
      <c r="L148" s="123"/>
      <c r="M148" s="123"/>
      <c r="N148" s="140"/>
      <c r="O148" s="141"/>
      <c r="P148" s="123"/>
      <c r="Q148" s="123"/>
      <c r="R148" s="144"/>
      <c r="S148" s="144"/>
      <c r="T148" s="144"/>
      <c r="U148" s="144"/>
      <c r="V148" s="144"/>
      <c r="W148" s="144"/>
      <c r="X148" s="144"/>
      <c r="Y148" s="144"/>
      <c r="Z148" s="144"/>
      <c r="AA148" s="144"/>
      <c r="AB148" s="144"/>
      <c r="AC148" s="144"/>
      <c r="AD148" s="144"/>
      <c r="AE148" s="144"/>
      <c r="AF148" s="44"/>
      <c r="AG148" s="44"/>
      <c r="AH148" s="44"/>
      <c r="AI148" s="44"/>
      <c r="AJ148" s="44"/>
      <c r="AK148" s="44"/>
      <c r="AL148" s="44"/>
      <c r="AM148" s="44"/>
      <c r="AN148" s="44"/>
      <c r="AO148" s="44"/>
      <c r="AP148" s="44"/>
      <c r="AY148" s="46"/>
      <c r="AZ148" s="46"/>
      <c r="BA148" s="46"/>
      <c r="BB148" s="46"/>
      <c r="BC148" s="46"/>
      <c r="BD148" s="46"/>
      <c r="CH148"/>
      <c r="CI148"/>
      <c r="CJ148"/>
      <c r="CK148"/>
      <c r="CL148"/>
      <c r="CM148"/>
    </row>
    <row r="149" spans="1:91">
      <c r="A149" s="123"/>
      <c r="B149" s="123"/>
      <c r="C149" s="123"/>
      <c r="D149" s="123"/>
      <c r="E149" s="123"/>
      <c r="F149" s="123"/>
      <c r="G149" s="123"/>
      <c r="H149" s="123"/>
      <c r="I149" s="123"/>
      <c r="J149" s="123"/>
      <c r="K149" s="123"/>
      <c r="L149" s="123"/>
      <c r="M149" s="123"/>
      <c r="N149" s="140"/>
      <c r="O149" s="141"/>
      <c r="P149" s="123"/>
      <c r="Q149" s="123"/>
      <c r="R149" s="144"/>
      <c r="S149" s="144"/>
      <c r="T149" s="144"/>
      <c r="U149" s="144"/>
      <c r="V149" s="144"/>
      <c r="W149" s="144"/>
      <c r="X149" s="144"/>
      <c r="Y149" s="144"/>
      <c r="Z149" s="144"/>
      <c r="AA149" s="144"/>
      <c r="AB149" s="144"/>
      <c r="AC149" s="144"/>
      <c r="AD149" s="144"/>
      <c r="AE149" s="144"/>
      <c r="AF149" s="44"/>
      <c r="AG149" s="44"/>
      <c r="AH149" s="44"/>
      <c r="AI149" s="44"/>
      <c r="AJ149" s="44"/>
      <c r="AK149" s="44"/>
      <c r="AL149" s="44"/>
      <c r="AM149" s="44"/>
      <c r="AN149" s="44"/>
      <c r="AO149" s="44"/>
      <c r="AP149" s="44"/>
      <c r="AY149" s="46"/>
      <c r="AZ149" s="46"/>
      <c r="BA149" s="46"/>
      <c r="BB149" s="46"/>
      <c r="BC149" s="46"/>
      <c r="BD149" s="46"/>
      <c r="CH149"/>
      <c r="CI149"/>
      <c r="CJ149"/>
      <c r="CK149"/>
      <c r="CL149"/>
      <c r="CM149"/>
    </row>
    <row r="150" spans="1:91">
      <c r="A150" s="123"/>
      <c r="B150" s="123"/>
      <c r="C150" s="123"/>
      <c r="D150" s="123"/>
      <c r="E150" s="123"/>
      <c r="F150" s="123"/>
      <c r="G150" s="123"/>
      <c r="H150" s="123"/>
      <c r="I150" s="123"/>
      <c r="J150" s="123"/>
      <c r="K150" s="123"/>
      <c r="L150" s="123"/>
      <c r="M150" s="123"/>
      <c r="N150" s="140"/>
      <c r="O150" s="141"/>
      <c r="P150" s="123"/>
      <c r="Q150" s="123"/>
      <c r="R150" s="144"/>
      <c r="S150" s="144"/>
      <c r="T150" s="144"/>
      <c r="U150" s="144"/>
      <c r="V150" s="144"/>
      <c r="W150" s="144"/>
      <c r="X150" s="144"/>
      <c r="Y150" s="144"/>
      <c r="Z150" s="144"/>
      <c r="AA150" s="144"/>
      <c r="AB150" s="144"/>
      <c r="AC150" s="144"/>
      <c r="AD150" s="144"/>
      <c r="AE150" s="1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Y150" s="46"/>
      <c r="AZ150" s="46"/>
      <c r="BA150" s="46"/>
      <c r="BB150" s="46"/>
      <c r="BC150" s="46"/>
      <c r="BD150" s="46"/>
      <c r="CH150"/>
      <c r="CI150"/>
      <c r="CJ150"/>
      <c r="CK150"/>
      <c r="CL150"/>
      <c r="CM150"/>
    </row>
    <row r="151" spans="1:91">
      <c r="A151" s="123"/>
      <c r="B151" s="123"/>
      <c r="C151" s="123"/>
      <c r="D151" s="123"/>
      <c r="E151" s="123"/>
      <c r="F151" s="123"/>
      <c r="G151" s="123"/>
      <c r="H151" s="123"/>
      <c r="I151" s="123"/>
      <c r="J151" s="123"/>
      <c r="K151" s="123"/>
      <c r="L151" s="123"/>
      <c r="M151" s="123"/>
      <c r="N151" s="140"/>
      <c r="O151" s="141"/>
      <c r="P151" s="123"/>
      <c r="Q151" s="123"/>
      <c r="R151" s="144"/>
      <c r="S151" s="144"/>
      <c r="T151" s="144"/>
      <c r="U151" s="144"/>
      <c r="V151" s="144"/>
      <c r="W151" s="144"/>
      <c r="X151" s="144"/>
      <c r="Y151" s="144"/>
      <c r="Z151" s="144"/>
      <c r="AA151" s="144"/>
      <c r="AB151" s="144"/>
      <c r="AC151" s="144"/>
      <c r="AD151" s="144"/>
      <c r="AE151" s="1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Y151" s="46"/>
      <c r="AZ151" s="46"/>
      <c r="BA151" s="46"/>
      <c r="BB151" s="46"/>
      <c r="BC151" s="46"/>
      <c r="BD151" s="46"/>
      <c r="CH151"/>
      <c r="CI151"/>
      <c r="CJ151"/>
      <c r="CK151"/>
      <c r="CL151"/>
      <c r="CM151"/>
    </row>
    <row r="152" spans="1:91">
      <c r="A152" s="123"/>
      <c r="B152" s="123"/>
      <c r="C152" s="123"/>
      <c r="D152" s="123"/>
      <c r="E152" s="123"/>
      <c r="F152" s="123"/>
      <c r="G152" s="123"/>
      <c r="H152" s="123"/>
      <c r="I152" s="123"/>
      <c r="J152" s="123"/>
      <c r="K152" s="123"/>
      <c r="L152" s="123"/>
      <c r="M152" s="123"/>
      <c r="N152" s="140"/>
      <c r="O152" s="141"/>
      <c r="P152" s="123"/>
      <c r="Q152" s="123"/>
      <c r="R152" s="144"/>
      <c r="S152" s="144"/>
      <c r="T152" s="144"/>
      <c r="U152" s="144"/>
      <c r="V152" s="144"/>
      <c r="W152" s="144"/>
      <c r="X152" s="144"/>
      <c r="Y152" s="144"/>
      <c r="Z152" s="144"/>
      <c r="AA152" s="144"/>
      <c r="AB152" s="144"/>
      <c r="AC152" s="144"/>
      <c r="AD152" s="144"/>
      <c r="AE152" s="144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Y152" s="46"/>
      <c r="AZ152" s="46"/>
      <c r="BA152" s="46"/>
      <c r="BB152" s="46"/>
      <c r="BC152" s="46"/>
      <c r="BD152" s="46"/>
      <c r="CH152"/>
      <c r="CI152"/>
      <c r="CJ152"/>
      <c r="CK152"/>
      <c r="CL152"/>
      <c r="CM152"/>
    </row>
    <row r="153" spans="1:91">
      <c r="A153" s="123"/>
      <c r="B153" s="123"/>
      <c r="C153" s="123"/>
      <c r="D153" s="123"/>
      <c r="E153" s="123"/>
      <c r="F153" s="123"/>
      <c r="G153" s="123"/>
      <c r="H153" s="123"/>
      <c r="I153" s="123"/>
      <c r="J153" s="123"/>
      <c r="K153" s="123"/>
      <c r="L153" s="123"/>
      <c r="M153" s="123"/>
      <c r="N153" s="140"/>
      <c r="O153" s="141"/>
      <c r="P153" s="123"/>
      <c r="Q153" s="123"/>
      <c r="R153" s="144"/>
      <c r="S153" s="144"/>
      <c r="T153" s="144"/>
      <c r="U153" s="144"/>
      <c r="V153" s="144"/>
      <c r="W153" s="144"/>
      <c r="X153" s="144"/>
      <c r="Y153" s="144"/>
      <c r="Z153" s="144"/>
      <c r="AA153" s="144"/>
      <c r="AB153" s="144"/>
      <c r="AC153" s="144"/>
      <c r="AD153" s="144"/>
      <c r="AE153" s="144"/>
      <c r="AF153" s="44"/>
      <c r="AG153" s="44"/>
      <c r="AH153" s="44"/>
      <c r="AI153" s="44"/>
      <c r="AJ153" s="44"/>
      <c r="AK153" s="44"/>
      <c r="AL153" s="44"/>
      <c r="AM153" s="44"/>
      <c r="AN153" s="44"/>
      <c r="AO153" s="44"/>
      <c r="AP153" s="44"/>
      <c r="AY153" s="46"/>
      <c r="AZ153" s="46"/>
      <c r="BA153" s="46"/>
      <c r="BB153" s="46"/>
      <c r="BC153" s="46"/>
      <c r="BD153" s="46"/>
      <c r="CH153"/>
      <c r="CI153"/>
      <c r="CJ153"/>
      <c r="CK153"/>
      <c r="CL153"/>
      <c r="CM153"/>
    </row>
    <row r="154" spans="1:91">
      <c r="A154" s="123"/>
      <c r="B154" s="123"/>
      <c r="C154" s="123"/>
      <c r="D154" s="123"/>
      <c r="E154" s="123"/>
      <c r="F154" s="123"/>
      <c r="G154" s="123"/>
      <c r="H154" s="123"/>
      <c r="I154" s="123"/>
      <c r="J154" s="123"/>
      <c r="K154" s="123"/>
      <c r="L154" s="123"/>
      <c r="M154" s="123"/>
      <c r="N154" s="140"/>
      <c r="O154" s="141"/>
      <c r="P154" s="123"/>
      <c r="Q154" s="123"/>
      <c r="R154" s="144"/>
      <c r="S154" s="144"/>
      <c r="T154" s="144"/>
      <c r="U154" s="144"/>
      <c r="V154" s="144"/>
      <c r="W154" s="144"/>
      <c r="X154" s="144"/>
      <c r="Y154" s="144"/>
      <c r="Z154" s="144"/>
      <c r="AA154" s="144"/>
      <c r="AB154" s="144"/>
      <c r="AC154" s="144"/>
      <c r="AD154" s="144"/>
      <c r="AE154" s="1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Y154" s="46"/>
      <c r="AZ154" s="46"/>
      <c r="BA154" s="46"/>
      <c r="BB154" s="46"/>
      <c r="BC154" s="46"/>
      <c r="BD154" s="46"/>
      <c r="CH154"/>
      <c r="CI154"/>
      <c r="CJ154"/>
      <c r="CK154"/>
      <c r="CL154"/>
      <c r="CM154"/>
    </row>
    <row r="155" spans="1:91">
      <c r="A155" s="123"/>
      <c r="B155" s="123"/>
      <c r="C155" s="123"/>
      <c r="D155" s="123"/>
      <c r="E155" s="123"/>
      <c r="F155" s="123"/>
      <c r="G155" s="123"/>
      <c r="H155" s="123"/>
      <c r="I155" s="123"/>
      <c r="J155" s="123"/>
      <c r="K155" s="123"/>
      <c r="L155" s="123"/>
      <c r="M155" s="123"/>
      <c r="N155" s="140"/>
      <c r="O155" s="141"/>
      <c r="P155" s="123"/>
      <c r="Q155" s="123"/>
      <c r="R155" s="144"/>
      <c r="S155" s="144"/>
      <c r="T155" s="144"/>
      <c r="U155" s="144"/>
      <c r="V155" s="144"/>
      <c r="W155" s="144"/>
      <c r="X155" s="144"/>
      <c r="Y155" s="144"/>
      <c r="Z155" s="144"/>
      <c r="AA155" s="144"/>
      <c r="AB155" s="144"/>
      <c r="AC155" s="144"/>
      <c r="AD155" s="144"/>
      <c r="AE155" s="144"/>
      <c r="AF155" s="44"/>
      <c r="AG155" s="44"/>
      <c r="AH155" s="44"/>
      <c r="AI155" s="44"/>
      <c r="AJ155" s="44"/>
      <c r="AK155" s="44"/>
      <c r="AL155" s="44"/>
      <c r="AM155" s="44"/>
      <c r="AN155" s="44"/>
      <c r="AO155" s="44"/>
      <c r="AP155" s="44"/>
      <c r="AY155" s="46"/>
      <c r="AZ155" s="46"/>
      <c r="BA155" s="46"/>
      <c r="BB155" s="46"/>
      <c r="BC155" s="46"/>
      <c r="BD155" s="46"/>
      <c r="CH155"/>
      <c r="CI155"/>
      <c r="CJ155"/>
      <c r="CK155"/>
      <c r="CL155"/>
      <c r="CM155"/>
    </row>
    <row r="156" spans="1:91">
      <c r="A156" s="123"/>
      <c r="B156" s="123"/>
      <c r="C156" s="123"/>
      <c r="D156" s="123"/>
      <c r="E156" s="123"/>
      <c r="F156" s="123"/>
      <c r="G156" s="123"/>
      <c r="H156" s="123"/>
      <c r="I156" s="123"/>
      <c r="J156" s="123"/>
      <c r="K156" s="123"/>
      <c r="L156" s="123"/>
      <c r="M156" s="123"/>
      <c r="N156" s="140"/>
      <c r="O156" s="141"/>
      <c r="P156" s="123"/>
      <c r="Q156" s="123"/>
      <c r="R156" s="144"/>
      <c r="S156" s="144"/>
      <c r="T156" s="144"/>
      <c r="U156" s="144"/>
      <c r="V156" s="144"/>
      <c r="W156" s="144"/>
      <c r="X156" s="144"/>
      <c r="Y156" s="144"/>
      <c r="Z156" s="144"/>
      <c r="AA156" s="144"/>
      <c r="AB156" s="144"/>
      <c r="AC156" s="144"/>
      <c r="AD156" s="144"/>
      <c r="AE156" s="144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Y156" s="46"/>
      <c r="AZ156" s="46"/>
      <c r="BA156" s="46"/>
      <c r="BB156" s="46"/>
      <c r="BC156" s="46"/>
      <c r="BD156" s="46"/>
      <c r="CH156"/>
      <c r="CI156"/>
      <c r="CJ156"/>
      <c r="CK156"/>
      <c r="CL156"/>
      <c r="CM156"/>
    </row>
    <row r="157" spans="1:91">
      <c r="A157" s="123"/>
      <c r="B157" s="123"/>
      <c r="C157" s="123"/>
      <c r="D157" s="123"/>
      <c r="E157" s="123"/>
      <c r="F157" s="123"/>
      <c r="G157" s="123"/>
      <c r="H157" s="123"/>
      <c r="I157" s="123"/>
      <c r="J157" s="123"/>
      <c r="K157" s="123"/>
      <c r="L157" s="123"/>
      <c r="M157" s="123"/>
      <c r="N157" s="140"/>
      <c r="O157" s="141"/>
      <c r="P157" s="123"/>
      <c r="Q157" s="123"/>
      <c r="R157" s="144"/>
      <c r="S157" s="144"/>
      <c r="T157" s="144"/>
      <c r="U157" s="144"/>
      <c r="V157" s="144"/>
      <c r="W157" s="144"/>
      <c r="X157" s="144"/>
      <c r="Y157" s="144"/>
      <c r="Z157" s="144"/>
      <c r="AA157" s="144"/>
      <c r="AB157" s="144"/>
      <c r="AC157" s="144"/>
      <c r="AD157" s="144"/>
      <c r="AE157" s="144"/>
      <c r="AF157" s="44"/>
      <c r="AG157" s="44"/>
      <c r="AH157" s="44"/>
      <c r="AI157" s="44"/>
      <c r="AJ157" s="44"/>
      <c r="AK157" s="44"/>
      <c r="AL157" s="44"/>
      <c r="AM157" s="44"/>
      <c r="AN157" s="44"/>
      <c r="AO157" s="44"/>
      <c r="AP157" s="44"/>
      <c r="AY157" s="46"/>
      <c r="AZ157" s="46"/>
      <c r="BA157" s="46"/>
      <c r="BB157" s="46"/>
      <c r="BC157" s="46"/>
      <c r="BD157" s="46"/>
      <c r="CH157"/>
      <c r="CI157"/>
      <c r="CJ157"/>
      <c r="CK157"/>
      <c r="CL157"/>
      <c r="CM157"/>
    </row>
    <row r="158" spans="1:91">
      <c r="A158" s="123"/>
      <c r="B158" s="123"/>
      <c r="C158" s="123"/>
      <c r="D158" s="123"/>
      <c r="E158" s="123"/>
      <c r="F158" s="123"/>
      <c r="G158" s="123"/>
      <c r="H158" s="123"/>
      <c r="I158" s="123"/>
      <c r="J158" s="123"/>
      <c r="K158" s="123"/>
      <c r="L158" s="123"/>
      <c r="M158" s="123"/>
      <c r="N158" s="140"/>
      <c r="O158" s="141"/>
      <c r="P158" s="123"/>
      <c r="Q158" s="123"/>
      <c r="R158" s="144"/>
      <c r="S158" s="144"/>
      <c r="T158" s="144"/>
      <c r="U158" s="144"/>
      <c r="V158" s="144"/>
      <c r="W158" s="144"/>
      <c r="X158" s="144"/>
      <c r="Y158" s="144"/>
      <c r="Z158" s="144"/>
      <c r="AA158" s="144"/>
      <c r="AB158" s="144"/>
      <c r="AC158" s="144"/>
      <c r="AD158" s="144"/>
      <c r="AE158" s="144"/>
      <c r="AF158" s="44"/>
      <c r="AG158" s="44"/>
      <c r="AH158" s="44"/>
      <c r="AI158" s="44"/>
      <c r="AJ158" s="44"/>
      <c r="AK158" s="44"/>
      <c r="AL158" s="44"/>
      <c r="AM158" s="44"/>
      <c r="AN158" s="44"/>
      <c r="AO158" s="44"/>
      <c r="AP158" s="44"/>
      <c r="AY158" s="46"/>
      <c r="AZ158" s="46"/>
      <c r="BA158" s="46"/>
      <c r="BB158" s="46"/>
      <c r="BC158" s="46"/>
      <c r="BD158" s="46"/>
      <c r="CH158"/>
      <c r="CI158"/>
      <c r="CJ158"/>
      <c r="CK158"/>
      <c r="CL158"/>
      <c r="CM158"/>
    </row>
    <row r="159" spans="1:91">
      <c r="A159" s="123"/>
      <c r="B159" s="123"/>
      <c r="C159" s="123"/>
      <c r="D159" s="123"/>
      <c r="E159" s="123"/>
      <c r="F159" s="123"/>
      <c r="G159" s="123"/>
      <c r="H159" s="123"/>
      <c r="I159" s="123"/>
      <c r="J159" s="123"/>
      <c r="K159" s="123"/>
      <c r="L159" s="123"/>
      <c r="M159" s="123"/>
      <c r="N159" s="140"/>
      <c r="O159" s="141"/>
      <c r="P159" s="123"/>
      <c r="Q159" s="123"/>
      <c r="R159" s="144"/>
      <c r="S159" s="144"/>
      <c r="T159" s="144"/>
      <c r="U159" s="144"/>
      <c r="V159" s="144"/>
      <c r="W159" s="144"/>
      <c r="X159" s="144"/>
      <c r="Y159" s="144"/>
      <c r="Z159" s="144"/>
      <c r="AA159" s="144"/>
      <c r="AB159" s="144"/>
      <c r="AC159" s="144"/>
      <c r="AD159" s="144"/>
      <c r="AE159" s="144"/>
      <c r="AF159" s="44"/>
      <c r="AG159" s="44"/>
      <c r="AH159" s="44"/>
      <c r="AI159" s="44"/>
      <c r="AJ159" s="44"/>
      <c r="AK159" s="44"/>
      <c r="AL159" s="44"/>
      <c r="AM159" s="44"/>
      <c r="AN159" s="44"/>
      <c r="AO159" s="44"/>
      <c r="AP159" s="44"/>
      <c r="AY159" s="46"/>
      <c r="AZ159" s="46"/>
      <c r="BA159" s="46"/>
      <c r="BB159" s="46"/>
      <c r="BC159" s="46"/>
      <c r="BD159" s="46"/>
      <c r="CH159"/>
      <c r="CI159"/>
      <c r="CJ159"/>
      <c r="CK159"/>
      <c r="CL159"/>
      <c r="CM159"/>
    </row>
    <row r="160" spans="1:91">
      <c r="A160" s="123"/>
      <c r="B160" s="123"/>
      <c r="C160" s="123"/>
      <c r="D160" s="123"/>
      <c r="E160" s="123"/>
      <c r="F160" s="123"/>
      <c r="G160" s="123"/>
      <c r="H160" s="123"/>
      <c r="I160" s="123"/>
      <c r="J160" s="123"/>
      <c r="K160" s="123"/>
      <c r="L160" s="123"/>
      <c r="M160" s="123"/>
      <c r="N160" s="140"/>
      <c r="O160" s="141"/>
      <c r="P160" s="123"/>
      <c r="Q160" s="123"/>
      <c r="R160" s="144"/>
      <c r="S160" s="144"/>
      <c r="T160" s="144"/>
      <c r="U160" s="144"/>
      <c r="V160" s="144"/>
      <c r="W160" s="144"/>
      <c r="X160" s="144"/>
      <c r="Y160" s="144"/>
      <c r="Z160" s="144"/>
      <c r="AA160" s="144"/>
      <c r="AB160" s="144"/>
      <c r="AC160" s="144"/>
      <c r="AD160" s="144"/>
      <c r="AE160" s="144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Y160" s="46"/>
      <c r="AZ160" s="46"/>
      <c r="BA160" s="46"/>
      <c r="BB160" s="46"/>
      <c r="BC160" s="46"/>
      <c r="BD160" s="46"/>
      <c r="CH160"/>
      <c r="CI160"/>
      <c r="CJ160"/>
      <c r="CK160"/>
      <c r="CL160"/>
      <c r="CM160"/>
    </row>
    <row r="161" spans="1:91">
      <c r="A161" s="123"/>
      <c r="B161" s="123"/>
      <c r="C161" s="123"/>
      <c r="D161" s="123"/>
      <c r="E161" s="123"/>
      <c r="F161" s="123"/>
      <c r="G161" s="123"/>
      <c r="H161" s="123"/>
      <c r="I161" s="123"/>
      <c r="J161" s="123"/>
      <c r="K161" s="123"/>
      <c r="L161" s="123"/>
      <c r="M161" s="123"/>
      <c r="N161" s="140"/>
      <c r="O161" s="141"/>
      <c r="P161" s="123"/>
      <c r="Q161" s="123"/>
      <c r="R161" s="144"/>
      <c r="S161" s="144"/>
      <c r="T161" s="144"/>
      <c r="U161" s="144"/>
      <c r="V161" s="144"/>
      <c r="W161" s="144"/>
      <c r="X161" s="144"/>
      <c r="Y161" s="144"/>
      <c r="Z161" s="144"/>
      <c r="AA161" s="144"/>
      <c r="AB161" s="144"/>
      <c r="AC161" s="144"/>
      <c r="AD161" s="144"/>
      <c r="AE161" s="144"/>
      <c r="AF161" s="44"/>
      <c r="AG161" s="44"/>
      <c r="AH161" s="44"/>
      <c r="AI161" s="44"/>
      <c r="AJ161" s="44"/>
      <c r="AK161" s="44"/>
      <c r="AL161" s="44"/>
      <c r="AM161" s="44"/>
      <c r="AN161" s="44"/>
      <c r="AO161" s="44"/>
      <c r="AP161" s="44"/>
      <c r="AY161" s="46"/>
      <c r="AZ161" s="46"/>
      <c r="BA161" s="46"/>
      <c r="BB161" s="46"/>
      <c r="BC161" s="46"/>
      <c r="BD161" s="46"/>
      <c r="CH161"/>
      <c r="CI161"/>
      <c r="CJ161"/>
      <c r="CK161"/>
      <c r="CL161"/>
      <c r="CM161"/>
    </row>
    <row r="162" spans="1:91">
      <c r="A162" s="123"/>
      <c r="B162" s="123"/>
      <c r="C162" s="123"/>
      <c r="D162" s="123"/>
      <c r="E162" s="123"/>
      <c r="F162" s="123"/>
      <c r="G162" s="123"/>
      <c r="H162" s="123"/>
      <c r="I162" s="123"/>
      <c r="J162" s="123"/>
      <c r="K162" s="123"/>
      <c r="L162" s="123"/>
      <c r="M162" s="123"/>
      <c r="N162" s="140"/>
      <c r="O162" s="141"/>
      <c r="P162" s="123"/>
      <c r="Q162" s="123"/>
      <c r="R162" s="144"/>
      <c r="S162" s="144"/>
      <c r="T162" s="144"/>
      <c r="U162" s="144"/>
      <c r="V162" s="144"/>
      <c r="W162" s="144"/>
      <c r="X162" s="144"/>
      <c r="Y162" s="144"/>
      <c r="Z162" s="144"/>
      <c r="AA162" s="144"/>
      <c r="AB162" s="144"/>
      <c r="AC162" s="144"/>
      <c r="AD162" s="144"/>
      <c r="AE162" s="144"/>
      <c r="AF162" s="44"/>
      <c r="AG162" s="44"/>
      <c r="AH162" s="44"/>
      <c r="AI162" s="44"/>
      <c r="AJ162" s="44"/>
      <c r="AK162" s="44"/>
      <c r="AL162" s="44"/>
      <c r="AM162" s="44"/>
      <c r="AN162" s="44"/>
      <c r="AO162" s="44"/>
      <c r="AP162" s="44"/>
      <c r="AY162" s="46"/>
      <c r="AZ162" s="46"/>
      <c r="BA162" s="46"/>
      <c r="BB162" s="46"/>
      <c r="BC162" s="46"/>
      <c r="BD162" s="46"/>
      <c r="CH162"/>
      <c r="CI162"/>
      <c r="CJ162"/>
      <c r="CK162"/>
      <c r="CL162"/>
      <c r="CM162"/>
    </row>
    <row r="163" spans="1:91">
      <c r="A163" s="123"/>
      <c r="B163" s="123"/>
      <c r="C163" s="123"/>
      <c r="D163" s="123"/>
      <c r="E163" s="123"/>
      <c r="F163" s="123"/>
      <c r="G163" s="123"/>
      <c r="H163" s="123"/>
      <c r="I163" s="123"/>
      <c r="J163" s="123"/>
      <c r="K163" s="123"/>
      <c r="L163" s="123"/>
      <c r="M163" s="123"/>
      <c r="N163" s="140"/>
      <c r="O163" s="141"/>
      <c r="P163" s="123"/>
      <c r="Q163" s="123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  <c r="AL163" s="44"/>
      <c r="AM163" s="44"/>
      <c r="AN163" s="44"/>
      <c r="AO163" s="44"/>
      <c r="AP163" s="44"/>
      <c r="AY163" s="46"/>
      <c r="AZ163" s="46"/>
      <c r="BA163" s="46"/>
      <c r="BB163" s="46"/>
      <c r="BC163" s="46"/>
      <c r="BD163" s="46"/>
      <c r="CH163"/>
      <c r="CI163"/>
      <c r="CJ163"/>
      <c r="CK163"/>
      <c r="CL163"/>
      <c r="CM163"/>
    </row>
    <row r="164" spans="1:91">
      <c r="A164" s="123"/>
      <c r="B164" s="123"/>
      <c r="C164" s="123"/>
      <c r="D164" s="123"/>
      <c r="E164" s="123"/>
      <c r="F164" s="123"/>
      <c r="G164" s="123"/>
      <c r="H164" s="123"/>
      <c r="I164" s="123"/>
      <c r="J164" s="123"/>
      <c r="K164" s="123"/>
      <c r="L164" s="123"/>
      <c r="M164" s="123"/>
      <c r="N164" s="140"/>
      <c r="O164" s="141"/>
      <c r="P164" s="123"/>
      <c r="Q164" s="123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44"/>
      <c r="AM164" s="44"/>
      <c r="AN164" s="44"/>
      <c r="AO164" s="44"/>
      <c r="AP164" s="44"/>
      <c r="AY164" s="46"/>
      <c r="AZ164" s="46"/>
      <c r="BA164" s="46"/>
      <c r="BB164" s="46"/>
      <c r="BC164" s="46"/>
      <c r="BD164" s="46"/>
      <c r="CH164"/>
      <c r="CI164"/>
      <c r="CJ164"/>
      <c r="CK164"/>
      <c r="CL164"/>
      <c r="CM164"/>
    </row>
    <row r="165" spans="1:91">
      <c r="A165" s="123"/>
      <c r="B165" s="123"/>
      <c r="C165" s="123"/>
      <c r="D165" s="123"/>
      <c r="E165" s="123"/>
      <c r="F165" s="123"/>
      <c r="G165" s="123"/>
      <c r="H165" s="123"/>
      <c r="I165" s="123"/>
      <c r="J165" s="123"/>
      <c r="K165" s="123"/>
      <c r="L165" s="123"/>
      <c r="M165" s="123"/>
      <c r="N165" s="140"/>
      <c r="O165" s="141"/>
      <c r="P165" s="123"/>
      <c r="Q165" s="123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  <c r="AL165" s="44"/>
      <c r="AM165" s="44"/>
      <c r="AN165" s="44"/>
      <c r="AO165" s="44"/>
      <c r="AP165" s="44"/>
      <c r="AY165" s="46"/>
      <c r="AZ165" s="46"/>
      <c r="BA165" s="46"/>
      <c r="BB165" s="46"/>
      <c r="BC165" s="46"/>
      <c r="BD165" s="46"/>
      <c r="CH165"/>
      <c r="CI165"/>
      <c r="CJ165"/>
      <c r="CK165"/>
      <c r="CL165"/>
      <c r="CM165"/>
    </row>
    <row r="166" spans="1:91">
      <c r="A166" s="123"/>
      <c r="B166" s="123"/>
      <c r="C166" s="123"/>
      <c r="D166" s="123"/>
      <c r="E166" s="123"/>
      <c r="F166" s="123"/>
      <c r="G166" s="123"/>
      <c r="H166" s="123"/>
      <c r="I166" s="123"/>
      <c r="J166" s="123"/>
      <c r="K166" s="123"/>
      <c r="L166" s="123"/>
      <c r="M166" s="123"/>
      <c r="N166" s="140"/>
      <c r="O166" s="141"/>
      <c r="P166" s="123"/>
      <c r="Q166" s="123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  <c r="AL166" s="44"/>
      <c r="AM166" s="44"/>
      <c r="AN166" s="44"/>
      <c r="AO166" s="44"/>
      <c r="AP166" s="44"/>
      <c r="AY166" s="46"/>
      <c r="AZ166" s="46"/>
      <c r="BA166" s="46"/>
      <c r="BB166" s="46"/>
      <c r="BC166" s="46"/>
      <c r="BD166" s="46"/>
      <c r="CH166"/>
      <c r="CI166"/>
      <c r="CJ166"/>
      <c r="CK166"/>
      <c r="CL166"/>
      <c r="CM166"/>
    </row>
    <row r="167" spans="1:91">
      <c r="A167" s="123"/>
      <c r="B167" s="123"/>
      <c r="C167" s="123"/>
      <c r="D167" s="123"/>
      <c r="E167" s="123"/>
      <c r="F167" s="123"/>
      <c r="G167" s="123"/>
      <c r="H167" s="123"/>
      <c r="I167" s="123"/>
      <c r="J167" s="123"/>
      <c r="K167" s="123"/>
      <c r="L167" s="123"/>
      <c r="M167" s="123"/>
      <c r="N167" s="140"/>
      <c r="O167" s="141"/>
      <c r="P167" s="123"/>
      <c r="Q167" s="123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  <c r="AL167" s="44"/>
      <c r="AM167" s="44"/>
      <c r="AN167" s="44"/>
      <c r="AO167" s="44"/>
      <c r="AP167" s="44"/>
      <c r="AY167" s="46"/>
      <c r="AZ167" s="46"/>
      <c r="BA167" s="46"/>
      <c r="BB167" s="46"/>
      <c r="BC167" s="46"/>
      <c r="BD167" s="46"/>
      <c r="CH167"/>
      <c r="CI167"/>
      <c r="CJ167"/>
      <c r="CK167"/>
      <c r="CL167"/>
      <c r="CM167"/>
    </row>
    <row r="168" spans="1:91">
      <c r="A168" s="123"/>
      <c r="B168" s="123"/>
      <c r="C168" s="123"/>
      <c r="D168" s="123"/>
      <c r="E168" s="123"/>
      <c r="F168" s="123"/>
      <c r="G168" s="123"/>
      <c r="H168" s="123"/>
      <c r="I168" s="123"/>
      <c r="J168" s="123"/>
      <c r="K168" s="123"/>
      <c r="L168" s="123"/>
      <c r="M168" s="123"/>
      <c r="N168" s="140"/>
      <c r="O168" s="141"/>
      <c r="P168" s="123"/>
      <c r="Q168" s="123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  <c r="AL168" s="44"/>
      <c r="AM168" s="44"/>
      <c r="AN168" s="44"/>
      <c r="AO168" s="44"/>
      <c r="AP168" s="44"/>
      <c r="AY168" s="46"/>
      <c r="AZ168" s="46"/>
      <c r="BA168" s="46"/>
      <c r="BB168" s="46"/>
      <c r="BC168" s="46"/>
      <c r="BD168" s="46"/>
      <c r="CH168"/>
      <c r="CI168"/>
      <c r="CJ168"/>
      <c r="CK168"/>
      <c r="CL168"/>
      <c r="CM168"/>
    </row>
    <row r="169" spans="1:91">
      <c r="A169" s="123"/>
      <c r="B169" s="123"/>
      <c r="C169" s="123"/>
      <c r="D169" s="123"/>
      <c r="E169" s="123"/>
      <c r="F169" s="123"/>
      <c r="G169" s="123"/>
      <c r="H169" s="123"/>
      <c r="I169" s="123"/>
      <c r="J169" s="123"/>
      <c r="K169" s="123"/>
      <c r="L169" s="123"/>
      <c r="M169" s="123"/>
      <c r="N169" s="140"/>
      <c r="O169" s="141"/>
      <c r="P169" s="123"/>
      <c r="Q169" s="123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  <c r="AL169" s="44"/>
      <c r="AM169" s="44"/>
      <c r="AN169" s="44"/>
      <c r="AO169" s="44"/>
      <c r="AP169" s="44"/>
      <c r="AY169" s="46"/>
      <c r="AZ169" s="46"/>
      <c r="BA169" s="46"/>
      <c r="BB169" s="46"/>
      <c r="BC169" s="46"/>
      <c r="BD169" s="46"/>
      <c r="CH169"/>
      <c r="CI169"/>
      <c r="CJ169"/>
      <c r="CK169"/>
      <c r="CL169"/>
      <c r="CM169"/>
    </row>
    <row r="170" spans="1:91">
      <c r="A170" s="123"/>
      <c r="B170" s="123"/>
      <c r="C170" s="123"/>
      <c r="D170" s="123"/>
      <c r="E170" s="123"/>
      <c r="F170" s="123"/>
      <c r="G170" s="123"/>
      <c r="H170" s="123"/>
      <c r="I170" s="123"/>
      <c r="J170" s="123"/>
      <c r="K170" s="123"/>
      <c r="L170" s="123"/>
      <c r="M170" s="123"/>
      <c r="N170" s="140"/>
      <c r="O170" s="141"/>
      <c r="P170" s="123"/>
      <c r="Q170" s="123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Y170" s="46"/>
      <c r="AZ170" s="46"/>
      <c r="BA170" s="46"/>
      <c r="BB170" s="46"/>
      <c r="BC170" s="46"/>
      <c r="BD170" s="46"/>
      <c r="CH170"/>
      <c r="CI170"/>
      <c r="CJ170"/>
      <c r="CK170"/>
      <c r="CL170"/>
      <c r="CM170"/>
    </row>
    <row r="171" spans="1:91">
      <c r="A171" s="123"/>
      <c r="B171" s="123"/>
      <c r="C171" s="123"/>
      <c r="D171" s="123"/>
      <c r="E171" s="123"/>
      <c r="F171" s="123"/>
      <c r="G171" s="123"/>
      <c r="H171" s="123"/>
      <c r="I171" s="123"/>
      <c r="J171" s="123"/>
      <c r="K171" s="123"/>
      <c r="L171" s="123"/>
      <c r="M171" s="123"/>
      <c r="N171" s="140"/>
      <c r="O171" s="141"/>
      <c r="P171" s="123"/>
      <c r="Q171" s="123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  <c r="AM171" s="44"/>
      <c r="AN171" s="44"/>
      <c r="AO171" s="44"/>
      <c r="AP171" s="44"/>
      <c r="AY171" s="46"/>
      <c r="AZ171" s="46"/>
      <c r="BA171" s="46"/>
      <c r="BB171" s="46"/>
      <c r="BC171" s="46"/>
      <c r="BD171" s="46"/>
      <c r="CH171"/>
      <c r="CI171"/>
      <c r="CJ171"/>
      <c r="CK171"/>
      <c r="CL171"/>
      <c r="CM171"/>
    </row>
    <row r="172" spans="1:91">
      <c r="A172" s="123"/>
      <c r="B172" s="123"/>
      <c r="C172" s="123"/>
      <c r="D172" s="123"/>
      <c r="E172" s="123"/>
      <c r="F172" s="123"/>
      <c r="G172" s="123"/>
      <c r="H172" s="123"/>
      <c r="I172" s="123"/>
      <c r="J172" s="123"/>
      <c r="K172" s="123"/>
      <c r="L172" s="123"/>
      <c r="M172" s="123"/>
      <c r="N172" s="140"/>
      <c r="O172" s="141"/>
      <c r="P172" s="123"/>
      <c r="Q172" s="123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  <c r="AM172" s="44"/>
      <c r="AN172" s="44"/>
      <c r="AO172" s="44"/>
      <c r="AP172" s="44"/>
      <c r="AY172" s="46"/>
      <c r="AZ172" s="46"/>
      <c r="BA172" s="46"/>
      <c r="BB172" s="46"/>
      <c r="BC172" s="46"/>
      <c r="BD172" s="46"/>
      <c r="CH172"/>
      <c r="CI172"/>
      <c r="CJ172"/>
      <c r="CK172"/>
      <c r="CL172"/>
      <c r="CM172"/>
    </row>
    <row r="173" spans="1:91" s="109" customFormat="1">
      <c r="A173" s="123"/>
      <c r="B173" s="123"/>
      <c r="C173" s="123"/>
      <c r="D173" s="123"/>
      <c r="E173" s="123"/>
      <c r="F173" s="123"/>
      <c r="G173" s="123"/>
      <c r="H173" s="123"/>
      <c r="I173" s="123"/>
      <c r="J173" s="123"/>
      <c r="K173" s="123"/>
      <c r="L173" s="123"/>
      <c r="M173" s="123"/>
      <c r="N173" s="140"/>
      <c r="O173" s="141"/>
      <c r="P173" s="123"/>
      <c r="Q173" s="123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Y173" s="46"/>
      <c r="AZ173" s="46"/>
      <c r="BA173" s="46"/>
      <c r="BB173" s="46"/>
      <c r="BC173" s="46"/>
      <c r="BD173" s="46"/>
      <c r="BE173" s="46"/>
      <c r="BF173" s="46"/>
      <c r="BG173" s="46"/>
      <c r="BH173" s="46"/>
      <c r="BI173" s="46"/>
      <c r="BJ173" s="46"/>
      <c r="BK173" s="46"/>
      <c r="BL173" s="46"/>
      <c r="BM173" s="46"/>
      <c r="BN173" s="46"/>
      <c r="BO173" s="46"/>
      <c r="BP173" s="46"/>
      <c r="BQ173" s="46"/>
      <c r="BR173" s="46"/>
      <c r="BS173" s="46"/>
      <c r="BT173" s="46"/>
      <c r="BU173" s="46"/>
      <c r="BV173" s="46"/>
      <c r="BW173" s="46"/>
      <c r="BX173" s="46"/>
      <c r="BY173" s="46"/>
      <c r="BZ173" s="46"/>
      <c r="CA173" s="46"/>
      <c r="CB173" s="46"/>
      <c r="CC173" s="46"/>
      <c r="CD173" s="46"/>
      <c r="CE173" s="46"/>
      <c r="CF173" s="46"/>
      <c r="CG173" s="46"/>
    </row>
    <row r="174" spans="1:91" s="109" customFormat="1">
      <c r="A174" s="123"/>
      <c r="B174" s="123"/>
      <c r="C174" s="123"/>
      <c r="D174" s="123"/>
      <c r="E174" s="123"/>
      <c r="F174" s="123"/>
      <c r="G174" s="123"/>
      <c r="H174" s="123"/>
      <c r="I174" s="123"/>
      <c r="J174" s="123"/>
      <c r="K174" s="123"/>
      <c r="L174" s="123"/>
      <c r="M174" s="123"/>
      <c r="N174" s="140"/>
      <c r="O174" s="141"/>
      <c r="P174" s="123"/>
      <c r="Q174" s="123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  <c r="AL174" s="44"/>
      <c r="AM174" s="44"/>
      <c r="AN174" s="44"/>
      <c r="AO174" s="44"/>
      <c r="AP174" s="44"/>
      <c r="AY174" s="46"/>
      <c r="AZ174" s="46"/>
      <c r="BA174" s="46"/>
      <c r="BB174" s="46"/>
      <c r="BC174" s="46"/>
      <c r="BD174" s="46"/>
      <c r="BE174" s="46"/>
      <c r="BF174" s="46"/>
      <c r="BG174" s="46"/>
      <c r="BH174" s="46"/>
      <c r="BI174" s="46"/>
      <c r="BJ174" s="46"/>
      <c r="BK174" s="46"/>
      <c r="BL174" s="46"/>
      <c r="BM174" s="46"/>
      <c r="BN174" s="46"/>
      <c r="BO174" s="46"/>
      <c r="BP174" s="46"/>
      <c r="BQ174" s="46"/>
      <c r="BR174" s="46"/>
      <c r="BS174" s="46"/>
      <c r="BT174" s="46"/>
      <c r="BU174" s="46"/>
      <c r="BV174" s="46"/>
      <c r="BW174" s="46"/>
      <c r="BX174" s="46"/>
      <c r="BY174" s="46"/>
      <c r="BZ174" s="46"/>
      <c r="CA174" s="46"/>
      <c r="CB174" s="46"/>
      <c r="CC174" s="46"/>
      <c r="CD174" s="46"/>
      <c r="CE174" s="46"/>
      <c r="CF174" s="46"/>
      <c r="CG174" s="46"/>
    </row>
    <row r="175" spans="1:91">
      <c r="A175" s="123"/>
      <c r="B175" s="123"/>
      <c r="C175" s="123"/>
      <c r="D175" s="123"/>
      <c r="E175" s="123"/>
      <c r="F175" s="123"/>
      <c r="G175" s="123"/>
      <c r="H175" s="123"/>
      <c r="I175" s="123"/>
      <c r="J175" s="123"/>
      <c r="K175" s="123"/>
      <c r="L175" s="123"/>
      <c r="M175" s="123"/>
      <c r="N175" s="140"/>
      <c r="O175" s="141"/>
      <c r="P175" s="123"/>
      <c r="Q175" s="123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  <c r="AM175" s="44"/>
      <c r="AN175" s="44"/>
      <c r="AO175" s="44"/>
      <c r="AP175" s="44"/>
      <c r="AY175" s="46"/>
      <c r="AZ175" s="46"/>
      <c r="BA175" s="46"/>
      <c r="BB175" s="46"/>
      <c r="BC175" s="46"/>
      <c r="BD175" s="46"/>
      <c r="CH175"/>
      <c r="CI175"/>
      <c r="CJ175"/>
      <c r="CK175"/>
      <c r="CL175"/>
      <c r="CM175"/>
    </row>
    <row r="176" spans="1:91">
      <c r="A176" s="123"/>
      <c r="B176" s="123"/>
      <c r="C176" s="123"/>
      <c r="D176" s="123"/>
      <c r="E176" s="123"/>
      <c r="F176" s="123"/>
      <c r="G176" s="123"/>
      <c r="H176" s="123"/>
      <c r="I176" s="123"/>
      <c r="J176" s="123"/>
      <c r="K176" s="123"/>
      <c r="L176" s="123"/>
      <c r="M176" s="123"/>
      <c r="N176" s="140"/>
      <c r="O176" s="141"/>
      <c r="P176" s="123"/>
      <c r="Q176" s="123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  <c r="AL176" s="44"/>
      <c r="AM176" s="44"/>
      <c r="AN176" s="44"/>
      <c r="AO176" s="44"/>
      <c r="AP176" s="44"/>
      <c r="AY176" s="46"/>
      <c r="AZ176" s="46"/>
      <c r="BA176" s="46"/>
      <c r="BB176" s="46"/>
      <c r="BC176" s="46"/>
      <c r="BD176" s="46"/>
      <c r="CH176"/>
      <c r="CI176"/>
      <c r="CJ176"/>
      <c r="CK176"/>
      <c r="CL176"/>
      <c r="CM176"/>
    </row>
    <row r="177" spans="1:91">
      <c r="A177" s="123"/>
      <c r="B177" s="123"/>
      <c r="C177" s="123"/>
      <c r="D177" s="123"/>
      <c r="E177" s="123"/>
      <c r="F177" s="123"/>
      <c r="G177" s="123"/>
      <c r="H177" s="123"/>
      <c r="I177" s="123"/>
      <c r="J177" s="123"/>
      <c r="K177" s="123"/>
      <c r="L177" s="123"/>
      <c r="M177" s="123"/>
      <c r="N177" s="140"/>
      <c r="O177" s="141"/>
      <c r="P177" s="123"/>
      <c r="Q177" s="123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  <c r="AL177" s="44"/>
      <c r="AM177" s="44"/>
      <c r="AN177" s="44"/>
      <c r="AO177" s="44"/>
      <c r="AP177" s="44"/>
      <c r="AY177" s="46"/>
      <c r="AZ177" s="46"/>
      <c r="BA177" s="46"/>
      <c r="BB177" s="46"/>
      <c r="BC177" s="46"/>
      <c r="BD177" s="46"/>
      <c r="CH177"/>
      <c r="CI177"/>
      <c r="CJ177"/>
      <c r="CK177"/>
      <c r="CL177"/>
      <c r="CM177"/>
    </row>
    <row r="178" spans="1:91">
      <c r="A178" s="123"/>
      <c r="B178" s="123"/>
      <c r="C178" s="123"/>
      <c r="D178" s="123"/>
      <c r="E178" s="123"/>
      <c r="F178" s="123"/>
      <c r="G178" s="123"/>
      <c r="H178" s="123"/>
      <c r="I178" s="123"/>
      <c r="J178" s="123"/>
      <c r="K178" s="123"/>
      <c r="L178" s="123"/>
      <c r="M178" s="123"/>
      <c r="N178" s="140"/>
      <c r="O178" s="141"/>
      <c r="P178" s="123"/>
      <c r="Q178" s="123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  <c r="AL178" s="44"/>
      <c r="AM178" s="44"/>
      <c r="AN178" s="44"/>
      <c r="AO178" s="44"/>
      <c r="AP178" s="44"/>
      <c r="AY178" s="46"/>
      <c r="AZ178" s="46"/>
      <c r="BA178" s="46"/>
      <c r="BB178" s="46"/>
      <c r="BC178" s="46"/>
      <c r="BD178" s="46"/>
      <c r="CH178"/>
      <c r="CI178"/>
      <c r="CJ178"/>
      <c r="CK178"/>
      <c r="CL178"/>
      <c r="CM178"/>
    </row>
    <row r="179" spans="1:91">
      <c r="A179" s="123"/>
      <c r="B179" s="123"/>
      <c r="C179" s="123"/>
      <c r="D179" s="123"/>
      <c r="E179" s="123"/>
      <c r="F179" s="123"/>
      <c r="G179" s="123"/>
      <c r="H179" s="123"/>
      <c r="I179" s="123"/>
      <c r="J179" s="123"/>
      <c r="K179" s="123"/>
      <c r="L179" s="123"/>
      <c r="M179" s="123"/>
      <c r="N179" s="140"/>
      <c r="O179" s="141"/>
      <c r="P179" s="123"/>
      <c r="Q179" s="123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  <c r="AL179" s="44"/>
      <c r="AM179" s="44"/>
      <c r="AN179" s="44"/>
      <c r="AO179" s="44"/>
      <c r="AP179" s="44"/>
      <c r="AY179" s="46"/>
      <c r="AZ179" s="46"/>
      <c r="BA179" s="46"/>
      <c r="BB179" s="46"/>
      <c r="BC179" s="46"/>
      <c r="BD179" s="46"/>
      <c r="CH179"/>
      <c r="CI179"/>
      <c r="CJ179"/>
      <c r="CK179"/>
      <c r="CL179"/>
      <c r="CM179"/>
    </row>
    <row r="180" spans="1:91">
      <c r="A180" s="123"/>
      <c r="B180" s="123"/>
      <c r="C180" s="123"/>
      <c r="D180" s="123"/>
      <c r="E180" s="123"/>
      <c r="F180" s="123"/>
      <c r="G180" s="123"/>
      <c r="H180" s="123"/>
      <c r="I180" s="123"/>
      <c r="J180" s="123"/>
      <c r="K180" s="123"/>
      <c r="L180" s="123"/>
      <c r="M180" s="123"/>
      <c r="N180" s="140"/>
      <c r="O180" s="141"/>
      <c r="P180" s="123"/>
      <c r="Q180" s="123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  <c r="AL180" s="44"/>
      <c r="AM180" s="44"/>
      <c r="AN180" s="44"/>
      <c r="AO180" s="44"/>
      <c r="AP180" s="44"/>
      <c r="AY180" s="46"/>
      <c r="AZ180" s="46"/>
      <c r="BA180" s="46"/>
      <c r="BB180" s="46"/>
      <c r="BC180" s="46"/>
      <c r="BD180" s="46"/>
      <c r="CH180"/>
      <c r="CI180"/>
      <c r="CJ180"/>
      <c r="CK180"/>
      <c r="CL180"/>
      <c r="CM180"/>
    </row>
    <row r="181" spans="1:91">
      <c r="A181" s="123"/>
      <c r="B181" s="123"/>
      <c r="C181" s="123"/>
      <c r="D181" s="123"/>
      <c r="E181" s="123"/>
      <c r="F181" s="123"/>
      <c r="G181" s="123"/>
      <c r="H181" s="123"/>
      <c r="I181" s="123"/>
      <c r="J181" s="123"/>
      <c r="K181" s="123"/>
      <c r="L181" s="123"/>
      <c r="M181" s="123"/>
      <c r="N181" s="140"/>
      <c r="O181" s="141"/>
      <c r="P181" s="123"/>
      <c r="Q181" s="123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  <c r="AL181" s="44"/>
      <c r="AM181" s="44"/>
      <c r="AN181" s="44"/>
      <c r="AO181" s="44"/>
      <c r="AP181" s="44"/>
      <c r="AY181" s="46"/>
      <c r="AZ181" s="46"/>
      <c r="BA181" s="46"/>
      <c r="BB181" s="46"/>
      <c r="BC181" s="46"/>
      <c r="BD181" s="46"/>
      <c r="CH181"/>
      <c r="CI181"/>
      <c r="CJ181"/>
      <c r="CK181"/>
      <c r="CL181"/>
      <c r="CM181"/>
    </row>
    <row r="182" spans="1:91">
      <c r="A182" s="123"/>
      <c r="B182" s="123"/>
      <c r="C182" s="123"/>
      <c r="D182" s="123"/>
      <c r="E182" s="123"/>
      <c r="F182" s="123"/>
      <c r="G182" s="123"/>
      <c r="H182" s="123"/>
      <c r="I182" s="123"/>
      <c r="J182" s="123"/>
      <c r="K182" s="123"/>
      <c r="L182" s="123"/>
      <c r="M182" s="123"/>
      <c r="N182" s="140"/>
      <c r="O182" s="141"/>
      <c r="P182" s="123"/>
      <c r="Q182" s="123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  <c r="AL182" s="44"/>
      <c r="AM182" s="44"/>
      <c r="AN182" s="44"/>
      <c r="AO182" s="44"/>
      <c r="AP182" s="44"/>
      <c r="AY182" s="46"/>
      <c r="AZ182" s="46"/>
      <c r="BA182" s="46"/>
      <c r="BB182" s="46"/>
      <c r="BC182" s="46"/>
      <c r="BD182" s="46"/>
      <c r="CH182"/>
      <c r="CI182"/>
      <c r="CJ182"/>
      <c r="CK182"/>
      <c r="CL182"/>
      <c r="CM182"/>
    </row>
    <row r="183" spans="1:91">
      <c r="A183" s="123"/>
      <c r="B183" s="123"/>
      <c r="C183" s="123"/>
      <c r="D183" s="123"/>
      <c r="E183" s="123"/>
      <c r="F183" s="123"/>
      <c r="G183" s="123"/>
      <c r="H183" s="123"/>
      <c r="I183" s="123"/>
      <c r="J183" s="123"/>
      <c r="K183" s="123"/>
      <c r="L183" s="123"/>
      <c r="M183" s="123"/>
      <c r="N183" s="140"/>
      <c r="O183" s="141"/>
      <c r="P183" s="123"/>
      <c r="Q183" s="123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  <c r="AL183" s="44"/>
      <c r="AM183" s="44"/>
      <c r="AN183" s="44"/>
      <c r="AO183" s="44"/>
      <c r="AP183" s="44"/>
      <c r="AY183" s="46"/>
      <c r="AZ183" s="46"/>
      <c r="BA183" s="46"/>
      <c r="BB183" s="46"/>
      <c r="BC183" s="46"/>
      <c r="BD183" s="46"/>
      <c r="CH183"/>
      <c r="CI183"/>
      <c r="CJ183"/>
      <c r="CK183"/>
      <c r="CL183"/>
      <c r="CM183"/>
    </row>
    <row r="184" spans="1:91">
      <c r="A184" s="123"/>
      <c r="B184" s="123"/>
      <c r="C184" s="123"/>
      <c r="D184" s="123"/>
      <c r="E184" s="123"/>
      <c r="F184" s="123"/>
      <c r="G184" s="123"/>
      <c r="H184" s="123"/>
      <c r="I184" s="123"/>
      <c r="J184" s="123"/>
      <c r="K184" s="123"/>
      <c r="L184" s="123"/>
      <c r="M184" s="123"/>
      <c r="N184" s="140"/>
      <c r="O184" s="141"/>
      <c r="P184" s="123"/>
      <c r="Q184" s="123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  <c r="AL184" s="44"/>
      <c r="AM184" s="44"/>
      <c r="AN184" s="44"/>
      <c r="AO184" s="44"/>
      <c r="AP184" s="44"/>
      <c r="AY184" s="46"/>
      <c r="AZ184" s="46"/>
      <c r="BA184" s="46"/>
      <c r="BB184" s="46"/>
      <c r="BC184" s="46"/>
      <c r="BD184" s="46"/>
      <c r="CH184"/>
      <c r="CI184"/>
      <c r="CJ184"/>
      <c r="CK184"/>
      <c r="CL184"/>
      <c r="CM184"/>
    </row>
    <row r="185" spans="1:91">
      <c r="A185" s="123"/>
      <c r="B185" s="123"/>
      <c r="C185" s="123"/>
      <c r="D185" s="123"/>
      <c r="E185" s="123"/>
      <c r="F185" s="123"/>
      <c r="G185" s="123"/>
      <c r="H185" s="123"/>
      <c r="I185" s="123"/>
      <c r="J185" s="123"/>
      <c r="K185" s="123"/>
      <c r="L185" s="123"/>
      <c r="M185" s="123"/>
      <c r="N185" s="140"/>
      <c r="O185" s="141"/>
      <c r="P185" s="123"/>
      <c r="Q185" s="123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Y185" s="46"/>
      <c r="AZ185" s="46"/>
      <c r="BA185" s="46"/>
      <c r="BB185" s="46"/>
      <c r="BC185" s="46"/>
      <c r="BD185" s="46"/>
      <c r="CH185"/>
      <c r="CI185"/>
      <c r="CJ185"/>
      <c r="CK185"/>
      <c r="CL185"/>
      <c r="CM185"/>
    </row>
    <row r="186" spans="1:91">
      <c r="A186" s="123"/>
      <c r="B186" s="123"/>
      <c r="C186" s="123"/>
      <c r="D186" s="123"/>
      <c r="E186" s="123"/>
      <c r="F186" s="123"/>
      <c r="G186" s="123"/>
      <c r="H186" s="123"/>
      <c r="I186" s="123"/>
      <c r="J186" s="123"/>
      <c r="K186" s="123"/>
      <c r="L186" s="123"/>
      <c r="M186" s="123"/>
      <c r="N186" s="140"/>
      <c r="O186" s="141"/>
      <c r="P186" s="123"/>
      <c r="Q186" s="123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  <c r="AL186" s="44"/>
      <c r="AM186" s="44"/>
      <c r="AN186" s="44"/>
      <c r="AO186" s="44"/>
      <c r="AP186" s="44"/>
      <c r="AY186" s="46"/>
      <c r="AZ186" s="46"/>
      <c r="BA186" s="46"/>
      <c r="BB186" s="46"/>
      <c r="BC186" s="46"/>
      <c r="BD186" s="46"/>
      <c r="CH186"/>
      <c r="CI186"/>
      <c r="CJ186"/>
      <c r="CK186"/>
      <c r="CL186"/>
      <c r="CM186"/>
    </row>
    <row r="187" spans="1:91">
      <c r="A187" s="123"/>
      <c r="B187" s="123"/>
      <c r="C187" s="123"/>
      <c r="D187" s="123"/>
      <c r="E187" s="123"/>
      <c r="F187" s="123"/>
      <c r="G187" s="123"/>
      <c r="H187" s="123"/>
      <c r="I187" s="123"/>
      <c r="J187" s="123"/>
      <c r="K187" s="123"/>
      <c r="L187" s="123"/>
      <c r="M187" s="123"/>
      <c r="N187" s="140"/>
      <c r="O187" s="141"/>
      <c r="P187" s="123"/>
      <c r="Q187" s="123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  <c r="AL187" s="44"/>
      <c r="AM187" s="44"/>
      <c r="AN187" s="44"/>
      <c r="AO187" s="44"/>
      <c r="AP187" s="44"/>
      <c r="AY187" s="46"/>
      <c r="AZ187" s="46"/>
      <c r="BA187" s="46"/>
      <c r="BB187" s="46"/>
      <c r="BC187" s="46"/>
      <c r="BD187" s="46"/>
      <c r="CH187"/>
      <c r="CI187"/>
      <c r="CJ187"/>
      <c r="CK187"/>
      <c r="CL187"/>
      <c r="CM187"/>
    </row>
    <row r="188" spans="1:91">
      <c r="A188" s="123"/>
      <c r="B188" s="123"/>
      <c r="C188" s="123"/>
      <c r="D188" s="123"/>
      <c r="E188" s="123"/>
      <c r="F188" s="123"/>
      <c r="G188" s="123"/>
      <c r="H188" s="123"/>
      <c r="I188" s="123"/>
      <c r="J188" s="123"/>
      <c r="K188" s="123"/>
      <c r="L188" s="123"/>
      <c r="M188" s="123"/>
      <c r="N188" s="140"/>
      <c r="O188" s="141"/>
      <c r="P188" s="123"/>
      <c r="Q188" s="123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Y188" s="46"/>
      <c r="AZ188" s="46"/>
      <c r="BA188" s="46"/>
      <c r="BB188" s="46"/>
      <c r="BC188" s="46"/>
      <c r="BD188" s="46"/>
      <c r="CH188"/>
      <c r="CI188"/>
      <c r="CJ188"/>
      <c r="CK188"/>
      <c r="CL188"/>
      <c r="CM188"/>
    </row>
    <row r="189" spans="1:91">
      <c r="A189" s="123"/>
      <c r="B189" s="123"/>
      <c r="C189" s="123"/>
      <c r="D189" s="123"/>
      <c r="E189" s="123"/>
      <c r="F189" s="123"/>
      <c r="G189" s="123"/>
      <c r="H189" s="123"/>
      <c r="I189" s="123"/>
      <c r="J189" s="123"/>
      <c r="K189" s="123"/>
      <c r="L189" s="123"/>
      <c r="M189" s="123"/>
      <c r="N189" s="140"/>
      <c r="O189" s="141"/>
      <c r="P189" s="123"/>
      <c r="Q189" s="123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  <c r="AM189" s="44"/>
      <c r="AN189" s="44"/>
      <c r="AO189" s="44"/>
      <c r="AP189" s="44"/>
      <c r="AY189" s="46"/>
      <c r="AZ189" s="46"/>
      <c r="BA189" s="46"/>
      <c r="BB189" s="46"/>
      <c r="BC189" s="46"/>
      <c r="BD189" s="46"/>
      <c r="CH189"/>
      <c r="CI189"/>
      <c r="CJ189"/>
      <c r="CK189"/>
      <c r="CL189"/>
      <c r="CM189"/>
    </row>
    <row r="190" spans="1:91">
      <c r="A190" s="123"/>
      <c r="B190" s="123"/>
      <c r="C190" s="123"/>
      <c r="D190" s="123"/>
      <c r="E190" s="123"/>
      <c r="F190" s="123"/>
      <c r="G190" s="123"/>
      <c r="H190" s="123"/>
      <c r="I190" s="123"/>
      <c r="J190" s="123"/>
      <c r="K190" s="123"/>
      <c r="L190" s="123"/>
      <c r="M190" s="123"/>
      <c r="N190" s="140"/>
      <c r="O190" s="141"/>
      <c r="P190" s="123"/>
      <c r="Q190" s="123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/>
      <c r="AY190" s="46"/>
      <c r="AZ190" s="46"/>
      <c r="BA190" s="46"/>
      <c r="BB190" s="46"/>
      <c r="BC190" s="46"/>
      <c r="BD190" s="46"/>
      <c r="CH190"/>
      <c r="CI190"/>
      <c r="CJ190"/>
      <c r="CK190"/>
      <c r="CL190"/>
      <c r="CM190"/>
    </row>
    <row r="191" spans="1:91">
      <c r="A191" s="123"/>
      <c r="B191" s="123"/>
      <c r="C191" s="123"/>
      <c r="D191" s="123"/>
      <c r="E191" s="123"/>
      <c r="F191" s="123"/>
      <c r="G191" s="123"/>
      <c r="H191" s="123"/>
      <c r="I191" s="123"/>
      <c r="J191" s="123"/>
      <c r="K191" s="123"/>
      <c r="L191" s="123"/>
      <c r="M191" s="123"/>
      <c r="N191" s="123"/>
      <c r="O191" s="123"/>
      <c r="P191" s="123"/>
      <c r="Q191" s="123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  <c r="AL191" s="44"/>
      <c r="AM191" s="44"/>
      <c r="AN191" s="44"/>
      <c r="AO191" s="44"/>
      <c r="AP191" s="44"/>
      <c r="AY191" s="46"/>
      <c r="AZ191" s="46"/>
      <c r="BA191" s="46"/>
      <c r="BB191" s="46"/>
      <c r="BC191" s="46"/>
      <c r="BD191" s="46"/>
      <c r="CH191"/>
      <c r="CI191"/>
      <c r="CJ191"/>
      <c r="CK191"/>
      <c r="CL191"/>
      <c r="CM191"/>
    </row>
    <row r="192" spans="1:91">
      <c r="A192" s="123"/>
      <c r="B192" s="123"/>
      <c r="C192" s="123"/>
      <c r="D192" s="123"/>
      <c r="E192" s="123"/>
      <c r="F192" s="123"/>
      <c r="G192" s="123"/>
      <c r="H192" s="123"/>
      <c r="I192" s="123"/>
      <c r="J192" s="123"/>
      <c r="K192" s="123"/>
      <c r="L192" s="123"/>
      <c r="M192" s="123"/>
      <c r="N192" s="123"/>
      <c r="O192" s="123"/>
      <c r="P192" s="123"/>
      <c r="Q192" s="123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  <c r="AL192" s="44"/>
      <c r="AM192" s="44"/>
      <c r="AN192" s="44"/>
      <c r="AO192" s="44"/>
      <c r="AP192" s="44"/>
      <c r="AY192" s="46"/>
      <c r="AZ192" s="46"/>
      <c r="BA192" s="46"/>
      <c r="BB192" s="46"/>
      <c r="BC192" s="46"/>
      <c r="BD192" s="46"/>
      <c r="CH192"/>
      <c r="CI192"/>
      <c r="CJ192"/>
      <c r="CK192"/>
      <c r="CL192"/>
      <c r="CM192"/>
    </row>
    <row r="193" spans="1:91">
      <c r="A193" s="123"/>
      <c r="B193" s="123"/>
      <c r="C193" s="123"/>
      <c r="D193" s="123"/>
      <c r="E193" s="123"/>
      <c r="F193" s="123"/>
      <c r="G193" s="123"/>
      <c r="H193" s="123"/>
      <c r="I193" s="123"/>
      <c r="J193" s="123"/>
      <c r="K193" s="123"/>
      <c r="L193" s="123"/>
      <c r="M193" s="123"/>
      <c r="N193" s="123"/>
      <c r="O193" s="123"/>
      <c r="P193" s="123"/>
      <c r="Q193" s="123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  <c r="AL193" s="44"/>
      <c r="AM193" s="44"/>
      <c r="AN193" s="44"/>
      <c r="AO193" s="44"/>
      <c r="AP193" s="44"/>
      <c r="AY193" s="46"/>
      <c r="AZ193" s="46"/>
      <c r="BA193" s="46"/>
      <c r="BB193" s="46"/>
      <c r="BC193" s="46"/>
      <c r="BD193" s="46"/>
      <c r="CH193"/>
      <c r="CI193"/>
      <c r="CJ193"/>
      <c r="CK193"/>
      <c r="CL193"/>
      <c r="CM193"/>
    </row>
    <row r="194" spans="1:91">
      <c r="A194" s="123"/>
      <c r="B194" s="123"/>
      <c r="C194" s="123"/>
      <c r="D194" s="123"/>
      <c r="E194" s="123"/>
      <c r="F194" s="123"/>
      <c r="G194" s="123"/>
      <c r="H194" s="123"/>
      <c r="I194" s="123"/>
      <c r="J194" s="123"/>
      <c r="K194" s="123"/>
      <c r="L194" s="123"/>
      <c r="M194" s="123"/>
      <c r="N194" s="123"/>
      <c r="O194" s="123"/>
      <c r="P194" s="123"/>
      <c r="Q194" s="123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  <c r="AL194" s="44"/>
      <c r="AM194" s="44"/>
      <c r="AN194" s="44"/>
      <c r="AO194" s="44"/>
      <c r="AP194" s="44"/>
      <c r="AY194" s="46"/>
      <c r="AZ194" s="46"/>
      <c r="BA194" s="46"/>
      <c r="BB194" s="46"/>
      <c r="BC194" s="46"/>
      <c r="BD194" s="46"/>
      <c r="CH194"/>
      <c r="CI194"/>
      <c r="CJ194"/>
      <c r="CK194"/>
      <c r="CL194"/>
      <c r="CM194"/>
    </row>
    <row r="195" spans="1:91">
      <c r="A195" s="123"/>
      <c r="B195" s="123"/>
      <c r="C195" s="123"/>
      <c r="D195" s="123"/>
      <c r="E195" s="123"/>
      <c r="F195" s="123"/>
      <c r="G195" s="123"/>
      <c r="H195" s="123"/>
      <c r="I195" s="123"/>
      <c r="J195" s="123"/>
      <c r="K195" s="161"/>
      <c r="L195" s="161"/>
      <c r="M195" s="123"/>
      <c r="N195" s="123"/>
      <c r="O195" s="123"/>
      <c r="P195" s="123"/>
      <c r="Q195" s="123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  <c r="AL195" s="44"/>
      <c r="AM195" s="44"/>
      <c r="AN195" s="44"/>
      <c r="AO195" s="44"/>
      <c r="AP195" s="44"/>
      <c r="AY195" s="46"/>
      <c r="AZ195" s="46"/>
      <c r="BA195" s="46"/>
      <c r="BB195" s="46"/>
      <c r="BC195" s="46"/>
      <c r="BD195" s="46"/>
      <c r="CH195"/>
      <c r="CI195"/>
      <c r="CJ195"/>
      <c r="CK195"/>
      <c r="CL195"/>
      <c r="CM195"/>
    </row>
    <row r="196" spans="1:91">
      <c r="A196" s="123"/>
      <c r="B196" s="123"/>
      <c r="C196" s="123"/>
      <c r="D196" s="123"/>
      <c r="E196" s="123"/>
      <c r="F196" s="123"/>
      <c r="G196" s="123"/>
      <c r="H196" s="123"/>
      <c r="I196" s="123"/>
      <c r="J196" s="123"/>
      <c r="K196" s="161"/>
      <c r="L196" s="161"/>
      <c r="M196" s="123"/>
      <c r="N196" s="123"/>
      <c r="O196" s="123"/>
      <c r="P196" s="123"/>
      <c r="Q196" s="123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  <c r="AL196" s="44"/>
      <c r="AM196" s="44"/>
      <c r="AN196" s="44"/>
      <c r="AO196" s="44"/>
      <c r="AP196" s="44"/>
      <c r="AY196" s="46"/>
      <c r="AZ196" s="46"/>
      <c r="BA196" s="46"/>
      <c r="BB196" s="46"/>
      <c r="BC196" s="46"/>
      <c r="BD196" s="46"/>
      <c r="CH196"/>
      <c r="CI196"/>
      <c r="CJ196"/>
      <c r="CK196"/>
      <c r="CL196"/>
      <c r="CM196"/>
    </row>
    <row r="197" spans="1:91">
      <c r="A197" s="123"/>
      <c r="B197" s="123"/>
      <c r="C197" s="123"/>
      <c r="D197" s="123"/>
      <c r="E197" s="123"/>
      <c r="F197" s="123"/>
      <c r="G197" s="123"/>
      <c r="H197" s="123"/>
      <c r="I197" s="123"/>
      <c r="J197" s="123"/>
      <c r="K197" s="123"/>
      <c r="L197" s="123"/>
      <c r="M197" s="123"/>
      <c r="N197" s="123"/>
      <c r="O197" s="123"/>
      <c r="P197" s="123"/>
      <c r="Q197" s="123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  <c r="AL197" s="44"/>
      <c r="AM197" s="44"/>
      <c r="AN197" s="44"/>
      <c r="AO197" s="44"/>
      <c r="AP197" s="44"/>
      <c r="AY197" s="46"/>
      <c r="AZ197" s="46"/>
      <c r="BA197" s="46"/>
      <c r="BB197" s="46"/>
      <c r="BC197" s="46"/>
      <c r="BD197" s="46"/>
      <c r="CH197"/>
      <c r="CI197"/>
      <c r="CJ197"/>
      <c r="CK197"/>
      <c r="CL197"/>
      <c r="CM197"/>
    </row>
    <row r="198" spans="1:91">
      <c r="A198" s="123"/>
      <c r="B198" s="123"/>
      <c r="C198" s="123"/>
      <c r="D198" s="123"/>
      <c r="E198" s="123"/>
      <c r="F198" s="123"/>
      <c r="G198" s="123"/>
      <c r="H198" s="123"/>
      <c r="I198" s="123"/>
      <c r="J198" s="123"/>
      <c r="K198" s="123"/>
      <c r="L198" s="123"/>
      <c r="M198" s="123"/>
      <c r="N198" s="123"/>
      <c r="O198" s="123"/>
      <c r="P198" s="123"/>
      <c r="Q198" s="123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Y198" s="46"/>
      <c r="AZ198" s="46"/>
      <c r="BA198" s="46"/>
      <c r="BB198" s="46"/>
      <c r="BC198" s="46"/>
      <c r="BD198" s="46"/>
      <c r="CH198"/>
      <c r="CI198"/>
      <c r="CJ198"/>
      <c r="CK198"/>
      <c r="CL198"/>
      <c r="CM198"/>
    </row>
    <row r="199" spans="1:91">
      <c r="A199" s="123"/>
      <c r="B199" s="123"/>
      <c r="C199" s="123"/>
      <c r="D199" s="123"/>
      <c r="E199" s="123"/>
      <c r="F199" s="123"/>
      <c r="G199" s="123"/>
      <c r="H199" s="123"/>
      <c r="I199" s="123"/>
      <c r="J199" s="123"/>
      <c r="K199" s="123"/>
      <c r="L199" s="123"/>
      <c r="M199" s="123"/>
      <c r="N199" s="123"/>
      <c r="O199" s="123"/>
      <c r="P199" s="123"/>
      <c r="Q199" s="123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  <c r="AL199" s="44"/>
      <c r="AM199" s="44"/>
      <c r="AN199" s="44"/>
      <c r="AO199" s="44"/>
      <c r="AP199" s="44"/>
      <c r="AY199" s="46"/>
      <c r="AZ199" s="46"/>
      <c r="BA199" s="46"/>
      <c r="BB199" s="46"/>
      <c r="BC199" s="46"/>
      <c r="BD199" s="46"/>
      <c r="CH199"/>
      <c r="CI199"/>
      <c r="CJ199"/>
      <c r="CK199"/>
      <c r="CL199"/>
      <c r="CM199"/>
    </row>
    <row r="200" spans="1:91">
      <c r="A200" s="123"/>
      <c r="B200" s="123"/>
      <c r="C200" s="123"/>
      <c r="D200" s="123"/>
      <c r="E200" s="123"/>
      <c r="F200" s="123"/>
      <c r="G200" s="123"/>
      <c r="H200" s="123"/>
      <c r="I200" s="123"/>
      <c r="J200" s="123"/>
      <c r="K200" s="123"/>
      <c r="L200" s="123"/>
      <c r="M200" s="123"/>
      <c r="N200" s="123"/>
      <c r="O200" s="123"/>
      <c r="P200" s="123"/>
      <c r="Q200" s="123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  <c r="AL200" s="44"/>
      <c r="AM200" s="44"/>
      <c r="AN200" s="44"/>
      <c r="AO200" s="44"/>
      <c r="AP200" s="44"/>
      <c r="AY200" s="46"/>
      <c r="AZ200" s="46"/>
      <c r="BA200" s="46"/>
      <c r="BB200" s="46"/>
      <c r="BC200" s="46"/>
      <c r="BD200" s="46"/>
      <c r="CH200"/>
      <c r="CI200"/>
      <c r="CJ200"/>
      <c r="CK200"/>
      <c r="CL200"/>
      <c r="CM200"/>
    </row>
    <row r="201" spans="1:91">
      <c r="A201" s="123"/>
      <c r="B201" s="123"/>
      <c r="C201" s="123"/>
      <c r="D201" s="123"/>
      <c r="E201" s="123"/>
      <c r="F201" s="123"/>
      <c r="G201" s="123"/>
      <c r="H201" s="123"/>
      <c r="I201" s="123"/>
      <c r="J201" s="123"/>
      <c r="K201" s="123"/>
      <c r="L201" s="123"/>
      <c r="M201" s="123"/>
      <c r="N201" s="123"/>
      <c r="O201" s="123"/>
      <c r="P201" s="123"/>
      <c r="Q201" s="123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Y201" s="46"/>
      <c r="AZ201" s="46"/>
      <c r="BA201" s="46"/>
      <c r="BB201" s="46"/>
      <c r="BC201" s="46"/>
      <c r="BD201" s="46"/>
      <c r="CH201"/>
      <c r="CI201"/>
      <c r="CJ201"/>
      <c r="CK201"/>
      <c r="CL201"/>
      <c r="CM201"/>
    </row>
    <row r="202" spans="1:91">
      <c r="A202" s="123"/>
      <c r="B202" s="123"/>
      <c r="C202" s="123"/>
      <c r="D202" s="123"/>
      <c r="E202" s="123"/>
      <c r="F202" s="123"/>
      <c r="G202" s="123"/>
      <c r="H202" s="123"/>
      <c r="I202" s="123"/>
      <c r="J202" s="123"/>
      <c r="K202" s="123"/>
      <c r="L202" s="123"/>
      <c r="M202" s="123"/>
      <c r="N202" s="123"/>
      <c r="O202" s="123"/>
      <c r="P202" s="123"/>
      <c r="Q202" s="123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  <c r="AL202" s="44"/>
      <c r="AM202" s="44"/>
      <c r="AN202" s="44"/>
      <c r="AO202" s="44"/>
      <c r="AP202" s="44"/>
      <c r="AY202" s="46"/>
      <c r="AZ202" s="46"/>
      <c r="BA202" s="46"/>
      <c r="BB202" s="46"/>
      <c r="BC202" s="46"/>
      <c r="BD202" s="46"/>
      <c r="CH202"/>
      <c r="CI202"/>
      <c r="CJ202"/>
      <c r="CK202"/>
      <c r="CL202"/>
      <c r="CM202"/>
    </row>
    <row r="203" spans="1:91">
      <c r="A203" s="123"/>
      <c r="B203" s="123"/>
      <c r="C203" s="123"/>
      <c r="D203" s="123"/>
      <c r="E203" s="123"/>
      <c r="F203" s="123"/>
      <c r="G203" s="123"/>
      <c r="H203" s="123"/>
      <c r="I203" s="123"/>
      <c r="J203" s="123"/>
      <c r="K203" s="123"/>
      <c r="L203" s="123"/>
      <c r="M203" s="123"/>
      <c r="N203" s="123"/>
      <c r="O203" s="123"/>
      <c r="P203" s="123"/>
      <c r="Q203" s="123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  <c r="AL203" s="44"/>
      <c r="AM203" s="44"/>
      <c r="AN203" s="44"/>
      <c r="AO203" s="44"/>
      <c r="AP203" s="44"/>
      <c r="AY203" s="46"/>
      <c r="AZ203" s="46"/>
      <c r="BA203" s="46"/>
      <c r="BB203" s="46"/>
      <c r="BC203" s="46"/>
      <c r="BD203" s="46"/>
      <c r="CH203"/>
      <c r="CI203"/>
      <c r="CJ203"/>
      <c r="CK203"/>
      <c r="CL203"/>
      <c r="CM203"/>
    </row>
    <row r="204" spans="1:91">
      <c r="A204" s="123"/>
      <c r="B204" s="123"/>
      <c r="C204" s="123"/>
      <c r="D204" s="123"/>
      <c r="E204" s="123"/>
      <c r="F204" s="123"/>
      <c r="G204" s="123"/>
      <c r="H204" s="123"/>
      <c r="I204" s="123"/>
      <c r="J204" s="123"/>
      <c r="K204" s="123"/>
      <c r="L204" s="123"/>
      <c r="M204" s="123"/>
      <c r="N204" s="123"/>
      <c r="O204" s="123"/>
      <c r="P204" s="123"/>
      <c r="Q204" s="123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  <c r="AL204" s="44"/>
      <c r="AM204" s="44"/>
      <c r="AN204" s="44"/>
      <c r="AO204" s="44"/>
      <c r="AP204" s="44"/>
      <c r="AY204" s="46"/>
      <c r="AZ204" s="46"/>
      <c r="BA204" s="46"/>
      <c r="BB204" s="46"/>
      <c r="BC204" s="46"/>
      <c r="BD204" s="46"/>
      <c r="CH204"/>
      <c r="CI204"/>
      <c r="CJ204"/>
      <c r="CK204"/>
      <c r="CL204"/>
      <c r="CM204"/>
    </row>
    <row r="205" spans="1:91">
      <c r="A205" s="123"/>
      <c r="B205" s="123"/>
      <c r="C205" s="123"/>
      <c r="D205" s="123"/>
      <c r="E205" s="123"/>
      <c r="F205" s="123"/>
      <c r="G205" s="123"/>
      <c r="H205" s="123"/>
      <c r="I205" s="123"/>
      <c r="J205" s="123"/>
      <c r="K205" s="123"/>
      <c r="L205" s="123"/>
      <c r="M205" s="123"/>
      <c r="N205" s="123"/>
      <c r="O205" s="123"/>
      <c r="P205" s="123"/>
      <c r="Q205" s="123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  <c r="AL205" s="44"/>
      <c r="AM205" s="44"/>
      <c r="AN205" s="44"/>
      <c r="AO205" s="44"/>
      <c r="AP205" s="44"/>
      <c r="AY205" s="46"/>
      <c r="AZ205" s="46"/>
      <c r="BA205" s="46"/>
      <c r="BB205" s="46"/>
      <c r="BC205" s="46"/>
      <c r="BD205" s="46"/>
      <c r="CH205"/>
      <c r="CI205"/>
      <c r="CJ205"/>
      <c r="CK205"/>
      <c r="CL205"/>
      <c r="CM205"/>
    </row>
    <row r="206" spans="1:91">
      <c r="A206" s="123"/>
      <c r="B206" s="123"/>
      <c r="C206" s="123"/>
      <c r="D206" s="123"/>
      <c r="E206" s="123"/>
      <c r="F206" s="123"/>
      <c r="G206" s="123"/>
      <c r="H206" s="123"/>
      <c r="I206" s="123"/>
      <c r="J206" s="123"/>
      <c r="K206" s="123"/>
      <c r="L206" s="123"/>
      <c r="M206" s="123"/>
      <c r="N206" s="123"/>
      <c r="O206" s="123"/>
      <c r="P206" s="123"/>
      <c r="Q206" s="123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  <c r="AL206" s="44"/>
      <c r="AM206" s="44"/>
      <c r="AN206" s="44"/>
      <c r="AO206" s="44"/>
      <c r="AP206" s="44"/>
      <c r="AY206" s="46"/>
      <c r="AZ206" s="46"/>
      <c r="BA206" s="46"/>
      <c r="BB206" s="46"/>
      <c r="BC206" s="46"/>
      <c r="BD206" s="46"/>
      <c r="CH206"/>
      <c r="CI206"/>
      <c r="CJ206"/>
      <c r="CK206"/>
      <c r="CL206"/>
      <c r="CM206"/>
    </row>
    <row r="207" spans="1:91">
      <c r="A207" s="123"/>
      <c r="B207" s="123"/>
      <c r="C207" s="123"/>
      <c r="D207" s="123"/>
      <c r="E207" s="123"/>
      <c r="F207" s="123"/>
      <c r="G207" s="123"/>
      <c r="H207" s="123"/>
      <c r="I207" s="123"/>
      <c r="J207" s="123"/>
      <c r="K207" s="123"/>
      <c r="L207" s="123"/>
      <c r="M207" s="123"/>
      <c r="N207" s="123"/>
      <c r="O207" s="123"/>
      <c r="P207" s="123"/>
      <c r="Q207" s="123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  <c r="AL207" s="44"/>
      <c r="AM207" s="44"/>
      <c r="AN207" s="44"/>
      <c r="AO207" s="44"/>
      <c r="AP207" s="44"/>
      <c r="AY207" s="46"/>
      <c r="AZ207" s="46"/>
      <c r="BA207" s="46"/>
      <c r="BB207" s="46"/>
      <c r="BC207" s="46"/>
      <c r="BD207" s="46"/>
      <c r="CH207"/>
      <c r="CI207"/>
      <c r="CJ207"/>
      <c r="CK207"/>
      <c r="CL207"/>
      <c r="CM207"/>
    </row>
    <row r="208" spans="1:91">
      <c r="A208" s="123"/>
      <c r="B208" s="123"/>
      <c r="C208" s="123"/>
      <c r="D208" s="123"/>
      <c r="E208" s="123"/>
      <c r="F208" s="123"/>
      <c r="G208" s="123"/>
      <c r="H208" s="123"/>
      <c r="I208" s="123"/>
      <c r="J208" s="123"/>
      <c r="K208" s="123"/>
      <c r="L208" s="123"/>
      <c r="M208" s="123"/>
      <c r="N208" s="123"/>
      <c r="O208" s="123"/>
      <c r="P208" s="123"/>
      <c r="Q208" s="123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  <c r="AL208" s="44"/>
      <c r="AM208" s="44"/>
      <c r="AN208" s="44"/>
      <c r="AO208" s="44"/>
      <c r="AP208" s="44"/>
      <c r="AY208" s="46"/>
      <c r="AZ208" s="46"/>
      <c r="BA208" s="46"/>
      <c r="BB208" s="46"/>
      <c r="BC208" s="46"/>
      <c r="BD208" s="46"/>
      <c r="CH208"/>
      <c r="CI208"/>
      <c r="CJ208"/>
      <c r="CK208"/>
      <c r="CL208"/>
      <c r="CM208"/>
    </row>
    <row r="209" spans="1:91">
      <c r="A209" s="123"/>
      <c r="B209" s="123"/>
      <c r="C209" s="123"/>
      <c r="D209" s="123"/>
      <c r="E209" s="123"/>
      <c r="F209" s="123"/>
      <c r="G209" s="123"/>
      <c r="H209" s="123"/>
      <c r="I209" s="123"/>
      <c r="J209" s="123"/>
      <c r="K209" s="123"/>
      <c r="L209" s="123"/>
      <c r="M209" s="123"/>
      <c r="N209" s="123"/>
      <c r="O209" s="123"/>
      <c r="P209" s="123"/>
      <c r="Q209" s="123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  <c r="AL209" s="44"/>
      <c r="AM209" s="44"/>
      <c r="AN209" s="44"/>
      <c r="AO209" s="44"/>
      <c r="AP209" s="44"/>
      <c r="AY209" s="46"/>
      <c r="AZ209" s="46"/>
      <c r="BA209" s="46"/>
      <c r="BB209" s="46"/>
      <c r="BC209" s="46"/>
      <c r="BD209" s="46"/>
      <c r="CH209"/>
      <c r="CI209"/>
      <c r="CJ209"/>
      <c r="CK209"/>
      <c r="CL209"/>
      <c r="CM209"/>
    </row>
    <row r="210" spans="1:91">
      <c r="A210" s="123"/>
      <c r="B210" s="123"/>
      <c r="C210" s="123"/>
      <c r="D210" s="123"/>
      <c r="E210" s="123"/>
      <c r="F210" s="123"/>
      <c r="G210" s="123"/>
      <c r="H210" s="123"/>
      <c r="I210" s="123"/>
      <c r="J210" s="123"/>
      <c r="K210" s="123"/>
      <c r="L210" s="123"/>
      <c r="M210" s="123"/>
      <c r="N210" s="123"/>
      <c r="O210" s="123"/>
      <c r="P210" s="123"/>
      <c r="Q210" s="123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Y210" s="46"/>
      <c r="AZ210" s="46"/>
      <c r="BA210" s="46"/>
      <c r="BB210" s="46"/>
      <c r="BC210" s="46"/>
      <c r="BD210" s="46"/>
      <c r="CH210"/>
      <c r="CI210"/>
      <c r="CJ210"/>
      <c r="CK210"/>
      <c r="CL210"/>
      <c r="CM210"/>
    </row>
    <row r="211" spans="1:91">
      <c r="A211" s="123"/>
      <c r="B211" s="123"/>
      <c r="C211" s="123"/>
      <c r="D211" s="123"/>
      <c r="E211" s="123"/>
      <c r="F211" s="123"/>
      <c r="G211" s="123"/>
      <c r="H211" s="123"/>
      <c r="I211" s="123"/>
      <c r="J211" s="123"/>
      <c r="K211" s="123"/>
      <c r="L211" s="123"/>
      <c r="M211" s="123"/>
      <c r="N211" s="123"/>
      <c r="O211" s="123"/>
      <c r="P211" s="123"/>
      <c r="Q211" s="123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Y211" s="46"/>
      <c r="AZ211" s="46"/>
      <c r="BA211" s="46"/>
      <c r="BB211" s="46"/>
      <c r="BC211" s="46"/>
      <c r="BD211" s="46"/>
      <c r="CH211"/>
      <c r="CI211"/>
      <c r="CJ211"/>
      <c r="CK211"/>
      <c r="CL211"/>
      <c r="CM211"/>
    </row>
    <row r="212" spans="1:91">
      <c r="A212" s="123"/>
      <c r="B212" s="123"/>
      <c r="C212" s="123"/>
      <c r="D212" s="123"/>
      <c r="E212" s="123"/>
      <c r="F212" s="123"/>
      <c r="G212" s="123"/>
      <c r="H212" s="123"/>
      <c r="I212" s="123"/>
      <c r="J212" s="123"/>
      <c r="K212" s="123"/>
      <c r="L212" s="123"/>
      <c r="M212" s="123"/>
      <c r="N212" s="123"/>
      <c r="O212" s="123"/>
      <c r="P212" s="123"/>
      <c r="Q212" s="123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  <c r="AL212" s="44"/>
      <c r="AM212" s="44"/>
      <c r="AN212" s="44"/>
      <c r="AO212" s="44"/>
      <c r="AP212" s="44"/>
      <c r="AY212" s="46"/>
      <c r="AZ212" s="46"/>
      <c r="BA212" s="46"/>
      <c r="BB212" s="46"/>
      <c r="BC212" s="46"/>
      <c r="BD212" s="46"/>
      <c r="CH212"/>
      <c r="CI212"/>
      <c r="CJ212"/>
      <c r="CK212"/>
      <c r="CL212"/>
      <c r="CM212"/>
    </row>
    <row r="213" spans="1:91">
      <c r="A213" s="123"/>
      <c r="B213" s="123"/>
      <c r="C213" s="123"/>
      <c r="D213" s="123"/>
      <c r="E213" s="123"/>
      <c r="F213" s="123"/>
      <c r="G213" s="123"/>
      <c r="H213" s="123"/>
      <c r="I213" s="123"/>
      <c r="J213" s="123"/>
      <c r="K213" s="123"/>
      <c r="L213" s="123"/>
      <c r="M213" s="123"/>
      <c r="N213" s="123"/>
      <c r="O213" s="123"/>
      <c r="P213" s="123"/>
      <c r="Q213" s="123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  <c r="AL213" s="44"/>
      <c r="AM213" s="44"/>
      <c r="AN213" s="44"/>
      <c r="AO213" s="44"/>
      <c r="AP213" s="44"/>
      <c r="AY213" s="46"/>
      <c r="AZ213" s="46"/>
      <c r="BA213" s="46"/>
      <c r="BB213" s="46"/>
      <c r="BC213" s="46"/>
      <c r="BD213" s="46"/>
      <c r="CH213"/>
      <c r="CI213"/>
      <c r="CJ213"/>
      <c r="CK213"/>
      <c r="CL213"/>
      <c r="CM213"/>
    </row>
    <row r="214" spans="1:91">
      <c r="A214" s="123"/>
      <c r="B214" s="123"/>
      <c r="C214" s="123"/>
      <c r="D214" s="123"/>
      <c r="E214" s="123"/>
      <c r="F214" s="123"/>
      <c r="G214" s="123"/>
      <c r="H214" s="123"/>
      <c r="I214" s="123"/>
      <c r="J214" s="123"/>
      <c r="K214" s="123"/>
      <c r="L214" s="123"/>
      <c r="M214" s="123"/>
      <c r="N214" s="123"/>
      <c r="O214" s="123"/>
      <c r="P214" s="123"/>
      <c r="Q214" s="123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  <c r="AL214" s="44"/>
      <c r="AM214" s="44"/>
      <c r="AN214" s="44"/>
      <c r="AO214" s="44"/>
      <c r="AP214" s="44"/>
      <c r="AY214" s="46"/>
      <c r="AZ214" s="46"/>
      <c r="BA214" s="46"/>
      <c r="BB214" s="46"/>
      <c r="BC214" s="46"/>
      <c r="BD214" s="46"/>
      <c r="CH214"/>
      <c r="CI214"/>
      <c r="CJ214"/>
      <c r="CK214"/>
      <c r="CL214"/>
      <c r="CM214"/>
    </row>
    <row r="215" spans="1:91">
      <c r="A215" s="123"/>
      <c r="B215" s="123"/>
      <c r="C215" s="123"/>
      <c r="D215" s="123"/>
      <c r="E215" s="123"/>
      <c r="F215" s="123"/>
      <c r="G215" s="123"/>
      <c r="H215" s="123"/>
      <c r="I215" s="123"/>
      <c r="J215" s="123"/>
      <c r="K215" s="123"/>
      <c r="L215" s="123"/>
      <c r="M215" s="123"/>
      <c r="N215" s="123"/>
      <c r="O215" s="123"/>
      <c r="P215" s="123"/>
      <c r="Q215" s="123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Y215" s="46"/>
      <c r="AZ215" s="46"/>
      <c r="BA215" s="46"/>
      <c r="BB215" s="46"/>
      <c r="BC215" s="46"/>
      <c r="BD215" s="46"/>
      <c r="CH215"/>
      <c r="CI215"/>
      <c r="CJ215"/>
      <c r="CK215"/>
      <c r="CL215"/>
      <c r="CM215"/>
    </row>
    <row r="216" spans="1:91">
      <c r="A216" s="123"/>
      <c r="B216" s="123"/>
      <c r="C216" s="123"/>
      <c r="D216" s="123"/>
      <c r="E216" s="123"/>
      <c r="F216" s="123"/>
      <c r="G216" s="123"/>
      <c r="H216" s="123"/>
      <c r="I216" s="123"/>
      <c r="J216" s="123"/>
      <c r="K216" s="123"/>
      <c r="L216" s="123"/>
      <c r="M216" s="123"/>
      <c r="N216" s="123"/>
      <c r="O216" s="123"/>
      <c r="P216" s="123"/>
      <c r="Q216" s="123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  <c r="AL216" s="44"/>
      <c r="AM216" s="44"/>
      <c r="AN216" s="44"/>
      <c r="AO216" s="44"/>
      <c r="AP216" s="44"/>
      <c r="AY216" s="46"/>
      <c r="AZ216" s="46"/>
      <c r="BA216" s="46"/>
      <c r="BB216" s="46"/>
      <c r="BC216" s="46"/>
      <c r="BD216" s="46"/>
      <c r="CH216"/>
      <c r="CI216"/>
      <c r="CJ216"/>
      <c r="CK216"/>
      <c r="CL216"/>
      <c r="CM216"/>
    </row>
    <row r="217" spans="1:91">
      <c r="A217" s="123"/>
      <c r="B217" s="123"/>
      <c r="C217" s="123"/>
      <c r="D217" s="123"/>
      <c r="E217" s="123"/>
      <c r="F217" s="123"/>
      <c r="G217" s="123"/>
      <c r="H217" s="123"/>
      <c r="I217" s="123"/>
      <c r="J217" s="123"/>
      <c r="K217" s="123"/>
      <c r="L217" s="123"/>
      <c r="M217" s="123"/>
      <c r="N217" s="123"/>
      <c r="O217" s="123"/>
      <c r="P217" s="123"/>
      <c r="Q217" s="123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  <c r="AL217" s="44"/>
      <c r="AM217" s="44"/>
      <c r="AN217" s="44"/>
      <c r="AO217" s="44"/>
      <c r="AP217" s="44"/>
      <c r="AY217" s="46"/>
      <c r="AZ217" s="46"/>
      <c r="BA217" s="46"/>
      <c r="BB217" s="46"/>
      <c r="BC217" s="46"/>
      <c r="BD217" s="46"/>
      <c r="CH217"/>
      <c r="CI217"/>
      <c r="CJ217"/>
      <c r="CK217"/>
      <c r="CL217"/>
      <c r="CM217"/>
    </row>
    <row r="218" spans="1:91">
      <c r="A218" s="123"/>
      <c r="B218" s="123"/>
      <c r="C218" s="123"/>
      <c r="D218" s="123"/>
      <c r="E218" s="123"/>
      <c r="F218" s="123"/>
      <c r="G218" s="123"/>
      <c r="H218" s="123"/>
      <c r="I218" s="123"/>
      <c r="J218" s="123"/>
      <c r="K218" s="123"/>
      <c r="L218" s="123"/>
      <c r="M218" s="123"/>
      <c r="N218" s="123"/>
      <c r="O218" s="123"/>
      <c r="P218" s="123"/>
      <c r="Q218" s="123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  <c r="AL218" s="44"/>
      <c r="AM218" s="44"/>
      <c r="AN218" s="44"/>
      <c r="AO218" s="44"/>
      <c r="AP218" s="44"/>
      <c r="AY218" s="46"/>
      <c r="AZ218" s="46"/>
      <c r="BA218" s="46"/>
      <c r="BB218" s="46"/>
      <c r="BC218" s="46"/>
      <c r="BD218" s="46"/>
      <c r="CH218"/>
      <c r="CI218"/>
      <c r="CJ218"/>
      <c r="CK218"/>
      <c r="CL218"/>
      <c r="CM218"/>
    </row>
    <row r="219" spans="1:91">
      <c r="A219" s="123"/>
      <c r="B219" s="123"/>
      <c r="C219" s="123"/>
      <c r="D219" s="123"/>
      <c r="E219" s="123"/>
      <c r="F219" s="123"/>
      <c r="G219" s="123"/>
      <c r="H219" s="123"/>
      <c r="I219" s="123"/>
      <c r="J219" s="123"/>
      <c r="K219" s="123"/>
      <c r="L219" s="123"/>
      <c r="M219" s="123"/>
      <c r="N219" s="123"/>
      <c r="O219" s="123"/>
      <c r="P219" s="123"/>
      <c r="Q219" s="123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Y219" s="46"/>
      <c r="AZ219" s="46"/>
      <c r="BA219" s="46"/>
      <c r="BB219" s="46"/>
      <c r="BC219" s="46"/>
      <c r="BD219" s="46"/>
      <c r="CH219"/>
      <c r="CI219"/>
      <c r="CJ219"/>
      <c r="CK219"/>
      <c r="CL219"/>
      <c r="CM219"/>
    </row>
    <row r="220" spans="1:91">
      <c r="A220" s="123"/>
      <c r="B220" s="123"/>
      <c r="C220" s="123"/>
      <c r="D220" s="123"/>
      <c r="E220" s="123"/>
      <c r="F220" s="123"/>
      <c r="G220" s="123"/>
      <c r="H220" s="123"/>
      <c r="I220" s="123"/>
      <c r="J220" s="123"/>
      <c r="K220" s="123"/>
      <c r="L220" s="123"/>
      <c r="M220" s="123"/>
      <c r="N220" s="123"/>
      <c r="O220" s="123"/>
      <c r="P220" s="123"/>
      <c r="Q220" s="123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  <c r="AL220" s="44"/>
      <c r="AM220" s="44"/>
      <c r="AN220" s="44"/>
      <c r="AO220" s="44"/>
      <c r="AP220" s="44"/>
      <c r="AY220" s="46"/>
      <c r="AZ220" s="46"/>
      <c r="BA220" s="46"/>
      <c r="BB220" s="46"/>
      <c r="BC220" s="46"/>
      <c r="BD220" s="46"/>
      <c r="CH220"/>
      <c r="CI220"/>
      <c r="CJ220"/>
      <c r="CK220"/>
      <c r="CL220"/>
      <c r="CM220"/>
    </row>
    <row r="221" spans="1:91">
      <c r="A221" s="123"/>
      <c r="B221" s="123"/>
      <c r="C221" s="123"/>
      <c r="D221" s="123"/>
      <c r="E221" s="123"/>
      <c r="F221" s="123"/>
      <c r="G221" s="123"/>
      <c r="H221" s="123"/>
      <c r="I221" s="123"/>
      <c r="J221" s="123"/>
      <c r="K221" s="123"/>
      <c r="L221" s="123"/>
      <c r="M221" s="123"/>
      <c r="N221" s="123"/>
      <c r="O221" s="123"/>
      <c r="P221" s="123"/>
      <c r="Q221" s="123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  <c r="AL221" s="44"/>
      <c r="AM221" s="44"/>
      <c r="AN221" s="44"/>
      <c r="AO221" s="44"/>
      <c r="AP221" s="44"/>
      <c r="AY221" s="46"/>
      <c r="AZ221" s="46"/>
      <c r="BA221" s="46"/>
      <c r="BB221" s="46"/>
      <c r="BC221" s="46"/>
      <c r="BD221" s="46"/>
      <c r="CH221"/>
      <c r="CI221"/>
      <c r="CJ221"/>
      <c r="CK221"/>
      <c r="CL221"/>
      <c r="CM221"/>
    </row>
    <row r="222" spans="1:91">
      <c r="A222" s="123"/>
      <c r="B222" s="123"/>
      <c r="C222" s="123"/>
      <c r="D222" s="123"/>
      <c r="E222" s="123"/>
      <c r="F222" s="123"/>
      <c r="G222" s="123"/>
      <c r="H222" s="123"/>
      <c r="I222" s="123"/>
      <c r="J222" s="123"/>
      <c r="K222" s="123"/>
      <c r="L222" s="123"/>
      <c r="M222" s="123"/>
      <c r="N222" s="123"/>
      <c r="O222" s="123"/>
      <c r="P222" s="123"/>
      <c r="Q222" s="123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  <c r="AL222" s="44"/>
      <c r="AM222" s="44"/>
      <c r="AN222" s="44"/>
      <c r="AO222" s="44"/>
      <c r="AP222" s="44"/>
      <c r="AY222" s="46"/>
      <c r="AZ222" s="46"/>
      <c r="BA222" s="46"/>
      <c r="BB222" s="46"/>
      <c r="BC222" s="46"/>
      <c r="BD222" s="46"/>
      <c r="CH222"/>
      <c r="CI222"/>
      <c r="CJ222"/>
      <c r="CK222"/>
      <c r="CL222"/>
      <c r="CM222"/>
    </row>
    <row r="223" spans="1:91">
      <c r="A223" s="123"/>
      <c r="B223" s="123"/>
      <c r="C223" s="123"/>
      <c r="D223" s="123"/>
      <c r="E223" s="123"/>
      <c r="F223" s="123"/>
      <c r="G223" s="123"/>
      <c r="H223" s="123"/>
      <c r="I223" s="123"/>
      <c r="J223" s="123"/>
      <c r="K223" s="123"/>
      <c r="L223" s="123"/>
      <c r="M223" s="123"/>
      <c r="N223" s="123"/>
      <c r="O223" s="123"/>
      <c r="P223" s="123"/>
      <c r="Q223" s="123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  <c r="AL223" s="44"/>
      <c r="AM223" s="44"/>
      <c r="AN223" s="44"/>
      <c r="AO223" s="44"/>
      <c r="AP223" s="44"/>
      <c r="AY223" s="46"/>
      <c r="AZ223" s="46"/>
      <c r="BA223" s="46"/>
      <c r="BB223" s="46"/>
      <c r="BC223" s="46"/>
      <c r="BD223" s="46"/>
      <c r="CH223"/>
      <c r="CI223"/>
      <c r="CJ223"/>
      <c r="CK223"/>
      <c r="CL223"/>
      <c r="CM223"/>
    </row>
    <row r="224" spans="1:91">
      <c r="A224" s="123"/>
      <c r="B224" s="123"/>
      <c r="C224" s="123"/>
      <c r="D224" s="123"/>
      <c r="E224" s="123"/>
      <c r="F224" s="123"/>
      <c r="G224" s="123"/>
      <c r="H224" s="123"/>
      <c r="I224" s="123"/>
      <c r="J224" s="123"/>
      <c r="K224" s="123"/>
      <c r="L224" s="123"/>
      <c r="M224" s="123"/>
      <c r="N224" s="123"/>
      <c r="O224" s="123"/>
      <c r="P224" s="123"/>
      <c r="Q224" s="123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Y224" s="46"/>
      <c r="AZ224" s="46"/>
      <c r="BA224" s="46"/>
      <c r="BB224" s="46"/>
      <c r="BC224" s="46"/>
      <c r="BD224" s="46"/>
      <c r="CH224"/>
      <c r="CI224"/>
      <c r="CJ224"/>
      <c r="CK224"/>
      <c r="CL224"/>
      <c r="CM224"/>
    </row>
    <row r="225" spans="1:91">
      <c r="A225" s="123"/>
      <c r="B225" s="123"/>
      <c r="C225" s="123"/>
      <c r="D225" s="123"/>
      <c r="E225" s="123"/>
      <c r="F225" s="123"/>
      <c r="G225" s="123"/>
      <c r="H225" s="123"/>
      <c r="I225" s="123"/>
      <c r="J225" s="123"/>
      <c r="K225" s="123"/>
      <c r="L225" s="123"/>
      <c r="M225" s="123"/>
      <c r="N225" s="123"/>
      <c r="O225" s="123"/>
      <c r="P225" s="123"/>
      <c r="Q225" s="123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  <c r="AL225" s="44"/>
      <c r="AM225" s="44"/>
      <c r="AN225" s="44"/>
      <c r="AO225" s="44"/>
      <c r="AP225" s="44"/>
      <c r="AY225" s="46"/>
      <c r="AZ225" s="46"/>
      <c r="BA225" s="46"/>
      <c r="BB225" s="46"/>
      <c r="BC225" s="46"/>
      <c r="BD225" s="46"/>
      <c r="CH225"/>
      <c r="CI225"/>
      <c r="CJ225"/>
      <c r="CK225"/>
      <c r="CL225"/>
      <c r="CM225"/>
    </row>
    <row r="226" spans="1:91">
      <c r="A226" s="123"/>
      <c r="B226" s="123"/>
      <c r="C226" s="123"/>
      <c r="D226" s="123"/>
      <c r="E226" s="123"/>
      <c r="F226" s="123"/>
      <c r="G226" s="123"/>
      <c r="H226" s="123"/>
      <c r="I226" s="123"/>
      <c r="J226" s="123"/>
      <c r="K226" s="123"/>
      <c r="L226" s="123"/>
      <c r="M226" s="123"/>
      <c r="N226" s="123"/>
      <c r="O226" s="123"/>
      <c r="P226" s="123"/>
      <c r="Q226" s="123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  <c r="AL226" s="44"/>
      <c r="AM226" s="44"/>
      <c r="AN226" s="44"/>
      <c r="AO226" s="44"/>
      <c r="AP226" s="44"/>
      <c r="AY226" s="46"/>
      <c r="AZ226" s="46"/>
      <c r="BA226" s="46"/>
      <c r="BB226" s="46"/>
      <c r="BC226" s="46"/>
      <c r="BD226" s="46"/>
      <c r="CH226"/>
      <c r="CI226"/>
      <c r="CJ226"/>
      <c r="CK226"/>
      <c r="CL226"/>
      <c r="CM226"/>
    </row>
    <row r="227" spans="1:91">
      <c r="A227" s="123"/>
      <c r="B227" s="123"/>
      <c r="C227" s="123"/>
      <c r="D227" s="123"/>
      <c r="E227" s="123"/>
      <c r="F227" s="123"/>
      <c r="G227" s="123"/>
      <c r="H227" s="123"/>
      <c r="I227" s="123"/>
      <c r="J227" s="123"/>
      <c r="K227" s="123"/>
      <c r="L227" s="123"/>
      <c r="M227" s="123"/>
      <c r="N227" s="123"/>
      <c r="O227" s="123"/>
      <c r="P227" s="123"/>
      <c r="Q227" s="123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  <c r="AL227" s="44"/>
      <c r="AM227" s="44"/>
      <c r="AN227" s="44"/>
      <c r="AO227" s="44"/>
      <c r="AP227" s="44"/>
      <c r="AY227" s="46"/>
      <c r="AZ227" s="46"/>
      <c r="BA227" s="46"/>
      <c r="BB227" s="46"/>
      <c r="BC227" s="46"/>
      <c r="BD227" s="46"/>
      <c r="CH227"/>
      <c r="CI227"/>
      <c r="CJ227"/>
      <c r="CK227"/>
      <c r="CL227"/>
      <c r="CM227"/>
    </row>
    <row r="228" spans="1:91">
      <c r="A228" s="123"/>
      <c r="B228" s="123"/>
      <c r="C228" s="123"/>
      <c r="D228" s="123"/>
      <c r="E228" s="123"/>
      <c r="F228" s="123"/>
      <c r="G228" s="123"/>
      <c r="H228" s="123"/>
      <c r="I228" s="123"/>
      <c r="J228" s="123"/>
      <c r="K228" s="123"/>
      <c r="L228" s="123"/>
      <c r="M228" s="123"/>
      <c r="N228" s="123"/>
      <c r="O228" s="123"/>
      <c r="P228" s="123"/>
      <c r="Q228" s="123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Y228" s="46"/>
      <c r="AZ228" s="46"/>
      <c r="BA228" s="46"/>
      <c r="BB228" s="46"/>
      <c r="BC228" s="46"/>
      <c r="BD228" s="46"/>
      <c r="CH228"/>
      <c r="CI228"/>
      <c r="CJ228"/>
      <c r="CK228"/>
      <c r="CL228"/>
      <c r="CM228"/>
    </row>
    <row r="229" spans="1:91">
      <c r="A229" s="123"/>
      <c r="B229" s="123"/>
      <c r="C229" s="123"/>
      <c r="D229" s="123"/>
      <c r="E229" s="123"/>
      <c r="F229" s="123"/>
      <c r="G229" s="123"/>
      <c r="H229" s="123"/>
      <c r="I229" s="123"/>
      <c r="J229" s="123"/>
      <c r="K229" s="123"/>
      <c r="L229" s="123"/>
      <c r="M229" s="123"/>
      <c r="N229" s="123"/>
      <c r="O229" s="123"/>
      <c r="P229" s="123"/>
      <c r="Q229" s="123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  <c r="AL229" s="44"/>
      <c r="AM229" s="44"/>
      <c r="AN229" s="44"/>
      <c r="AO229" s="44"/>
      <c r="AP229" s="44"/>
      <c r="AY229" s="46"/>
      <c r="AZ229" s="46"/>
      <c r="BA229" s="46"/>
      <c r="BB229" s="46"/>
      <c r="BC229" s="46"/>
      <c r="BD229" s="46"/>
      <c r="CH229"/>
      <c r="CI229"/>
      <c r="CJ229"/>
      <c r="CK229"/>
      <c r="CL229"/>
      <c r="CM229"/>
    </row>
    <row r="230" spans="1:91">
      <c r="A230" s="123"/>
      <c r="B230" s="123"/>
      <c r="C230" s="123"/>
      <c r="D230" s="123"/>
      <c r="E230" s="123"/>
      <c r="F230" s="123"/>
      <c r="G230" s="123"/>
      <c r="H230" s="123"/>
      <c r="I230" s="123"/>
      <c r="J230" s="123"/>
      <c r="K230" s="123"/>
      <c r="L230" s="123"/>
      <c r="M230" s="123"/>
      <c r="N230" s="123"/>
      <c r="O230" s="123"/>
      <c r="P230" s="123"/>
      <c r="Q230" s="123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  <c r="AL230" s="44"/>
      <c r="AM230" s="44"/>
      <c r="AN230" s="44"/>
      <c r="AO230" s="44"/>
      <c r="AP230" s="44"/>
      <c r="AY230" s="46"/>
      <c r="AZ230" s="46"/>
      <c r="BA230" s="46"/>
      <c r="BB230" s="46"/>
      <c r="BC230" s="46"/>
      <c r="BD230" s="46"/>
      <c r="CH230"/>
      <c r="CI230"/>
      <c r="CJ230"/>
      <c r="CK230"/>
      <c r="CL230"/>
      <c r="CM230"/>
    </row>
    <row r="231" spans="1:91">
      <c r="A231" s="123"/>
      <c r="B231" s="123"/>
      <c r="C231" s="123"/>
      <c r="D231" s="123"/>
      <c r="E231" s="123"/>
      <c r="F231" s="123"/>
      <c r="G231" s="123"/>
      <c r="H231" s="123"/>
      <c r="I231" s="123"/>
      <c r="J231" s="123"/>
      <c r="K231" s="123"/>
      <c r="L231" s="123"/>
      <c r="M231" s="123"/>
      <c r="N231" s="123"/>
      <c r="O231" s="123"/>
      <c r="P231" s="123"/>
      <c r="Q231" s="123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  <c r="AL231" s="44"/>
      <c r="AM231" s="44"/>
      <c r="AN231" s="44"/>
      <c r="AO231" s="44"/>
      <c r="AP231" s="44"/>
      <c r="AY231" s="46"/>
      <c r="AZ231" s="46"/>
      <c r="BA231" s="46"/>
      <c r="BB231" s="46"/>
      <c r="BC231" s="46"/>
      <c r="BD231" s="46"/>
      <c r="CH231"/>
      <c r="CI231"/>
      <c r="CJ231"/>
      <c r="CK231"/>
      <c r="CL231"/>
      <c r="CM231"/>
    </row>
    <row r="232" spans="1:91">
      <c r="A232" s="123"/>
      <c r="B232" s="123"/>
      <c r="C232" s="123"/>
      <c r="D232" s="123"/>
      <c r="E232" s="123"/>
      <c r="F232" s="123"/>
      <c r="G232" s="123"/>
      <c r="H232" s="123"/>
      <c r="I232" s="123"/>
      <c r="J232" s="123"/>
      <c r="K232" s="123"/>
      <c r="L232" s="123"/>
      <c r="M232" s="123"/>
      <c r="N232" s="123"/>
      <c r="O232" s="123"/>
      <c r="P232" s="123"/>
      <c r="Q232" s="123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  <c r="AL232" s="44"/>
      <c r="AM232" s="44"/>
      <c r="AN232" s="44"/>
      <c r="AO232" s="44"/>
      <c r="AP232" s="44"/>
      <c r="AY232" s="46"/>
      <c r="AZ232" s="46"/>
      <c r="BA232" s="46"/>
      <c r="BB232" s="46"/>
      <c r="BC232" s="46"/>
      <c r="BD232" s="46"/>
      <c r="CH232"/>
      <c r="CI232"/>
      <c r="CJ232"/>
      <c r="CK232"/>
      <c r="CL232"/>
      <c r="CM232"/>
    </row>
    <row r="233" spans="1:91">
      <c r="A233" s="123"/>
      <c r="B233" s="123"/>
      <c r="C233" s="123"/>
      <c r="D233" s="123"/>
      <c r="E233" s="123"/>
      <c r="F233" s="123"/>
      <c r="G233" s="123"/>
      <c r="H233" s="123"/>
      <c r="I233" s="123"/>
      <c r="J233" s="123"/>
      <c r="K233" s="123"/>
      <c r="L233" s="123"/>
      <c r="M233" s="123"/>
      <c r="N233" s="123"/>
      <c r="O233" s="123"/>
      <c r="P233" s="123"/>
      <c r="Q233" s="123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  <c r="AL233" s="44"/>
      <c r="AM233" s="44"/>
      <c r="AN233" s="44"/>
      <c r="AO233" s="44"/>
      <c r="AP233" s="44"/>
      <c r="AY233" s="46"/>
      <c r="AZ233" s="46"/>
      <c r="BA233" s="46"/>
      <c r="BB233" s="46"/>
      <c r="BC233" s="46"/>
      <c r="BD233" s="46"/>
      <c r="CH233"/>
      <c r="CI233"/>
      <c r="CJ233"/>
      <c r="CK233"/>
      <c r="CL233"/>
      <c r="CM233"/>
    </row>
    <row r="234" spans="1:91">
      <c r="A234" s="123"/>
      <c r="B234" s="123"/>
      <c r="C234" s="123"/>
      <c r="D234" s="123"/>
      <c r="E234" s="123"/>
      <c r="F234" s="123"/>
      <c r="G234" s="123"/>
      <c r="H234" s="123"/>
      <c r="I234" s="123"/>
      <c r="J234" s="123"/>
      <c r="K234" s="123"/>
      <c r="L234" s="123"/>
      <c r="M234" s="123"/>
      <c r="N234" s="123"/>
      <c r="O234" s="123"/>
      <c r="P234" s="123"/>
      <c r="Q234" s="123"/>
      <c r="R234" s="44"/>
      <c r="S234" s="44"/>
      <c r="T234" s="44"/>
      <c r="U234" s="44"/>
      <c r="V234" s="44"/>
      <c r="W234" s="44"/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  <c r="AL234" s="44"/>
      <c r="AM234" s="44"/>
      <c r="AN234" s="44"/>
      <c r="AO234" s="44"/>
      <c r="AP234" s="44"/>
      <c r="AY234" s="46"/>
      <c r="AZ234" s="46"/>
      <c r="BA234" s="46"/>
      <c r="BB234" s="46"/>
      <c r="BC234" s="46"/>
      <c r="BD234" s="46"/>
      <c r="CH234"/>
      <c r="CI234"/>
      <c r="CJ234"/>
      <c r="CK234"/>
      <c r="CL234"/>
      <c r="CM234"/>
    </row>
    <row r="235" spans="1:91">
      <c r="A235" s="123"/>
      <c r="B235" s="123"/>
      <c r="C235" s="123"/>
      <c r="D235" s="123"/>
      <c r="E235" s="123"/>
      <c r="F235" s="123"/>
      <c r="G235" s="123"/>
      <c r="H235" s="123"/>
      <c r="I235" s="123"/>
      <c r="J235" s="123"/>
      <c r="K235" s="123"/>
      <c r="L235" s="123"/>
      <c r="M235" s="123"/>
      <c r="N235" s="123"/>
      <c r="O235" s="123"/>
      <c r="P235" s="123"/>
      <c r="Q235" s="123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  <c r="AL235" s="44"/>
      <c r="AM235" s="44"/>
      <c r="AN235" s="44"/>
      <c r="AO235" s="44"/>
      <c r="AP235" s="44"/>
      <c r="AY235" s="46"/>
      <c r="AZ235" s="46"/>
      <c r="BA235" s="46"/>
      <c r="BB235" s="46"/>
      <c r="BC235" s="46"/>
      <c r="BD235" s="46"/>
      <c r="CH235"/>
      <c r="CI235"/>
      <c r="CJ235"/>
      <c r="CK235"/>
      <c r="CL235"/>
      <c r="CM235"/>
    </row>
    <row r="236" spans="1:91">
      <c r="A236" s="44"/>
      <c r="B236" s="44"/>
      <c r="C236" s="44"/>
      <c r="D236" s="126"/>
      <c r="E236" s="126"/>
      <c r="F236" s="126"/>
      <c r="G236" s="126"/>
      <c r="H236" s="126"/>
      <c r="I236" s="126"/>
      <c r="J236" s="126"/>
      <c r="K236" s="126"/>
      <c r="L236" s="126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Y236" s="46"/>
      <c r="AZ236" s="46"/>
      <c r="BA236" s="46"/>
      <c r="BB236" s="46"/>
      <c r="BC236" s="46"/>
      <c r="BD236" s="46"/>
      <c r="CH236"/>
      <c r="CI236"/>
      <c r="CJ236"/>
      <c r="CK236"/>
      <c r="CL236"/>
      <c r="CM236"/>
    </row>
    <row r="237" spans="1:91">
      <c r="A237" s="44"/>
      <c r="B237" s="44"/>
      <c r="C237" s="44"/>
      <c r="D237" s="126"/>
      <c r="E237" s="126"/>
      <c r="F237" s="126"/>
      <c r="G237" s="126"/>
      <c r="H237" s="126"/>
      <c r="I237" s="126"/>
      <c r="J237" s="126"/>
      <c r="K237" s="126"/>
      <c r="L237" s="126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  <c r="AL237" s="44"/>
      <c r="AM237" s="44"/>
      <c r="AN237" s="44"/>
      <c r="AO237" s="44"/>
      <c r="AP237" s="44"/>
      <c r="AY237" s="46"/>
      <c r="AZ237" s="46"/>
      <c r="BA237" s="46"/>
      <c r="BB237" s="46"/>
      <c r="BC237" s="46"/>
      <c r="BD237" s="46"/>
      <c r="CH237"/>
      <c r="CI237"/>
      <c r="CJ237"/>
      <c r="CK237"/>
      <c r="CL237"/>
      <c r="CM237"/>
    </row>
    <row r="238" spans="1:91">
      <c r="A238" s="44"/>
      <c r="B238" s="44"/>
      <c r="C238" s="44"/>
      <c r="D238" s="126"/>
      <c r="E238" s="126"/>
      <c r="F238" s="126"/>
      <c r="G238" s="126"/>
      <c r="H238" s="126"/>
      <c r="I238" s="126"/>
      <c r="J238" s="126"/>
      <c r="K238" s="126"/>
      <c r="L238" s="126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  <c r="AL238" s="44"/>
      <c r="AM238" s="44"/>
      <c r="AN238" s="44"/>
      <c r="AO238" s="44"/>
      <c r="AP238" s="44"/>
      <c r="AY238" s="46"/>
      <c r="AZ238" s="46"/>
      <c r="BA238" s="46"/>
      <c r="BB238" s="46"/>
      <c r="BC238" s="46"/>
      <c r="BD238" s="46"/>
      <c r="CH238"/>
      <c r="CI238"/>
      <c r="CJ238"/>
      <c r="CK238"/>
      <c r="CL238"/>
      <c r="CM238"/>
    </row>
    <row r="239" spans="1:91">
      <c r="A239" s="44"/>
      <c r="B239" s="44"/>
      <c r="C239" s="44"/>
      <c r="D239" s="126"/>
      <c r="E239" s="126"/>
      <c r="F239" s="126"/>
      <c r="G239" s="126"/>
      <c r="H239" s="126"/>
      <c r="I239" s="126"/>
      <c r="J239" s="126"/>
      <c r="K239" s="126"/>
      <c r="L239" s="126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  <c r="AL239" s="44"/>
      <c r="AM239" s="44"/>
      <c r="AN239" s="44"/>
      <c r="AO239" s="44"/>
      <c r="AP239" s="44"/>
      <c r="AY239" s="46"/>
      <c r="AZ239" s="46"/>
      <c r="BA239" s="46"/>
      <c r="BB239" s="46"/>
      <c r="BC239" s="46"/>
      <c r="BD239" s="46"/>
      <c r="CH239"/>
      <c r="CI239"/>
      <c r="CJ239"/>
      <c r="CK239"/>
      <c r="CL239"/>
      <c r="CM239"/>
    </row>
    <row r="240" spans="1:91">
      <c r="A240" s="44"/>
      <c r="B240" s="44"/>
      <c r="C240" s="44"/>
      <c r="D240" s="126"/>
      <c r="E240" s="126"/>
      <c r="F240" s="126"/>
      <c r="G240" s="126"/>
      <c r="H240" s="126"/>
      <c r="I240" s="126"/>
      <c r="J240" s="126"/>
      <c r="K240" s="126"/>
      <c r="L240" s="126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  <c r="AL240" s="44"/>
      <c r="AM240" s="44"/>
      <c r="AN240" s="44"/>
      <c r="AO240" s="44"/>
      <c r="AP240" s="44"/>
      <c r="AY240" s="46"/>
      <c r="AZ240" s="46"/>
      <c r="BA240" s="46"/>
      <c r="BB240" s="46"/>
      <c r="BC240" s="46"/>
      <c r="BD240" s="46"/>
      <c r="CH240"/>
      <c r="CI240"/>
      <c r="CJ240"/>
      <c r="CK240"/>
      <c r="CL240"/>
      <c r="CM240"/>
    </row>
    <row r="241" spans="1:91">
      <c r="A241" s="44"/>
      <c r="B241" s="44"/>
      <c r="C241" s="44"/>
      <c r="D241" s="126"/>
      <c r="E241" s="126"/>
      <c r="F241" s="126"/>
      <c r="G241" s="126"/>
      <c r="H241" s="126"/>
      <c r="I241" s="126"/>
      <c r="J241" s="126"/>
      <c r="K241" s="126"/>
      <c r="L241" s="126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Y241" s="46"/>
      <c r="AZ241" s="46"/>
      <c r="BA241" s="46"/>
      <c r="BB241" s="46"/>
      <c r="BC241" s="46"/>
      <c r="BD241" s="46"/>
      <c r="CH241"/>
      <c r="CI241"/>
      <c r="CJ241"/>
      <c r="CK241"/>
      <c r="CL241"/>
      <c r="CM241"/>
    </row>
    <row r="242" spans="1:91">
      <c r="A242" s="44"/>
      <c r="B242" s="44"/>
      <c r="C242" s="44"/>
      <c r="D242" s="126"/>
      <c r="E242" s="126"/>
      <c r="F242" s="126"/>
      <c r="G242" s="126"/>
      <c r="H242" s="126"/>
      <c r="I242" s="126"/>
      <c r="J242" s="126"/>
      <c r="K242" s="126"/>
      <c r="L242" s="126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  <c r="AM242" s="44"/>
      <c r="AN242" s="44"/>
      <c r="AO242" s="44"/>
      <c r="AP242" s="44"/>
      <c r="AY242" s="46"/>
      <c r="AZ242" s="46"/>
      <c r="BA242" s="46"/>
      <c r="BB242" s="46"/>
      <c r="BC242" s="46"/>
      <c r="BD242" s="46"/>
      <c r="CH242"/>
      <c r="CI242"/>
      <c r="CJ242"/>
      <c r="CK242"/>
      <c r="CL242"/>
      <c r="CM242"/>
    </row>
    <row r="243" spans="1:91">
      <c r="A243" s="44"/>
      <c r="B243" s="44"/>
      <c r="C243" s="44"/>
      <c r="D243" s="126"/>
      <c r="E243" s="126"/>
      <c r="F243" s="126"/>
      <c r="G243" s="126"/>
      <c r="H243" s="126"/>
      <c r="I243" s="126"/>
      <c r="J243" s="126"/>
      <c r="K243" s="126"/>
      <c r="L243" s="126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  <c r="AM243" s="44"/>
      <c r="AN243" s="44"/>
      <c r="AO243" s="44"/>
      <c r="AP243" s="44"/>
      <c r="AY243" s="46"/>
      <c r="AZ243" s="46"/>
      <c r="BA243" s="46"/>
      <c r="BB243" s="46"/>
      <c r="BC243" s="46"/>
      <c r="BD243" s="46"/>
      <c r="CH243"/>
      <c r="CI243"/>
      <c r="CJ243"/>
      <c r="CK243"/>
      <c r="CL243"/>
      <c r="CM243"/>
    </row>
    <row r="244" spans="1:91">
      <c r="A244" s="44"/>
      <c r="B244" s="44"/>
      <c r="C244" s="44"/>
      <c r="D244" s="126"/>
      <c r="E244" s="126"/>
      <c r="F244" s="126"/>
      <c r="G244" s="126"/>
      <c r="H244" s="126"/>
      <c r="I244" s="126"/>
      <c r="J244" s="126"/>
      <c r="K244" s="126"/>
      <c r="L244" s="126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  <c r="AL244" s="44"/>
      <c r="AM244" s="44"/>
      <c r="AN244" s="44"/>
      <c r="AO244" s="44"/>
      <c r="AP244" s="44"/>
      <c r="AY244" s="46"/>
      <c r="AZ244" s="46"/>
      <c r="BA244" s="46"/>
      <c r="BB244" s="46"/>
      <c r="BC244" s="46"/>
      <c r="BD244" s="46"/>
      <c r="CH244"/>
      <c r="CI244"/>
      <c r="CJ244"/>
      <c r="CK244"/>
      <c r="CL244"/>
      <c r="CM244"/>
    </row>
    <row r="245" spans="1:91">
      <c r="A245" s="44"/>
      <c r="B245" s="44"/>
      <c r="C245" s="44"/>
      <c r="D245" s="126"/>
      <c r="E245" s="126"/>
      <c r="F245" s="126"/>
      <c r="G245" s="126"/>
      <c r="H245" s="126"/>
      <c r="I245" s="126"/>
      <c r="J245" s="126"/>
      <c r="K245" s="126"/>
      <c r="L245" s="126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Y245" s="46"/>
      <c r="AZ245" s="46"/>
      <c r="BA245" s="46"/>
      <c r="BB245" s="46"/>
      <c r="BC245" s="46"/>
      <c r="BD245" s="46"/>
      <c r="CH245"/>
      <c r="CI245"/>
      <c r="CJ245"/>
      <c r="CK245"/>
      <c r="CL245"/>
      <c r="CM245"/>
    </row>
    <row r="246" spans="1:91">
      <c r="A246" s="44"/>
      <c r="B246" s="44"/>
      <c r="C246" s="44"/>
      <c r="D246" s="126"/>
      <c r="E246" s="126"/>
      <c r="F246" s="126"/>
      <c r="G246" s="126"/>
      <c r="H246" s="126"/>
      <c r="I246" s="126"/>
      <c r="J246" s="126"/>
      <c r="K246" s="126"/>
      <c r="L246" s="126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  <c r="AL246" s="44"/>
      <c r="AM246" s="44"/>
      <c r="AN246" s="44"/>
      <c r="AO246" s="44"/>
      <c r="AP246" s="44"/>
      <c r="AY246" s="46"/>
      <c r="AZ246" s="46"/>
      <c r="BA246" s="46"/>
      <c r="BB246" s="46"/>
      <c r="BC246" s="46"/>
      <c r="BD246" s="46"/>
      <c r="CH246"/>
      <c r="CI246"/>
      <c r="CJ246"/>
      <c r="CK246"/>
      <c r="CL246"/>
      <c r="CM246"/>
    </row>
    <row r="247" spans="1:91">
      <c r="A247" s="44"/>
      <c r="B247" s="44"/>
      <c r="C247" s="44"/>
      <c r="D247" s="126"/>
      <c r="E247" s="126"/>
      <c r="F247" s="126"/>
      <c r="G247" s="126"/>
      <c r="H247" s="126"/>
      <c r="I247" s="126"/>
      <c r="J247" s="126"/>
      <c r="K247" s="126"/>
      <c r="L247" s="126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  <c r="AL247" s="44"/>
      <c r="AM247" s="44"/>
      <c r="AN247" s="44"/>
      <c r="AO247" s="44"/>
      <c r="AP247" s="44"/>
      <c r="AY247" s="46"/>
      <c r="AZ247" s="46"/>
      <c r="BA247" s="46"/>
      <c r="BB247" s="46"/>
      <c r="BC247" s="46"/>
      <c r="BD247" s="46"/>
      <c r="CH247"/>
      <c r="CI247"/>
      <c r="CJ247"/>
      <c r="CK247"/>
      <c r="CL247"/>
      <c r="CM247"/>
    </row>
    <row r="248" spans="1:91">
      <c r="A248" s="44"/>
      <c r="B248" s="44"/>
      <c r="C248" s="44"/>
      <c r="D248" s="126"/>
      <c r="E248" s="126"/>
      <c r="F248" s="126"/>
      <c r="G248" s="126"/>
      <c r="H248" s="126"/>
      <c r="I248" s="126"/>
      <c r="J248" s="126"/>
      <c r="K248" s="126"/>
      <c r="L248" s="126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  <c r="AL248" s="44"/>
      <c r="AM248" s="44"/>
      <c r="AN248" s="44"/>
      <c r="AO248" s="44"/>
      <c r="AP248" s="44"/>
      <c r="AY248" s="46"/>
      <c r="AZ248" s="46"/>
      <c r="BA248" s="46"/>
      <c r="BB248" s="46"/>
      <c r="BC248" s="46"/>
      <c r="BD248" s="46"/>
      <c r="CH248"/>
      <c r="CI248"/>
      <c r="CJ248"/>
      <c r="CK248"/>
      <c r="CL248"/>
      <c r="CM248"/>
    </row>
    <row r="249" spans="1:91">
      <c r="A249" s="44"/>
      <c r="B249" s="44"/>
      <c r="C249" s="44"/>
      <c r="D249" s="126"/>
      <c r="E249" s="126"/>
      <c r="F249" s="126"/>
      <c r="G249" s="126"/>
      <c r="H249" s="126"/>
      <c r="I249" s="126"/>
      <c r="J249" s="126"/>
      <c r="K249" s="126"/>
      <c r="L249" s="126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  <c r="AL249" s="44"/>
      <c r="AM249" s="44"/>
      <c r="AN249" s="44"/>
      <c r="AO249" s="44"/>
      <c r="AP249" s="44"/>
      <c r="AY249" s="46"/>
      <c r="AZ249" s="46"/>
      <c r="BA249" s="46"/>
      <c r="BB249" s="46"/>
      <c r="BC249" s="46"/>
      <c r="BD249" s="46"/>
      <c r="CH249"/>
      <c r="CI249"/>
      <c r="CJ249"/>
      <c r="CK249"/>
      <c r="CL249"/>
      <c r="CM249"/>
    </row>
    <row r="250" spans="1:91">
      <c r="A250" s="44"/>
      <c r="B250" s="44"/>
      <c r="C250" s="44"/>
      <c r="D250" s="126"/>
      <c r="E250" s="126"/>
      <c r="F250" s="126"/>
      <c r="G250" s="126"/>
      <c r="H250" s="126"/>
      <c r="I250" s="126"/>
      <c r="J250" s="126"/>
      <c r="K250" s="126"/>
      <c r="L250" s="126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Y250" s="46"/>
      <c r="AZ250" s="46"/>
      <c r="BA250" s="46"/>
      <c r="BB250" s="46"/>
      <c r="BC250" s="46"/>
      <c r="BD250" s="46"/>
      <c r="CH250"/>
      <c r="CI250"/>
      <c r="CJ250"/>
      <c r="CK250"/>
      <c r="CL250"/>
      <c r="CM250"/>
    </row>
    <row r="251" spans="1:91">
      <c r="A251" s="44"/>
      <c r="B251" s="44"/>
      <c r="C251" s="44"/>
      <c r="D251" s="126"/>
      <c r="E251" s="126"/>
      <c r="F251" s="126"/>
      <c r="G251" s="126"/>
      <c r="H251" s="126"/>
      <c r="I251" s="126"/>
      <c r="J251" s="126"/>
      <c r="K251" s="126"/>
      <c r="L251" s="126"/>
      <c r="M251" s="44"/>
      <c r="N251" s="44"/>
      <c r="O251" s="44"/>
      <c r="P251" s="44"/>
      <c r="Q251" s="44"/>
      <c r="R251" s="44"/>
      <c r="S251" s="44"/>
      <c r="T251" s="44"/>
      <c r="U251" s="44"/>
      <c r="AY251" s="46"/>
      <c r="AZ251" s="46"/>
      <c r="BA251" s="46"/>
      <c r="BB251" s="46"/>
      <c r="BC251" s="46"/>
      <c r="BD251" s="46"/>
      <c r="CH251"/>
      <c r="CI251"/>
      <c r="CJ251"/>
      <c r="CK251"/>
      <c r="CL251"/>
      <c r="CM251"/>
    </row>
    <row r="252" spans="1:91">
      <c r="A252" s="44"/>
      <c r="B252" s="44"/>
      <c r="C252" s="44"/>
      <c r="D252" s="126"/>
      <c r="E252" s="126"/>
      <c r="F252" s="126"/>
      <c r="G252" s="126"/>
      <c r="H252" s="126"/>
      <c r="I252" s="126"/>
      <c r="J252" s="126"/>
      <c r="K252" s="126"/>
      <c r="L252" s="126"/>
      <c r="M252" s="44"/>
      <c r="N252" s="44"/>
      <c r="O252" s="44"/>
      <c r="P252" s="44"/>
      <c r="Q252" s="44"/>
      <c r="R252" s="44"/>
      <c r="S252" s="44"/>
      <c r="T252" s="44"/>
      <c r="U252" s="44"/>
      <c r="AY252" s="46"/>
      <c r="AZ252" s="46"/>
      <c r="BA252" s="46"/>
      <c r="BB252" s="46"/>
      <c r="BC252" s="46"/>
      <c r="BD252" s="46"/>
      <c r="CH252"/>
      <c r="CI252"/>
      <c r="CJ252"/>
      <c r="CK252"/>
      <c r="CL252"/>
      <c r="CM252"/>
    </row>
    <row r="253" spans="1:91">
      <c r="A253" s="44"/>
      <c r="B253" s="44"/>
      <c r="C253" s="44"/>
      <c r="D253" s="126"/>
      <c r="E253" s="126"/>
      <c r="F253" s="126"/>
      <c r="G253" s="126"/>
      <c r="H253" s="126"/>
      <c r="I253" s="126"/>
      <c r="J253" s="126"/>
      <c r="K253" s="126"/>
      <c r="L253" s="126"/>
      <c r="M253" s="44"/>
      <c r="N253" s="44"/>
      <c r="O253" s="44"/>
      <c r="P253" s="44"/>
      <c r="Q253" s="44"/>
      <c r="R253" s="44"/>
      <c r="S253" s="44"/>
      <c r="T253" s="44"/>
      <c r="U253" s="44"/>
      <c r="AY253" s="46"/>
      <c r="AZ253" s="46"/>
      <c r="BA253" s="46"/>
      <c r="BB253" s="46"/>
      <c r="BC253" s="46"/>
      <c r="BD253" s="46"/>
      <c r="CH253"/>
      <c r="CI253"/>
      <c r="CJ253"/>
      <c r="CK253"/>
      <c r="CL253"/>
      <c r="CM253"/>
    </row>
    <row r="254" spans="1:91">
      <c r="A254" s="44"/>
      <c r="B254" s="44"/>
      <c r="C254" s="44"/>
      <c r="D254" s="126"/>
      <c r="E254" s="126"/>
      <c r="F254" s="126"/>
      <c r="G254" s="126"/>
      <c r="H254" s="126"/>
      <c r="I254" s="126"/>
      <c r="J254" s="126"/>
      <c r="K254" s="126"/>
      <c r="L254" s="126"/>
      <c r="M254" s="44"/>
      <c r="N254" s="44"/>
      <c r="O254" s="44"/>
      <c r="P254" s="44"/>
      <c r="Q254" s="44"/>
      <c r="R254" s="44"/>
      <c r="S254" s="44"/>
      <c r="T254" s="44"/>
      <c r="U254" s="44"/>
      <c r="AY254" s="46"/>
      <c r="AZ254" s="46"/>
      <c r="BA254" s="46"/>
      <c r="BB254" s="46"/>
      <c r="BC254" s="46"/>
      <c r="BD254" s="46"/>
      <c r="CH254"/>
      <c r="CI254"/>
      <c r="CJ254"/>
      <c r="CK254"/>
      <c r="CL254"/>
      <c r="CM254"/>
    </row>
    <row r="255" spans="1:91">
      <c r="A255" s="44"/>
      <c r="B255" s="44"/>
      <c r="C255" s="44"/>
      <c r="D255" s="126"/>
      <c r="E255" s="126"/>
      <c r="F255" s="126"/>
      <c r="G255" s="126"/>
      <c r="H255" s="126"/>
      <c r="I255" s="126"/>
      <c r="J255" s="126"/>
      <c r="K255" s="126"/>
      <c r="L255" s="126"/>
      <c r="M255" s="44"/>
      <c r="N255" s="44"/>
      <c r="O255" s="44"/>
      <c r="P255" s="44"/>
      <c r="Q255" s="44"/>
      <c r="R255" s="44"/>
      <c r="S255" s="44"/>
      <c r="T255" s="44"/>
      <c r="U255" s="44"/>
      <c r="AY255" s="46"/>
      <c r="AZ255" s="46"/>
      <c r="BA255" s="46"/>
      <c r="BB255" s="46"/>
      <c r="BC255" s="46"/>
      <c r="BD255" s="46"/>
      <c r="CH255"/>
      <c r="CI255"/>
      <c r="CJ255"/>
      <c r="CK255"/>
      <c r="CL255"/>
      <c r="CM255"/>
    </row>
    <row r="256" spans="1:91">
      <c r="A256" s="44"/>
      <c r="B256" s="44"/>
      <c r="C256" s="44"/>
      <c r="D256" s="126"/>
      <c r="E256" s="126"/>
      <c r="F256" s="126"/>
      <c r="G256" s="126"/>
      <c r="H256" s="126"/>
      <c r="I256" s="126"/>
      <c r="J256" s="126"/>
      <c r="K256" s="126"/>
      <c r="L256" s="126"/>
      <c r="M256" s="44"/>
      <c r="N256" s="44"/>
      <c r="O256" s="44"/>
      <c r="P256" s="44"/>
      <c r="Q256" s="44"/>
      <c r="R256" s="44"/>
      <c r="S256" s="44"/>
      <c r="T256" s="44"/>
      <c r="U256" s="44"/>
      <c r="AY256" s="46"/>
      <c r="AZ256" s="46"/>
      <c r="BA256" s="46"/>
      <c r="BB256" s="46"/>
      <c r="BC256" s="46"/>
      <c r="BD256" s="46"/>
      <c r="CH256"/>
      <c r="CI256"/>
      <c r="CJ256"/>
      <c r="CK256"/>
      <c r="CL256"/>
      <c r="CM256"/>
    </row>
    <row r="257" spans="4:91">
      <c r="D257" s="26"/>
      <c r="E257" s="26"/>
      <c r="F257" s="26"/>
      <c r="G257" s="26"/>
      <c r="H257" s="26"/>
      <c r="I257" s="26"/>
      <c r="J257" s="26"/>
      <c r="K257" s="26"/>
      <c r="L257" s="26"/>
      <c r="AY257" s="46"/>
      <c r="AZ257" s="46"/>
      <c r="BA257" s="46"/>
      <c r="BB257" s="46"/>
      <c r="BC257" s="46"/>
      <c r="BD257" s="46"/>
      <c r="CH257"/>
      <c r="CI257"/>
      <c r="CJ257"/>
      <c r="CK257"/>
      <c r="CL257"/>
      <c r="CM257"/>
    </row>
    <row r="258" spans="4:91">
      <c r="D258" s="26"/>
      <c r="E258" s="26"/>
      <c r="F258" s="26"/>
      <c r="G258" s="26"/>
      <c r="H258" s="26"/>
      <c r="I258" s="26"/>
      <c r="J258" s="26"/>
      <c r="K258" s="26"/>
      <c r="L258" s="26"/>
      <c r="AY258" s="46"/>
      <c r="AZ258" s="46"/>
      <c r="BA258" s="46"/>
      <c r="BB258" s="46"/>
      <c r="BC258" s="46"/>
      <c r="BD258" s="46"/>
      <c r="CH258"/>
      <c r="CI258"/>
      <c r="CJ258"/>
      <c r="CK258"/>
      <c r="CL258"/>
      <c r="CM258"/>
    </row>
    <row r="259" spans="4:91">
      <c r="D259" s="26"/>
      <c r="E259" s="26"/>
      <c r="F259" s="26"/>
      <c r="G259" s="26"/>
      <c r="H259" s="26"/>
      <c r="I259" s="26"/>
      <c r="J259" s="26"/>
      <c r="K259" s="26"/>
      <c r="L259" s="26"/>
      <c r="AY259" s="46"/>
      <c r="AZ259" s="46"/>
      <c r="BA259" s="46"/>
      <c r="BB259" s="46"/>
      <c r="BC259" s="46"/>
      <c r="BD259" s="46"/>
      <c r="CH259"/>
      <c r="CI259"/>
      <c r="CJ259"/>
      <c r="CK259"/>
      <c r="CL259"/>
      <c r="CM259"/>
    </row>
    <row r="260" spans="4:91">
      <c r="D260" s="26"/>
      <c r="E260" s="26"/>
      <c r="F260" s="26"/>
      <c r="G260" s="26"/>
      <c r="H260" s="26"/>
      <c r="I260" s="26"/>
      <c r="J260" s="26"/>
      <c r="K260" s="26"/>
      <c r="L260" s="26"/>
      <c r="AY260" s="46"/>
      <c r="AZ260" s="46"/>
      <c r="BA260" s="46"/>
      <c r="BB260" s="46"/>
      <c r="BC260" s="46"/>
      <c r="BD260" s="46"/>
      <c r="CH260"/>
      <c r="CI260"/>
      <c r="CJ260"/>
      <c r="CK260"/>
      <c r="CL260"/>
      <c r="CM260"/>
    </row>
  </sheetData>
  <mergeCells count="4">
    <mergeCell ref="K65:L65"/>
    <mergeCell ref="N65:P65"/>
    <mergeCell ref="K129:L129"/>
    <mergeCell ref="R65:S65"/>
  </mergeCells>
  <conditionalFormatting sqref="K21:Q21 S21:Y21 U64:AG64 K22:Y25 K4:Y20 Z4:Z25 K48:AI63 K26:Z47 AA4:AI47">
    <cfRule type="expression" dxfId="9" priority="28">
      <formula>K4&lt;&gt;0</formula>
    </cfRule>
  </conditionalFormatting>
  <conditionalFormatting sqref="K59:K60">
    <cfRule type="expression" dxfId="8" priority="23">
      <formula>K59&lt;&gt;0</formula>
    </cfRule>
  </conditionalFormatting>
  <conditionalFormatting sqref="R21">
    <cfRule type="expression" dxfId="7" priority="18">
      <formula>R21&lt;&gt;0</formula>
    </cfRule>
  </conditionalFormatting>
  <conditionalFormatting sqref="AB67:AC90">
    <cfRule type="cellIs" dxfId="6" priority="8" operator="greaterThan">
      <formula>0.001</formula>
    </cfRule>
  </conditionalFormatting>
  <conditionalFormatting sqref="AC70">
    <cfRule type="cellIs" dxfId="5" priority="7" operator="greaterThan">
      <formula>"1E(-3)"</formula>
    </cfRule>
  </conditionalFormatting>
  <conditionalFormatting sqref="AB67:AC90">
    <cfRule type="cellIs" dxfId="4" priority="6" operator="lessThan">
      <formula>-0.001</formula>
    </cfRule>
  </conditionalFormatting>
  <conditionalFormatting sqref="R67:S126">
    <cfRule type="expression" dxfId="3" priority="5">
      <formula>ABS(R67)&gt;=10%</formula>
    </cfRule>
  </conditionalFormatting>
  <conditionalFormatting sqref="BC5:BC11 BC13:BC19 BD5:BG19 AL5:BB19 AL20:BG20 CD5:CS29 BH5:CC20 AL21:CC29">
    <cfRule type="expression" dxfId="2" priority="3">
      <formula>AL5&lt;&gt;0</formula>
    </cfRule>
  </conditionalFormatting>
  <conditionalFormatting sqref="CO5:CP5">
    <cfRule type="expression" dxfId="1" priority="2">
      <formula>CO5&lt;&gt;0</formula>
    </cfRule>
  </conditionalFormatting>
  <conditionalFormatting sqref="BC12">
    <cfRule type="expression" dxfId="0" priority="1">
      <formula>BC12&lt;&gt;0</formula>
    </cfRule>
  </conditionalFormatting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60AC7-5398-5641-82B1-F65671312B85}">
  <dimension ref="A1:D61"/>
  <sheetViews>
    <sheetView topLeftCell="A44" zoomScale="160" zoomScaleNormal="160" workbookViewId="0">
      <selection activeCell="B2" sqref="B2:B61"/>
    </sheetView>
  </sheetViews>
  <sheetFormatPr baseColWidth="10" defaultRowHeight="15"/>
  <cols>
    <col min="1" max="1" width="64.33203125" customWidth="1"/>
    <col min="2" max="2" width="17.5" customWidth="1"/>
    <col min="3" max="3" width="18.6640625" customWidth="1"/>
  </cols>
  <sheetData>
    <row r="1" spans="1:4" ht="16" thickBot="1">
      <c r="A1" s="120"/>
      <c r="B1" s="160" t="s">
        <v>33</v>
      </c>
      <c r="C1" s="160" t="s">
        <v>9</v>
      </c>
      <c r="D1" s="20" t="s">
        <v>145</v>
      </c>
    </row>
    <row r="2" spans="1:4">
      <c r="A2" s="145" t="s">
        <v>96</v>
      </c>
      <c r="B2" s="170">
        <f>Utilidad!A1</f>
        <v>261455.17020557521</v>
      </c>
      <c r="C2" s="119">
        <f>Utilidad!B1</f>
        <v>0.58909999999999996</v>
      </c>
      <c r="D2" s="167">
        <f>(0.83)%</f>
        <v>8.3000000000000001E-3</v>
      </c>
    </row>
    <row r="3" spans="1:4">
      <c r="A3" s="146" t="s">
        <v>97</v>
      </c>
      <c r="B3" s="170">
        <f>Utilidad!A2</f>
        <v>11473.344999999999</v>
      </c>
      <c r="C3" s="119">
        <f>Utilidad!B2</f>
        <v>0.62939999999999996</v>
      </c>
      <c r="D3" s="167">
        <f>0.0072</f>
        <v>7.1999999999999998E-3</v>
      </c>
    </row>
    <row r="4" spans="1:4">
      <c r="A4" s="146" t="s">
        <v>98</v>
      </c>
      <c r="B4" s="170">
        <f>Utilidad!A3</f>
        <v>249981.82520557521</v>
      </c>
      <c r="C4" s="119">
        <f>Utilidad!B3</f>
        <v>0.58720000000000006</v>
      </c>
      <c r="D4" s="167">
        <f>0.0089</f>
        <v>8.8999999999999999E-3</v>
      </c>
    </row>
    <row r="5" spans="1:4">
      <c r="A5" s="146" t="s">
        <v>99</v>
      </c>
      <c r="B5" s="170">
        <f>Utilidad!A4</f>
        <v>-4116.7369201152997</v>
      </c>
      <c r="C5" s="119">
        <f>Utilidad!B4</f>
        <v>0.6</v>
      </c>
      <c r="D5" s="167">
        <f>0.0089</f>
        <v>8.8999999999999999E-3</v>
      </c>
    </row>
    <row r="6" spans="1:4">
      <c r="A6" s="146" t="s">
        <v>100</v>
      </c>
      <c r="B6" s="170">
        <f>Utilidad!A5</f>
        <v>254098.5621256904</v>
      </c>
      <c r="C6" s="119">
        <f>Utilidad!B5</f>
        <v>0.6</v>
      </c>
      <c r="D6" s="167">
        <f>0.0076</f>
        <v>7.6E-3</v>
      </c>
    </row>
    <row r="7" spans="1:4">
      <c r="A7" s="146" t="s">
        <v>29</v>
      </c>
      <c r="B7" s="170">
        <f>Utilidad!A6</f>
        <v>693.98717870610005</v>
      </c>
      <c r="C7" s="119">
        <f>Utilidad!B6</f>
        <v>0.6</v>
      </c>
      <c r="D7" s="167">
        <f t="shared" ref="D7:D61" si="0">0.0072</f>
        <v>7.1999999999999998E-3</v>
      </c>
    </row>
    <row r="8" spans="1:4">
      <c r="A8" s="146" t="s">
        <v>101</v>
      </c>
      <c r="B8" s="170">
        <f>Utilidad!A7</f>
        <v>253404.5749469843</v>
      </c>
      <c r="C8" s="119">
        <f>Utilidad!B7</f>
        <v>0.6</v>
      </c>
      <c r="D8" s="167">
        <f t="shared" si="0"/>
        <v>7.1999999999999998E-3</v>
      </c>
    </row>
    <row r="9" spans="1:4">
      <c r="A9" s="146" t="s">
        <v>102</v>
      </c>
      <c r="B9" s="170">
        <f>Utilidad!A8</f>
        <v>1500</v>
      </c>
      <c r="C9" s="119">
        <f>Utilidad!B8</f>
        <v>0.6</v>
      </c>
      <c r="D9" s="167">
        <f t="shared" si="0"/>
        <v>7.1999999999999998E-3</v>
      </c>
    </row>
    <row r="10" spans="1:4">
      <c r="A10" s="146" t="s">
        <v>103</v>
      </c>
      <c r="B10" s="170">
        <f>Utilidad!A9</f>
        <v>43011</v>
      </c>
      <c r="C10" s="119">
        <f>Utilidad!B9</f>
        <v>9.9900000000000003E-2</v>
      </c>
      <c r="D10" s="167">
        <v>0</v>
      </c>
    </row>
    <row r="11" spans="1:4">
      <c r="A11" s="146" t="s">
        <v>104</v>
      </c>
      <c r="B11" s="170">
        <f>Utilidad!A10</f>
        <v>208893.5749469843</v>
      </c>
      <c r="C11" s="119">
        <f>Utilidad!B10</f>
        <v>0.68630000000000002</v>
      </c>
      <c r="D11" s="167">
        <f t="shared" si="0"/>
        <v>7.1999999999999998E-3</v>
      </c>
    </row>
    <row r="12" spans="1:4">
      <c r="A12" s="146" t="s">
        <v>105</v>
      </c>
      <c r="B12" s="170">
        <f>Utilidad!A11</f>
        <v>-870</v>
      </c>
      <c r="C12" s="119">
        <f>Utilidad!B11</f>
        <v>0.68469999999999998</v>
      </c>
      <c r="D12" s="167">
        <f>0</f>
        <v>0</v>
      </c>
    </row>
    <row r="13" spans="1:4" ht="16" thickBot="1">
      <c r="A13" s="147" t="s">
        <v>106</v>
      </c>
      <c r="B13" s="170">
        <f>Utilidad!A12</f>
        <v>0</v>
      </c>
      <c r="C13" s="119">
        <f>Utilidad!B12</f>
        <v>0</v>
      </c>
      <c r="D13" s="167">
        <f t="shared" si="0"/>
        <v>7.1999999999999998E-3</v>
      </c>
    </row>
    <row r="14" spans="1:4">
      <c r="A14" s="121" t="s">
        <v>107</v>
      </c>
      <c r="B14" s="170">
        <f>Utilidad!A13</f>
        <v>209763.5749469843</v>
      </c>
      <c r="C14" s="119">
        <f>Utilidad!B13</f>
        <v>0.68479999999999996</v>
      </c>
      <c r="D14" s="167">
        <f t="shared" si="0"/>
        <v>7.1999999999999998E-3</v>
      </c>
    </row>
    <row r="15" spans="1:4">
      <c r="A15" s="121" t="s">
        <v>108</v>
      </c>
      <c r="B15" s="170">
        <f>Utilidad!A14</f>
        <v>84629.508799999996</v>
      </c>
      <c r="C15" s="119">
        <f>Utilidad!B14</f>
        <v>0.68479999999999996</v>
      </c>
      <c r="D15" s="167">
        <f t="shared" si="0"/>
        <v>7.1999999999999998E-3</v>
      </c>
    </row>
    <row r="16" spans="1:4">
      <c r="A16" s="121" t="s">
        <v>109</v>
      </c>
      <c r="B16" s="170">
        <f>Utilidad!A15</f>
        <v>125134.0661469843</v>
      </c>
      <c r="C16" s="119">
        <f>Utilidad!B15</f>
        <v>0.68479999999999996</v>
      </c>
      <c r="D16" s="167">
        <f t="shared" si="0"/>
        <v>7.1999999999999998E-3</v>
      </c>
    </row>
    <row r="17" spans="1:4">
      <c r="A17" s="121" t="s">
        <v>110</v>
      </c>
      <c r="B17" s="170">
        <f>Utilidad!A16</f>
        <v>0</v>
      </c>
      <c r="C17" s="119">
        <f>Utilidad!B16</f>
        <v>0</v>
      </c>
      <c r="D17" s="167">
        <f t="shared" si="0"/>
        <v>7.1999999999999998E-3</v>
      </c>
    </row>
    <row r="18" spans="1:4">
      <c r="A18" s="121" t="s">
        <v>111</v>
      </c>
      <c r="B18" s="170">
        <f>Utilidad!A17</f>
        <v>1151.136</v>
      </c>
      <c r="C18" s="119">
        <f>Utilidad!B17</f>
        <v>0.68479999999999996</v>
      </c>
      <c r="D18" s="167">
        <f t="shared" si="0"/>
        <v>7.1999999999999998E-3</v>
      </c>
    </row>
    <row r="19" spans="1:4">
      <c r="A19" s="121" t="s">
        <v>12</v>
      </c>
      <c r="B19" s="170">
        <f>Utilidad!A18</f>
        <v>0</v>
      </c>
      <c r="C19" s="119">
        <f>Utilidad!B18</f>
        <v>0</v>
      </c>
      <c r="D19" s="167">
        <f t="shared" si="0"/>
        <v>7.1999999999999998E-3</v>
      </c>
    </row>
    <row r="20" spans="1:4">
      <c r="A20" s="121" t="s">
        <v>112</v>
      </c>
      <c r="B20" s="170">
        <f>Utilidad!A19</f>
        <v>0</v>
      </c>
      <c r="C20" s="119">
        <f>Utilidad!B19</f>
        <v>0</v>
      </c>
      <c r="D20" s="167">
        <f t="shared" si="0"/>
        <v>7.1999999999999998E-3</v>
      </c>
    </row>
    <row r="21" spans="1:4">
      <c r="A21" s="121" t="s">
        <v>113</v>
      </c>
      <c r="B21" s="170">
        <f>Utilidad!A20</f>
        <v>1151.136</v>
      </c>
      <c r="C21" s="119">
        <f>Utilidad!B20</f>
        <v>0.68469999999999998</v>
      </c>
      <c r="D21" s="167">
        <f t="shared" si="0"/>
        <v>7.1999999999999998E-3</v>
      </c>
    </row>
    <row r="22" spans="1:4">
      <c r="A22" s="121" t="s">
        <v>114</v>
      </c>
      <c r="B22" s="170">
        <f>Utilidad!A21</f>
        <v>83478.372799999997</v>
      </c>
      <c r="C22" s="119">
        <f>Utilidad!B21</f>
        <v>0.68469999999999998</v>
      </c>
      <c r="D22" s="167">
        <f>0.00871</f>
        <v>8.7100000000000007E-3</v>
      </c>
    </row>
    <row r="23" spans="1:4">
      <c r="A23" s="121" t="s">
        <v>13</v>
      </c>
      <c r="B23" s="170">
        <f>Utilidad!A22</f>
        <v>87216.858032629694</v>
      </c>
      <c r="C23" s="119">
        <f>Utilidad!B22</f>
        <v>0.68469999999999998</v>
      </c>
      <c r="D23" s="167">
        <f t="shared" si="0"/>
        <v>7.1999999999999998E-3</v>
      </c>
    </row>
    <row r="24" spans="1:4">
      <c r="A24" s="121" t="s">
        <v>115</v>
      </c>
      <c r="B24" s="170">
        <f>Utilidad!A23</f>
        <v>0</v>
      </c>
      <c r="C24" s="119">
        <f>Utilidad!B23</f>
        <v>0</v>
      </c>
      <c r="D24" s="167">
        <f>0.0816</f>
        <v>8.1600000000000006E-2</v>
      </c>
    </row>
    <row r="25" spans="1:4" ht="16" thickBot="1">
      <c r="A25" s="148" t="s">
        <v>116</v>
      </c>
      <c r="B25" s="170">
        <f>Utilidad!A24</f>
        <v>7011</v>
      </c>
      <c r="C25" s="119">
        <f>Utilidad!B24</f>
        <v>0</v>
      </c>
      <c r="D25" s="167">
        <f t="shared" si="0"/>
        <v>7.1999999999999998E-3</v>
      </c>
    </row>
    <row r="26" spans="1:4">
      <c r="A26" s="149" t="s">
        <v>117</v>
      </c>
      <c r="B26" s="170">
        <f>Utilidad!A25</f>
        <v>132145.06614698429</v>
      </c>
      <c r="C26" s="119">
        <f>Utilidad!B25</f>
        <v>0.64849999999999997</v>
      </c>
      <c r="D26" s="167">
        <f t="shared" si="0"/>
        <v>7.1999999999999998E-3</v>
      </c>
    </row>
    <row r="27" spans="1:4">
      <c r="A27" s="149" t="s">
        <v>118</v>
      </c>
      <c r="B27" s="170">
        <f>Utilidad!A26</f>
        <v>11983.055953228601</v>
      </c>
      <c r="C27" s="119">
        <f>Utilidad!B26</f>
        <v>0.64359999999999995</v>
      </c>
      <c r="D27" s="167">
        <f t="shared" si="0"/>
        <v>7.1999999999999998E-3</v>
      </c>
    </row>
    <row r="28" spans="1:4">
      <c r="A28" s="149" t="s">
        <v>68</v>
      </c>
      <c r="B28" s="170">
        <f>Utilidad!A27</f>
        <v>13097.735953228599</v>
      </c>
      <c r="C28" s="119">
        <f>Utilidad!B27</f>
        <v>0</v>
      </c>
      <c r="D28" s="167">
        <f t="shared" si="0"/>
        <v>7.1999999999999998E-3</v>
      </c>
    </row>
    <row r="29" spans="1:4">
      <c r="A29" s="149" t="s">
        <v>119</v>
      </c>
      <c r="B29" s="170">
        <f>Utilidad!A28</f>
        <v>1189.3055953229</v>
      </c>
      <c r="C29" s="119">
        <f>Utilidad!B28</f>
        <v>0.64359999999999995</v>
      </c>
      <c r="D29" s="167">
        <f t="shared" si="0"/>
        <v>7.1999999999999998E-3</v>
      </c>
    </row>
    <row r="30" spans="1:4">
      <c r="A30" s="149" t="s">
        <v>65</v>
      </c>
      <c r="B30" s="170">
        <f>Utilidad!A29</f>
        <v>1189.3055953229</v>
      </c>
      <c r="C30" s="119">
        <f>Utilidad!B29</f>
        <v>0.65410000000000001</v>
      </c>
      <c r="D30" s="167">
        <f t="shared" si="0"/>
        <v>7.1999999999999998E-3</v>
      </c>
    </row>
    <row r="31" spans="1:4">
      <c r="A31" s="149" t="s">
        <v>120</v>
      </c>
      <c r="B31" s="170">
        <f>Utilidad!A30</f>
        <v>1000</v>
      </c>
      <c r="C31" s="119">
        <f>Utilidad!B30</f>
        <v>0</v>
      </c>
      <c r="D31" s="167">
        <f t="shared" si="0"/>
        <v>7.1999999999999998E-3</v>
      </c>
    </row>
    <row r="32" spans="1:4" ht="16" thickBot="1">
      <c r="A32" s="150" t="s">
        <v>121</v>
      </c>
      <c r="B32" s="170">
        <f>Utilidad!A31</f>
        <v>3287.8954015671002</v>
      </c>
      <c r="C32" s="119">
        <f>Utilidad!B31</f>
        <v>0.64359999999999995</v>
      </c>
      <c r="D32" s="167">
        <f t="shared" si="0"/>
        <v>7.1999999999999998E-3</v>
      </c>
    </row>
    <row r="33" spans="1:4">
      <c r="A33" s="151" t="s">
        <v>122</v>
      </c>
      <c r="B33" s="170">
        <f>Utilidad!A32</f>
        <v>123260.6</v>
      </c>
      <c r="C33" s="119">
        <f>Utilidad!B32</f>
        <v>0.65410000000000001</v>
      </c>
      <c r="D33" s="167">
        <f t="shared" si="0"/>
        <v>7.1999999999999998E-3</v>
      </c>
    </row>
    <row r="34" spans="1:4">
      <c r="A34" s="152" t="s">
        <v>123</v>
      </c>
      <c r="B34" s="170">
        <f>Utilidad!A33</f>
        <v>0</v>
      </c>
      <c r="C34" s="119">
        <f>Utilidad!B33</f>
        <v>0</v>
      </c>
      <c r="D34" s="167">
        <f t="shared" si="0"/>
        <v>7.1999999999999998E-3</v>
      </c>
    </row>
    <row r="35" spans="1:4">
      <c r="A35" s="152" t="s">
        <v>30</v>
      </c>
      <c r="B35" s="170">
        <f>Utilidad!A34</f>
        <v>-3287.8954015671002</v>
      </c>
      <c r="C35" s="119">
        <f>Utilidad!B34</f>
        <v>0</v>
      </c>
      <c r="D35" s="167">
        <f t="shared" si="0"/>
        <v>7.1999999999999998E-3</v>
      </c>
    </row>
    <row r="36" spans="1:4">
      <c r="A36" s="152" t="s">
        <v>124</v>
      </c>
      <c r="B36" s="170">
        <f>Utilidad!A35</f>
        <v>4312.5021039050998</v>
      </c>
      <c r="C36" s="119">
        <f>Utilidad!B35</f>
        <v>0.65410000000000001</v>
      </c>
      <c r="D36" s="167">
        <f>0.005</f>
        <v>5.0000000000000001E-3</v>
      </c>
    </row>
    <row r="37" spans="1:4">
      <c r="A37" s="152" t="s">
        <v>66</v>
      </c>
      <c r="B37" s="170">
        <f>Utilidad!A36</f>
        <v>-6548.9178960949002</v>
      </c>
      <c r="C37" s="119">
        <f>Utilidad!B36</f>
        <v>0</v>
      </c>
      <c r="D37" s="167">
        <v>0</v>
      </c>
    </row>
    <row r="38" spans="1:4">
      <c r="A38" s="152" t="s">
        <v>125</v>
      </c>
      <c r="B38" s="170">
        <f>Utilidad!A37</f>
        <v>108207.245</v>
      </c>
      <c r="C38" s="119">
        <f>Utilidad!B37</f>
        <v>0.65410000000000001</v>
      </c>
      <c r="D38" s="167">
        <f>0.005</f>
        <v>5.0000000000000001E-3</v>
      </c>
    </row>
    <row r="39" spans="1:4">
      <c r="A39" s="152" t="s">
        <v>15</v>
      </c>
      <c r="B39" s="170">
        <f>Utilidad!A38</f>
        <v>117765.29459999999</v>
      </c>
      <c r="C39" s="119">
        <f>Utilidad!B38</f>
        <v>0.65539999999999998</v>
      </c>
      <c r="D39" s="167">
        <f>0.005</f>
        <v>5.0000000000000001E-3</v>
      </c>
    </row>
    <row r="40" spans="1:4" ht="16" thickBot="1">
      <c r="A40" s="153" t="s">
        <v>126</v>
      </c>
      <c r="B40" s="170">
        <f>Utilidad!A39</f>
        <v>0</v>
      </c>
      <c r="C40" s="119">
        <f>Utilidad!B39</f>
        <v>0</v>
      </c>
      <c r="D40" s="167">
        <f>0.0096</f>
        <v>9.5999999999999992E-3</v>
      </c>
    </row>
    <row r="41" spans="1:4">
      <c r="A41" s="121" t="s">
        <v>127</v>
      </c>
      <c r="B41" s="170">
        <f>Utilidad!A40</f>
        <v>1926.6</v>
      </c>
      <c r="C41" s="119">
        <f>Utilidad!B40</f>
        <v>0.57999999999999996</v>
      </c>
      <c r="D41" s="167">
        <f t="shared" si="0"/>
        <v>7.1999999999999998E-3</v>
      </c>
    </row>
    <row r="42" spans="1:4">
      <c r="A42" s="121" t="s">
        <v>128</v>
      </c>
      <c r="B42" s="170">
        <f>Utilidad!A41</f>
        <v>1541.28</v>
      </c>
      <c r="C42" s="119">
        <f>Utilidad!B41</f>
        <v>0.57999999999999996</v>
      </c>
      <c r="D42" s="167">
        <f t="shared" si="0"/>
        <v>7.1999999999999998E-3</v>
      </c>
    </row>
    <row r="43" spans="1:4">
      <c r="A43" s="121" t="s">
        <v>129</v>
      </c>
      <c r="B43" s="170">
        <f>Utilidad!A42</f>
        <v>385.32</v>
      </c>
      <c r="C43" s="119">
        <f>Utilidad!B42</f>
        <v>0.60029999999999994</v>
      </c>
      <c r="D43" s="167">
        <f t="shared" si="0"/>
        <v>7.1999999999999998E-3</v>
      </c>
    </row>
    <row r="44" spans="1:4">
      <c r="A44" s="121" t="s">
        <v>130</v>
      </c>
      <c r="B44" s="170">
        <f>Utilidad!A43</f>
        <v>385.32</v>
      </c>
      <c r="C44" s="119">
        <f>Utilidad!B43</f>
        <v>0.60029999999999994</v>
      </c>
      <c r="D44" s="167">
        <f t="shared" si="0"/>
        <v>7.1999999999999998E-3</v>
      </c>
    </row>
    <row r="45" spans="1:4" ht="16" thickBot="1">
      <c r="A45" s="121" t="s">
        <v>131</v>
      </c>
      <c r="B45" s="170">
        <f>Utilidad!A44</f>
        <v>0</v>
      </c>
      <c r="C45" s="119">
        <f>Utilidad!B44</f>
        <v>0</v>
      </c>
      <c r="D45" s="167">
        <f t="shared" si="0"/>
        <v>7.1999999999999998E-3</v>
      </c>
    </row>
    <row r="46" spans="1:4">
      <c r="A46" s="154" t="s">
        <v>132</v>
      </c>
      <c r="B46" s="170">
        <f>Utilidad!A45</f>
        <v>0</v>
      </c>
      <c r="C46" s="119">
        <f>Utilidad!B45</f>
        <v>0</v>
      </c>
      <c r="D46" s="167">
        <f t="shared" si="0"/>
        <v>7.1999999999999998E-3</v>
      </c>
    </row>
    <row r="47" spans="1:4">
      <c r="A47" s="155" t="s">
        <v>133</v>
      </c>
      <c r="B47" s="170">
        <f>Utilidad!A46</f>
        <v>0</v>
      </c>
      <c r="C47" s="119">
        <f>Utilidad!B46</f>
        <v>0</v>
      </c>
      <c r="D47" s="167">
        <f t="shared" si="0"/>
        <v>7.1999999999999998E-3</v>
      </c>
    </row>
    <row r="48" spans="1:4">
      <c r="A48" s="155" t="s">
        <v>134</v>
      </c>
      <c r="B48" s="170">
        <f>Utilidad!A47</f>
        <v>0</v>
      </c>
      <c r="C48" s="119">
        <f>Utilidad!B47</f>
        <v>0.60029999999999994</v>
      </c>
      <c r="D48" s="167">
        <f t="shared" si="0"/>
        <v>7.1999999999999998E-3</v>
      </c>
    </row>
    <row r="49" spans="1:4" ht="16" thickBot="1">
      <c r="A49" s="156" t="s">
        <v>135</v>
      </c>
      <c r="B49" s="170">
        <f>Utilidad!A48</f>
        <v>0</v>
      </c>
      <c r="C49" s="119">
        <f>Utilidad!B48</f>
        <v>0</v>
      </c>
      <c r="D49" s="167">
        <f t="shared" si="0"/>
        <v>7.1999999999999998E-3</v>
      </c>
    </row>
    <row r="50" spans="1:4">
      <c r="A50" s="157" t="s">
        <v>136</v>
      </c>
      <c r="B50" s="170">
        <f>Utilidad!A49</f>
        <v>10861.42</v>
      </c>
      <c r="C50" s="119">
        <f>Utilidad!B49</f>
        <v>0.65410000000000001</v>
      </c>
      <c r="D50" s="167">
        <f t="shared" si="0"/>
        <v>7.1999999999999998E-3</v>
      </c>
    </row>
    <row r="51" spans="1:4">
      <c r="A51" s="158" t="s">
        <v>137</v>
      </c>
      <c r="B51" s="170">
        <f>Utilidad!A50</f>
        <v>1303.3704</v>
      </c>
      <c r="C51" s="119">
        <f>Utilidad!B50</f>
        <v>0.65410000000000001</v>
      </c>
      <c r="D51" s="167">
        <f t="shared" si="0"/>
        <v>7.1999999999999998E-3</v>
      </c>
    </row>
    <row r="52" spans="1:4">
      <c r="A52" s="158" t="s">
        <v>138</v>
      </c>
      <c r="B52" s="170">
        <f>Utilidad!A51</f>
        <v>0</v>
      </c>
      <c r="C52" s="119">
        <f>Utilidad!B51</f>
        <v>0</v>
      </c>
      <c r="D52" s="167">
        <f t="shared" si="0"/>
        <v>7.1999999999999998E-3</v>
      </c>
    </row>
    <row r="53" spans="1:4" ht="16" thickBot="1">
      <c r="A53" s="159" t="s">
        <v>139</v>
      </c>
      <c r="B53" s="170">
        <f>Utilidad!A52</f>
        <v>9558.0496000000003</v>
      </c>
      <c r="C53" s="119">
        <f>Utilidad!B52</f>
        <v>0.65410000000000001</v>
      </c>
      <c r="D53" s="167">
        <f t="shared" si="0"/>
        <v>7.1999999999999998E-3</v>
      </c>
    </row>
    <row r="54" spans="1:4">
      <c r="A54" s="121" t="s">
        <v>140</v>
      </c>
      <c r="B54" s="170">
        <f>Utilidad!A53</f>
        <v>0</v>
      </c>
      <c r="C54" s="119">
        <f>Utilidad!B53</f>
        <v>0</v>
      </c>
      <c r="D54" s="167">
        <f>0.05</f>
        <v>0.05</v>
      </c>
    </row>
    <row r="55" spans="1:4">
      <c r="A55" s="121" t="s">
        <v>141</v>
      </c>
      <c r="B55" s="170">
        <f>Utilidad!A54</f>
        <v>0</v>
      </c>
      <c r="C55" s="119">
        <f>Utilidad!B54</f>
        <v>0</v>
      </c>
      <c r="D55" s="167">
        <f t="shared" si="0"/>
        <v>7.1999999999999998E-3</v>
      </c>
    </row>
    <row r="56" spans="1:4">
      <c r="A56" s="121" t="s">
        <v>14</v>
      </c>
      <c r="B56" s="170">
        <f>Utilidad!A55</f>
        <v>1688.6904</v>
      </c>
      <c r="C56" s="119">
        <f>Utilidad!B55</f>
        <v>0.64180000000000004</v>
      </c>
      <c r="D56" s="167">
        <f>0.05</f>
        <v>0.05</v>
      </c>
    </row>
    <row r="57" spans="1:4">
      <c r="A57" s="121" t="s">
        <v>142</v>
      </c>
      <c r="B57" s="170">
        <f>Utilidad!A56</f>
        <v>0</v>
      </c>
      <c r="C57" s="119">
        <f>Utilidad!B56</f>
        <v>0</v>
      </c>
      <c r="D57" s="167">
        <f>0.0116</f>
        <v>1.1599999999999999E-2</v>
      </c>
    </row>
    <row r="58" spans="1:4">
      <c r="A58" s="121" t="s">
        <v>31</v>
      </c>
      <c r="B58" s="170">
        <f>Utilidad!A57</f>
        <v>11473.344999999999</v>
      </c>
      <c r="C58" s="119">
        <f>Utilidad!B57</f>
        <v>0</v>
      </c>
      <c r="D58" s="167">
        <f>0.0116</f>
        <v>1.1599999999999999E-2</v>
      </c>
    </row>
    <row r="59" spans="1:4">
      <c r="A59" s="121" t="s">
        <v>143</v>
      </c>
      <c r="B59" s="170">
        <f>Utilidad!A58</f>
        <v>0</v>
      </c>
      <c r="C59" s="119">
        <f>Utilidad!B58</f>
        <v>0</v>
      </c>
      <c r="D59" s="167">
        <f t="shared" si="0"/>
        <v>7.1999999999999998E-3</v>
      </c>
    </row>
    <row r="60" spans="1:4">
      <c r="A60" s="121" t="s">
        <v>32</v>
      </c>
      <c r="B60" s="170">
        <f>Utilidad!A59</f>
        <v>0</v>
      </c>
      <c r="C60" s="119">
        <f>Utilidad!B59</f>
        <v>0</v>
      </c>
      <c r="D60" s="167">
        <f t="shared" si="0"/>
        <v>7.1999999999999998E-3</v>
      </c>
    </row>
    <row r="61" spans="1:4">
      <c r="A61" s="122" t="s">
        <v>144</v>
      </c>
      <c r="B61" s="170">
        <f>Utilidad!A60</f>
        <v>0</v>
      </c>
      <c r="C61" s="119">
        <f>Utilidad!B60</f>
        <v>0</v>
      </c>
      <c r="D61" s="167">
        <f t="shared" si="0"/>
        <v>7.1999999999999998E-3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311C8-7FA3-DF4F-ADEE-DB5EEBD63AD9}">
  <dimension ref="B2:R81"/>
  <sheetViews>
    <sheetView tabSelected="1" topLeftCell="A32" workbookViewId="0">
      <selection activeCell="A11" sqref="A11"/>
    </sheetView>
  </sheetViews>
  <sheetFormatPr baseColWidth="10" defaultRowHeight="15"/>
  <sheetData>
    <row r="2" spans="2:18">
      <c r="B2" s="80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81"/>
    </row>
    <row r="3" spans="2:18">
      <c r="B3" s="80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81"/>
    </row>
    <row r="4" spans="2:18">
      <c r="B4" s="80"/>
      <c r="C4" s="109"/>
      <c r="D4" s="109"/>
      <c r="E4" s="109"/>
      <c r="F4" s="109"/>
      <c r="G4" s="109"/>
      <c r="H4" s="109"/>
      <c r="I4" s="109"/>
      <c r="J4" s="109"/>
      <c r="K4" s="171">
        <f>+'[2]Bal Fe Tot'!O78</f>
        <v>0</v>
      </c>
      <c r="L4" s="109"/>
      <c r="M4" s="109"/>
      <c r="N4" s="109"/>
      <c r="O4" s="109"/>
      <c r="P4" s="109"/>
      <c r="Q4" s="109"/>
      <c r="R4" s="81"/>
    </row>
    <row r="5" spans="2:18">
      <c r="B5" s="80"/>
      <c r="C5" s="109"/>
      <c r="D5" s="109"/>
      <c r="E5" s="109"/>
      <c r="F5" s="109"/>
      <c r="G5" s="109"/>
      <c r="H5" s="109"/>
      <c r="I5" s="109"/>
      <c r="J5" s="109"/>
      <c r="K5" s="172">
        <f>+'[2]Bal Fe Tot'!P78</f>
        <v>0</v>
      </c>
      <c r="L5" s="109"/>
      <c r="M5" s="109"/>
      <c r="N5" s="109"/>
      <c r="O5" s="109"/>
      <c r="P5" s="109"/>
      <c r="Q5" s="109"/>
      <c r="R5" s="81"/>
    </row>
    <row r="6" spans="2:18">
      <c r="B6" s="80"/>
      <c r="C6" s="109"/>
      <c r="D6" s="109"/>
      <c r="E6" s="109"/>
      <c r="F6" s="109"/>
      <c r="G6" s="109"/>
      <c r="H6" s="109"/>
      <c r="I6" s="109"/>
      <c r="J6" s="109"/>
      <c r="K6" s="173">
        <f>+'[2]Bal Fe Tot'!Q78</f>
        <v>0</v>
      </c>
      <c r="L6" s="109"/>
      <c r="M6" s="109"/>
      <c r="N6" s="109"/>
      <c r="O6" s="109"/>
      <c r="P6" s="109"/>
      <c r="Q6" s="109"/>
      <c r="R6" s="81"/>
    </row>
    <row r="7" spans="2:18">
      <c r="B7" s="80"/>
      <c r="C7" s="109"/>
      <c r="D7" s="109"/>
      <c r="E7" s="109"/>
      <c r="F7" s="109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81"/>
    </row>
    <row r="8" spans="2:18">
      <c r="B8" s="80"/>
      <c r="C8" s="174" t="str">
        <f>+'[2]Bal Fe Tot'!O51</f>
        <v>TMS</v>
      </c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81"/>
    </row>
    <row r="9" spans="2:18">
      <c r="B9" s="80"/>
      <c r="C9" s="175" t="str">
        <f>+'[2]Bal Fe Tot'!P51</f>
        <v>%FeT</v>
      </c>
      <c r="D9" s="109"/>
      <c r="E9" s="109"/>
      <c r="F9" s="109"/>
      <c r="G9" s="109"/>
      <c r="H9" s="109"/>
      <c r="I9" s="109"/>
      <c r="J9" s="109"/>
      <c r="K9" s="109"/>
      <c r="L9" s="171">
        <f>+'[2]Bal Fe Tot'!O79</f>
        <v>1306055.4733624873</v>
      </c>
      <c r="M9" s="109"/>
      <c r="N9" s="109"/>
      <c r="O9" s="109"/>
      <c r="P9" s="109"/>
      <c r="Q9" s="109"/>
      <c r="R9" s="81"/>
    </row>
    <row r="10" spans="2:18">
      <c r="B10" s="80"/>
      <c r="C10" s="176" t="str">
        <f>+'[2]Bal Fe Tot'!Q51</f>
        <v>TMF Fe</v>
      </c>
      <c r="D10" s="109"/>
      <c r="E10" s="109"/>
      <c r="F10" s="171">
        <f>+'[2]Bal Fe Tot'!O53</f>
        <v>1179.0912000000044</v>
      </c>
      <c r="G10" s="109"/>
      <c r="H10" s="109"/>
      <c r="I10" s="109"/>
      <c r="J10" s="109"/>
      <c r="K10" s="109"/>
      <c r="L10" s="172">
        <f>+'[2]Bal Fe Tot'!P79</f>
        <v>0.15986515728933584</v>
      </c>
      <c r="M10" s="109"/>
      <c r="N10" s="109"/>
      <c r="O10" s="109"/>
      <c r="P10" s="109"/>
      <c r="Q10" s="109"/>
      <c r="R10" s="81"/>
    </row>
    <row r="11" spans="2:18">
      <c r="B11" s="80"/>
      <c r="C11" s="109"/>
      <c r="D11" s="109"/>
      <c r="E11" s="177">
        <f>+'[2]Bal Fe Tot'!O52*'[2]Bal Fe Tot'!J52</f>
        <v>0</v>
      </c>
      <c r="F11" s="172">
        <f>+'[2]Bal Fe Tot'!P52</f>
        <v>0.5946070573377733</v>
      </c>
      <c r="G11" s="109"/>
      <c r="H11" s="109"/>
      <c r="I11" s="109"/>
      <c r="J11" s="109"/>
      <c r="K11" s="171">
        <f>+'[2]Bal Fe Tot'!O80</f>
        <v>745435.87394205853</v>
      </c>
      <c r="L11" s="173">
        <f>+'[2]Bal Fe Tot'!Q79</f>
        <v>208792.76367769201</v>
      </c>
      <c r="M11" s="109"/>
      <c r="N11" s="109"/>
      <c r="O11" s="109"/>
      <c r="P11" s="109"/>
      <c r="Q11" s="109"/>
      <c r="R11" s="81"/>
    </row>
    <row r="12" spans="2:18">
      <c r="B12" s="80"/>
      <c r="C12" s="109"/>
      <c r="D12" s="109"/>
      <c r="E12" s="173">
        <f>+'[2]Bal Fe Tot'!Q52*'[2]Bal Fe Tot'!J52</f>
        <v>0</v>
      </c>
      <c r="F12" s="173">
        <f>+'[2]Bal Fe Tot'!Q53</f>
        <v>702.41463620181344</v>
      </c>
      <c r="G12" s="109"/>
      <c r="H12" s="109"/>
      <c r="I12" s="109"/>
      <c r="J12" s="109"/>
      <c r="K12" s="172">
        <f>+'[2]Bal Fe Tot'!P80</f>
        <v>5.8870051917735776E-2</v>
      </c>
      <c r="L12" s="109"/>
      <c r="M12" s="109"/>
      <c r="N12" s="109"/>
      <c r="O12" s="109"/>
      <c r="P12" s="109"/>
      <c r="Q12" s="109"/>
      <c r="R12" s="81"/>
    </row>
    <row r="13" spans="2:18">
      <c r="B13" s="80"/>
      <c r="C13" s="109"/>
      <c r="D13" s="109"/>
      <c r="E13" s="109"/>
      <c r="F13" s="109"/>
      <c r="G13" s="109"/>
      <c r="H13" s="109"/>
      <c r="I13" s="109"/>
      <c r="J13" s="109"/>
      <c r="K13" s="173">
        <f>+'[2]Bal Fe Tot'!Q80</f>
        <v>43883.848600311729</v>
      </c>
      <c r="L13" s="109"/>
      <c r="M13" s="109"/>
      <c r="N13" s="109"/>
      <c r="O13" s="109"/>
      <c r="P13" s="109"/>
      <c r="Q13" s="109"/>
      <c r="R13" s="81"/>
    </row>
    <row r="14" spans="2:18">
      <c r="B14" s="80"/>
      <c r="C14" s="109"/>
      <c r="D14" s="109"/>
      <c r="E14" s="109"/>
      <c r="F14" s="109"/>
      <c r="G14" s="109"/>
      <c r="H14" s="109"/>
      <c r="I14" s="109"/>
      <c r="J14" s="109"/>
      <c r="K14" s="109"/>
      <c r="L14" s="109"/>
      <c r="M14" s="109"/>
      <c r="N14" s="109"/>
      <c r="O14" s="109"/>
      <c r="P14" s="109"/>
      <c r="Q14" s="109"/>
      <c r="R14" s="178">
        <f>+L9+L17+L28+L35+L42</f>
        <v>3003000.1751358854</v>
      </c>
    </row>
    <row r="15" spans="2:18">
      <c r="B15" s="80"/>
      <c r="C15" s="109"/>
      <c r="D15" s="109"/>
      <c r="E15" s="109"/>
      <c r="F15" s="109"/>
      <c r="G15" s="109"/>
      <c r="H15" s="109"/>
      <c r="I15" s="109"/>
      <c r="J15" s="109"/>
      <c r="K15" s="109"/>
      <c r="L15" s="109"/>
      <c r="M15" s="109"/>
      <c r="N15" s="109"/>
      <c r="O15" s="109"/>
      <c r="P15" s="109"/>
      <c r="Q15" s="109"/>
      <c r="R15" s="179">
        <f>+IF(R14&lt;&gt;0,(L9*L10+L17*L18+L28*L29+L35*L36+L42*L43)/R14,0)</f>
        <v>0.30038754419420371</v>
      </c>
    </row>
    <row r="16" spans="2:18">
      <c r="B16" s="80"/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09"/>
      <c r="P16" s="109"/>
      <c r="Q16" s="109"/>
      <c r="R16" s="180">
        <f>+L11+L19+L30+L37+L44</f>
        <v>902063.8478238323</v>
      </c>
    </row>
    <row r="17" spans="2:18">
      <c r="B17" s="80"/>
      <c r="C17" s="109"/>
      <c r="D17" s="109"/>
      <c r="E17" s="109"/>
      <c r="F17" s="109"/>
      <c r="G17" s="109"/>
      <c r="H17" s="109"/>
      <c r="I17" s="109"/>
      <c r="J17" s="109"/>
      <c r="K17" s="109"/>
      <c r="L17" s="171">
        <f>+'[2]Bal Fe Tot'!O81</f>
        <v>560619.59942042874</v>
      </c>
      <c r="M17" s="109"/>
      <c r="N17" s="109"/>
      <c r="O17" s="109"/>
      <c r="P17" s="109"/>
      <c r="Q17" s="109"/>
      <c r="R17" s="81"/>
    </row>
    <row r="18" spans="2:18">
      <c r="B18" s="80"/>
      <c r="C18" s="109"/>
      <c r="D18" s="109"/>
      <c r="E18" s="109"/>
      <c r="F18" s="109"/>
      <c r="G18" s="109"/>
      <c r="H18" s="109"/>
      <c r="I18" s="109"/>
      <c r="J18" s="109"/>
      <c r="K18" s="171">
        <f>+'[2]Bal Fe Tot'!O82</f>
        <v>131707.02285804838</v>
      </c>
      <c r="L18" s="172">
        <f>+'[2]Bal Fe Tot'!P81</f>
        <v>0.29415474458592822</v>
      </c>
      <c r="M18" s="109"/>
      <c r="N18" s="109"/>
      <c r="O18" s="109"/>
      <c r="P18" s="109"/>
      <c r="Q18" s="109"/>
      <c r="R18" s="81"/>
    </row>
    <row r="19" spans="2:18">
      <c r="B19" s="80"/>
      <c r="C19" s="109"/>
      <c r="D19" s="109"/>
      <c r="E19" s="109"/>
      <c r="F19" s="109"/>
      <c r="G19" s="109"/>
      <c r="H19" s="109"/>
      <c r="I19" s="109"/>
      <c r="J19" s="109"/>
      <c r="K19" s="172">
        <f>+'[2]Bal Fe Tot'!P82</f>
        <v>6.3753470010810262E-2</v>
      </c>
      <c r="L19" s="173">
        <f>+'[2]Bal Fe Tot'!Q81</f>
        <v>164908.91507738162</v>
      </c>
      <c r="M19" s="109"/>
      <c r="N19" s="109"/>
      <c r="O19" s="109"/>
      <c r="P19" s="109"/>
      <c r="Q19" s="109"/>
      <c r="R19" s="81"/>
    </row>
    <row r="20" spans="2:18">
      <c r="B20" s="80"/>
      <c r="C20" s="174">
        <f>+'[2]Bal Fe Tot'!O54</f>
        <v>9411.1039999999994</v>
      </c>
      <c r="D20" s="109"/>
      <c r="E20" s="109"/>
      <c r="F20" s="109"/>
      <c r="G20" s="109"/>
      <c r="H20" s="109"/>
      <c r="I20" s="109"/>
      <c r="J20" s="109"/>
      <c r="K20" s="173">
        <f>+'[2]Bal Fe Tot'!Q82</f>
        <v>8396.779731993689</v>
      </c>
      <c r="L20" s="109"/>
      <c r="M20" s="109"/>
      <c r="N20" s="109"/>
      <c r="O20" s="109"/>
      <c r="P20" s="109"/>
      <c r="Q20" s="109"/>
      <c r="R20" s="81"/>
    </row>
    <row r="21" spans="2:18">
      <c r="B21" s="80"/>
      <c r="C21" s="175">
        <f>+'[2]Bal Fe Tot'!P54</f>
        <v>0.59446693696114739</v>
      </c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09"/>
      <c r="R21" s="81"/>
    </row>
    <row r="22" spans="2:18">
      <c r="B22" s="80"/>
      <c r="C22" s="176">
        <f>+'[2]Bal Fe Tot'!Q54</f>
        <v>5594.5901683028014</v>
      </c>
      <c r="D22" s="109"/>
      <c r="E22" s="109"/>
      <c r="F22" s="171">
        <f>+'[2]Bal Fe Tot'!O56</f>
        <v>6331.2064022236336</v>
      </c>
      <c r="G22" s="109"/>
      <c r="H22" s="109"/>
      <c r="I22" s="109"/>
      <c r="J22" s="109"/>
      <c r="K22" s="109"/>
      <c r="L22" s="109"/>
      <c r="M22" s="109"/>
      <c r="N22" s="109"/>
      <c r="O22" s="109"/>
      <c r="P22" s="109"/>
      <c r="Q22" s="109"/>
      <c r="R22" s="81"/>
    </row>
    <row r="23" spans="2:18">
      <c r="B23" s="80"/>
      <c r="C23" s="109"/>
      <c r="D23" s="109"/>
      <c r="E23" s="177">
        <f>+'[2]Bal Fe Tot'!O55*'[2]Bal Fe Tot'!J55</f>
        <v>0</v>
      </c>
      <c r="F23" s="172">
        <f>+'[2]Bal Fe Tot'!P56</f>
        <v>0.42946989250089573</v>
      </c>
      <c r="G23" s="109"/>
      <c r="H23" s="181">
        <f>+'[2]Bal Fe Tot'!O84</f>
        <v>0</v>
      </c>
      <c r="I23" s="109"/>
      <c r="J23" s="109"/>
      <c r="K23" s="171" t="str">
        <f>+'[2]Bal Fe Tot'!S100</f>
        <v>TMS</v>
      </c>
      <c r="L23" s="109"/>
      <c r="M23" s="109"/>
      <c r="N23" s="109"/>
      <c r="O23" s="109"/>
      <c r="P23" s="109"/>
      <c r="Q23" s="109"/>
      <c r="R23" s="81"/>
    </row>
    <row r="24" spans="2:18">
      <c r="B24" s="80"/>
      <c r="C24" s="109"/>
      <c r="D24" s="109"/>
      <c r="E24" s="173">
        <f>+'[2]Bal Fe Tot'!Q55*'[2]Bal Fe Tot'!J55</f>
        <v>0</v>
      </c>
      <c r="F24" s="173">
        <f>+'[2]Bal Fe Tot'!Q56</f>
        <v>2719.062532963967</v>
      </c>
      <c r="G24" s="109"/>
      <c r="H24" s="182">
        <f>+'[2]Bal Fe Tot'!P84</f>
        <v>0</v>
      </c>
      <c r="I24" s="109"/>
      <c r="J24" s="109"/>
      <c r="K24" s="172" t="str">
        <f>+'[2]Bal Fe Tot'!T100</f>
        <v>%FeT</v>
      </c>
      <c r="L24" s="109"/>
      <c r="M24" s="109"/>
      <c r="N24" s="109"/>
      <c r="O24" s="109"/>
      <c r="P24" s="109"/>
      <c r="Q24" s="109"/>
      <c r="R24" s="81"/>
    </row>
    <row r="25" spans="2:18">
      <c r="B25" s="80"/>
      <c r="C25" s="109"/>
      <c r="D25" s="109"/>
      <c r="E25" s="109"/>
      <c r="F25" s="109"/>
      <c r="G25" s="109"/>
      <c r="H25" s="183">
        <f>+'[2]Bal Fe Tot'!Q84</f>
        <v>0</v>
      </c>
      <c r="I25" s="109"/>
      <c r="J25" s="109"/>
      <c r="K25" s="173" t="str">
        <f>+'[2]Bal Fe Tot'!U100</f>
        <v>TMF FeT</v>
      </c>
      <c r="L25" s="109"/>
      <c r="M25" s="109"/>
      <c r="N25" s="109"/>
      <c r="O25" s="109"/>
      <c r="P25" s="109"/>
      <c r="Q25" s="109"/>
      <c r="R25" s="81"/>
    </row>
    <row r="26" spans="2:18">
      <c r="B26" s="80"/>
      <c r="C26" s="109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09"/>
      <c r="O26" s="109"/>
      <c r="P26" s="109"/>
      <c r="Q26" s="109"/>
      <c r="R26" s="81"/>
    </row>
    <row r="27" spans="2:18">
      <c r="B27" s="80"/>
      <c r="C27" s="109"/>
      <c r="D27" s="109"/>
      <c r="E27" s="109"/>
      <c r="F27" s="109"/>
      <c r="G27" s="109"/>
      <c r="H27" s="109"/>
      <c r="I27" s="109"/>
      <c r="J27" s="109"/>
      <c r="K27" s="109"/>
      <c r="L27" s="109"/>
      <c r="M27" s="109"/>
      <c r="N27" s="109"/>
      <c r="O27" s="109"/>
      <c r="P27" s="109"/>
      <c r="Q27" s="109"/>
      <c r="R27" s="81"/>
    </row>
    <row r="28" spans="2:18">
      <c r="B28" s="80"/>
      <c r="C28" s="109"/>
      <c r="D28" s="109"/>
      <c r="E28" s="109"/>
      <c r="F28" s="109"/>
      <c r="G28" s="109"/>
      <c r="H28" s="109"/>
      <c r="I28" s="109"/>
      <c r="J28" s="109"/>
      <c r="K28" s="109"/>
      <c r="L28" s="171">
        <f>+'[2]Bal Fe Tot'!O86</f>
        <v>485237.53325873724</v>
      </c>
      <c r="M28" s="109"/>
      <c r="N28" s="109"/>
      <c r="O28" s="109"/>
      <c r="P28" s="109"/>
      <c r="Q28" s="109"/>
      <c r="R28" s="81"/>
    </row>
    <row r="29" spans="2:18">
      <c r="B29" s="80"/>
      <c r="C29" s="109"/>
      <c r="D29" s="109"/>
      <c r="E29" s="109"/>
      <c r="F29" s="109"/>
      <c r="G29" s="109"/>
      <c r="H29" s="109"/>
      <c r="I29" s="109"/>
      <c r="J29" s="109"/>
      <c r="K29" s="109"/>
      <c r="L29" s="172">
        <f>+'[2]Bal Fe Tot'!P86</f>
        <v>0.37717076300893287</v>
      </c>
      <c r="M29" s="109"/>
      <c r="N29" s="109"/>
      <c r="O29" s="109"/>
      <c r="P29" s="109"/>
      <c r="Q29" s="109"/>
      <c r="R29" s="81"/>
    </row>
    <row r="30" spans="2:18">
      <c r="B30" s="80"/>
      <c r="C30" s="174">
        <f>+'[2]Bal Fe Tot'!O57</f>
        <v>11278.14518105483</v>
      </c>
      <c r="D30" s="109"/>
      <c r="E30" s="109"/>
      <c r="F30" s="109"/>
      <c r="G30" s="109"/>
      <c r="H30" s="109"/>
      <c r="I30" s="109"/>
      <c r="J30" s="109"/>
      <c r="K30" s="171">
        <f>+'[2]Bal Fe Tot'!O87</f>
        <v>120122.59998160222</v>
      </c>
      <c r="L30" s="173">
        <f>+'[2]Bal Fe Tot'!Q86</f>
        <v>183017.41065977036</v>
      </c>
      <c r="M30" s="109"/>
      <c r="N30" s="109"/>
      <c r="O30" s="109"/>
      <c r="P30" s="109"/>
      <c r="Q30" s="109"/>
      <c r="R30" s="81"/>
    </row>
    <row r="31" spans="2:18">
      <c r="B31" s="80"/>
      <c r="C31" s="175">
        <f>+'[2]Bal Fe Tot'!P57</f>
        <v>0.42961402924434744</v>
      </c>
      <c r="D31" s="109"/>
      <c r="E31" s="109"/>
      <c r="F31" s="109"/>
      <c r="G31" s="109"/>
      <c r="H31" s="109"/>
      <c r="I31" s="109"/>
      <c r="J31" s="109"/>
      <c r="K31" s="172">
        <f>+'[2]Bal Fe Tot'!P87</f>
        <v>5.9027619443946258E-2</v>
      </c>
      <c r="L31" s="109"/>
      <c r="M31" s="109"/>
      <c r="N31" s="109"/>
      <c r="O31" s="109"/>
      <c r="P31" s="109"/>
      <c r="Q31" s="109"/>
      <c r="R31" s="81"/>
    </row>
    <row r="32" spans="2:18">
      <c r="B32" s="80"/>
      <c r="C32" s="176">
        <f>+'[2]Bal Fe Tot'!Q57</f>
        <v>4845.2493936356859</v>
      </c>
      <c r="D32" s="109"/>
      <c r="E32" s="109"/>
      <c r="F32" s="171">
        <f>+'[2]Bal Fe Tot'!O59</f>
        <v>17272.342980199999</v>
      </c>
      <c r="G32" s="109"/>
      <c r="H32" s="109"/>
      <c r="I32" s="109"/>
      <c r="J32" s="109"/>
      <c r="K32" s="173">
        <f>+'[2]Bal Fe Tot'!Q87</f>
        <v>7090.551118331402</v>
      </c>
      <c r="L32" s="109"/>
      <c r="M32" s="109"/>
      <c r="N32" s="109"/>
      <c r="O32" s="109"/>
      <c r="P32" s="109"/>
      <c r="Q32" s="109"/>
      <c r="R32" s="81"/>
    </row>
    <row r="33" spans="2:18">
      <c r="B33" s="80"/>
      <c r="C33" s="109"/>
      <c r="D33" s="109"/>
      <c r="E33" s="177">
        <f>+'[2]Bal Fe Tot'!O58*'[2]Bal Fe Tot'!J58</f>
        <v>0</v>
      </c>
      <c r="F33" s="172">
        <f>+'[2]Bal Fe Tot'!P59</f>
        <v>0.44667881855571506</v>
      </c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81"/>
    </row>
    <row r="34" spans="2:18">
      <c r="B34" s="80"/>
      <c r="C34" s="109"/>
      <c r="D34" s="109"/>
      <c r="E34" s="173">
        <f>+'[2]Bal Fe Tot'!Q58*'[2]Bal Fe Tot'!J58</f>
        <v>0</v>
      </c>
      <c r="F34" s="173">
        <f>+'[2]Bal Fe Tot'!Q59</f>
        <v>7715.1897560848338</v>
      </c>
      <c r="G34" s="109"/>
      <c r="H34" s="109"/>
      <c r="I34" s="109"/>
      <c r="J34" s="109"/>
      <c r="K34" s="109"/>
      <c r="L34" s="109"/>
      <c r="M34" s="109"/>
      <c r="N34" s="109"/>
      <c r="O34" s="109"/>
      <c r="P34" s="109"/>
      <c r="Q34" s="109"/>
      <c r="R34" s="81"/>
    </row>
    <row r="35" spans="2:18">
      <c r="B35" s="80"/>
      <c r="C35" s="109"/>
      <c r="D35" s="109"/>
      <c r="E35" s="109"/>
      <c r="F35" s="109"/>
      <c r="G35" s="109"/>
      <c r="H35" s="109"/>
      <c r="I35" s="109"/>
      <c r="J35" s="109"/>
      <c r="K35" s="109"/>
      <c r="L35" s="171">
        <f>+'[2]Bal Fe Tot'!O88</f>
        <v>365114.93327713502</v>
      </c>
      <c r="M35" s="109"/>
      <c r="N35" s="109"/>
      <c r="O35" s="109"/>
      <c r="P35" s="109"/>
      <c r="Q35" s="109"/>
      <c r="R35" s="81"/>
    </row>
    <row r="36" spans="2:18">
      <c r="B36" s="80"/>
      <c r="C36" s="109"/>
      <c r="D36" s="109"/>
      <c r="E36" s="109"/>
      <c r="F36" s="109"/>
      <c r="G36" s="109"/>
      <c r="H36" s="109"/>
      <c r="I36" s="109"/>
      <c r="J36" s="109"/>
      <c r="K36" s="109"/>
      <c r="L36" s="172">
        <f>+'[2]Bal Fe Tot'!P88</f>
        <v>0.48183967158607427</v>
      </c>
      <c r="M36" s="109"/>
      <c r="N36" s="109"/>
      <c r="O36" s="109"/>
      <c r="P36" s="109"/>
      <c r="Q36" s="109"/>
      <c r="R36" s="81"/>
    </row>
    <row r="37" spans="2:18">
      <c r="B37" s="80"/>
      <c r="C37" s="109"/>
      <c r="D37" s="109"/>
      <c r="E37" s="109"/>
      <c r="F37" s="109"/>
      <c r="G37" s="109"/>
      <c r="H37" s="109"/>
      <c r="I37" s="109"/>
      <c r="J37" s="109"/>
      <c r="K37" s="171">
        <f>+'[2]Bal Fe Tot'!O89</f>
        <v>79142.297460037342</v>
      </c>
      <c r="L37" s="173">
        <f>+'[2]Bal Fe Tot'!Q88</f>
        <v>175926.85954142615</v>
      </c>
      <c r="M37" s="109"/>
      <c r="N37" s="109"/>
      <c r="O37" s="109"/>
      <c r="P37" s="109"/>
      <c r="Q37" s="109"/>
      <c r="R37" s="81"/>
    </row>
    <row r="38" spans="2:18">
      <c r="B38" s="80"/>
      <c r="C38" s="109"/>
      <c r="D38" s="109"/>
      <c r="E38" s="109"/>
      <c r="F38" s="109"/>
      <c r="G38" s="109"/>
      <c r="H38" s="109"/>
      <c r="I38" s="109"/>
      <c r="J38" s="109"/>
      <c r="K38" s="172">
        <f>+'[2]Bal Fe Tot'!P89</f>
        <v>8.2243767021714709E-2</v>
      </c>
      <c r="L38" s="109"/>
      <c r="M38" s="109"/>
      <c r="N38" s="109"/>
      <c r="O38" s="109"/>
      <c r="P38" s="109"/>
      <c r="Q38" s="109"/>
      <c r="R38" s="81"/>
    </row>
    <row r="39" spans="2:18">
      <c r="B39" s="80"/>
      <c r="C39" s="109"/>
      <c r="D39" s="109"/>
      <c r="E39" s="109"/>
      <c r="F39" s="109"/>
      <c r="G39" s="109"/>
      <c r="H39" s="109"/>
      <c r="I39" s="109"/>
      <c r="J39" s="109"/>
      <c r="K39" s="173">
        <f>+'[2]Bal Fe Tot'!Q89</f>
        <v>6508.9606738665552</v>
      </c>
      <c r="L39" s="109"/>
      <c r="M39" s="109"/>
      <c r="N39" s="109"/>
      <c r="O39" s="109"/>
      <c r="P39" s="109"/>
      <c r="Q39" s="109"/>
      <c r="R39" s="81"/>
    </row>
    <row r="40" spans="2:18">
      <c r="B40" s="80"/>
      <c r="C40" s="174">
        <f>+'[2]Bal Fe Tot'!O60</f>
        <v>31427.427913200001</v>
      </c>
      <c r="D40" s="109"/>
      <c r="E40" s="109"/>
      <c r="F40" s="109"/>
      <c r="G40" s="109"/>
      <c r="H40" s="109"/>
      <c r="I40" s="109"/>
      <c r="J40" s="109"/>
      <c r="K40" s="109"/>
      <c r="L40" s="109"/>
      <c r="M40" s="109"/>
      <c r="N40" s="109"/>
      <c r="O40" s="109"/>
      <c r="P40" s="109"/>
      <c r="Q40" s="109"/>
      <c r="R40" s="81"/>
    </row>
    <row r="41" spans="2:18">
      <c r="B41" s="80"/>
      <c r="C41" s="175">
        <f>+'[2]Bal Fe Tot'!P60</f>
        <v>0.44716822598619738</v>
      </c>
      <c r="D41" s="109"/>
      <c r="E41" s="109"/>
      <c r="F41" s="109"/>
      <c r="G41" s="109"/>
      <c r="H41" s="109"/>
      <c r="I41" s="109"/>
      <c r="J41" s="109"/>
      <c r="K41" s="109"/>
      <c r="L41" s="109"/>
      <c r="M41" s="109"/>
      <c r="N41" s="109"/>
      <c r="O41" s="109"/>
      <c r="P41" s="109"/>
      <c r="Q41" s="109"/>
      <c r="R41" s="81"/>
    </row>
    <row r="42" spans="2:18">
      <c r="B42" s="80"/>
      <c r="C42" s="176">
        <f>+'[2]Bal Fe Tot'!Q60</f>
        <v>14053.347187254745</v>
      </c>
      <c r="D42" s="109"/>
      <c r="E42" s="109"/>
      <c r="F42" s="171">
        <f>+'[2]Bal Fe Tot'!O62</f>
        <v>0</v>
      </c>
      <c r="G42" s="109"/>
      <c r="H42" s="109"/>
      <c r="I42" s="109"/>
      <c r="J42" s="109"/>
      <c r="K42" s="109"/>
      <c r="L42" s="171">
        <f>+'[2]Bal Fe Tot'!O90</f>
        <v>285972.63581709767</v>
      </c>
      <c r="M42" s="109"/>
      <c r="N42" s="109"/>
      <c r="O42" s="109"/>
      <c r="P42" s="109"/>
      <c r="Q42" s="109"/>
      <c r="R42" s="81"/>
    </row>
    <row r="43" spans="2:18">
      <c r="B43" s="80"/>
      <c r="C43" s="109"/>
      <c r="D43" s="109"/>
      <c r="E43" s="177">
        <f>+'[2]Bal Fe Tot'!O61*'[2]Bal Fe Tot'!J61</f>
        <v>0</v>
      </c>
      <c r="F43" s="172">
        <f>+'[2]Bal Fe Tot'!P62</f>
        <v>0</v>
      </c>
      <c r="G43" s="109"/>
      <c r="H43" s="109"/>
      <c r="I43" s="109"/>
      <c r="J43" s="109"/>
      <c r="K43" s="109"/>
      <c r="L43" s="172">
        <f>+'[2]Bal Fe Tot'!P90</f>
        <v>0.59242695855668626</v>
      </c>
      <c r="M43" s="109"/>
      <c r="N43" s="109"/>
      <c r="O43" s="109"/>
      <c r="P43" s="109"/>
      <c r="Q43" s="109"/>
      <c r="R43" s="81"/>
    </row>
    <row r="44" spans="2:18">
      <c r="B44" s="80"/>
      <c r="C44" s="109"/>
      <c r="D44" s="109"/>
      <c r="E44" s="173">
        <f>+'[2]Bal Fe Tot'!Q61*'[2]Bal Fe Tot'!J61</f>
        <v>0</v>
      </c>
      <c r="F44" s="173">
        <f>+'[2]Bal Fe Tot'!Q62</f>
        <v>0</v>
      </c>
      <c r="G44" s="109"/>
      <c r="H44" s="109"/>
      <c r="I44" s="171">
        <f>+'[2]Bal Fe Tot'!O92</f>
        <v>129612.17039575435</v>
      </c>
      <c r="J44" s="109"/>
      <c r="K44" s="171">
        <f>+'[2]Bal Fe Tot'!O91</f>
        <v>156923.6358170977</v>
      </c>
      <c r="L44" s="173">
        <f>+'[2]Bal Fe Tot'!Q90</f>
        <v>169417.89886756206</v>
      </c>
      <c r="M44" s="109"/>
      <c r="N44" s="109"/>
      <c r="O44" s="109"/>
      <c r="P44" s="109"/>
      <c r="Q44" s="109"/>
      <c r="R44" s="81"/>
    </row>
    <row r="45" spans="2:18">
      <c r="B45" s="80"/>
      <c r="C45" s="109"/>
      <c r="D45" s="109"/>
      <c r="E45" s="109"/>
      <c r="F45" s="109"/>
      <c r="G45" s="109"/>
      <c r="H45" s="109"/>
      <c r="I45" s="172">
        <f>+'[2]Bal Fe Tot'!P92</f>
        <v>0.64655244164111236</v>
      </c>
      <c r="J45" s="109"/>
      <c r="K45" s="172">
        <f>+'[2]Bal Fe Tot'!P91</f>
        <v>0.54738335382242032</v>
      </c>
      <c r="L45" s="109"/>
      <c r="M45" s="109"/>
      <c r="N45" s="109"/>
      <c r="O45" s="109"/>
      <c r="P45" s="109"/>
      <c r="Q45" s="109"/>
      <c r="R45" s="81"/>
    </row>
    <row r="46" spans="2:18">
      <c r="B46" s="80"/>
      <c r="C46" s="109"/>
      <c r="D46" s="109"/>
      <c r="E46" s="109"/>
      <c r="F46" s="109"/>
      <c r="G46" s="109"/>
      <c r="H46" s="109"/>
      <c r="I46" s="173">
        <f>+'[2]Bal Fe Tot'!Q92</f>
        <v>83801.065235778879</v>
      </c>
      <c r="J46" s="109"/>
      <c r="K46" s="173">
        <f>+'[2]Bal Fe Tot'!Q91</f>
        <v>85897.386067571017</v>
      </c>
      <c r="L46" s="109"/>
      <c r="M46" s="109"/>
      <c r="N46" s="109"/>
      <c r="O46" s="109"/>
      <c r="P46" s="109"/>
      <c r="Q46" s="109"/>
      <c r="R46" s="81"/>
    </row>
    <row r="47" spans="2:18">
      <c r="B47" s="80"/>
      <c r="C47" s="109"/>
      <c r="D47" s="109"/>
      <c r="E47" s="109"/>
      <c r="F47" s="109"/>
      <c r="G47" s="109"/>
      <c r="H47" s="109"/>
      <c r="I47" s="109"/>
      <c r="J47" s="109"/>
      <c r="K47" s="109"/>
      <c r="L47" s="109"/>
      <c r="M47" s="109"/>
      <c r="N47" s="109"/>
      <c r="O47" s="109"/>
      <c r="P47" s="109"/>
      <c r="Q47" s="109"/>
      <c r="R47" s="81"/>
    </row>
    <row r="48" spans="2:18">
      <c r="B48" s="80"/>
      <c r="C48" s="109"/>
      <c r="D48" s="109"/>
      <c r="E48" s="109"/>
      <c r="F48" s="109"/>
      <c r="G48" s="109"/>
      <c r="H48" s="109"/>
      <c r="I48" s="109"/>
      <c r="J48" s="109"/>
      <c r="K48" s="109"/>
      <c r="L48" s="109"/>
      <c r="M48" s="109"/>
      <c r="N48" s="109"/>
      <c r="O48" s="109"/>
      <c r="P48" s="109"/>
      <c r="Q48" s="109"/>
      <c r="R48" s="81"/>
    </row>
    <row r="49" spans="2:18">
      <c r="B49" s="80"/>
      <c r="C49" s="109"/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81"/>
    </row>
    <row r="50" spans="2:18">
      <c r="B50" s="80"/>
      <c r="C50" s="174">
        <f>+'[2]Bal Fe Tot'!O63</f>
        <v>0</v>
      </c>
      <c r="D50" s="109"/>
      <c r="E50" s="109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09"/>
      <c r="Q50" s="109"/>
      <c r="R50" s="81"/>
    </row>
    <row r="51" spans="2:18">
      <c r="B51" s="80"/>
      <c r="C51" s="175">
        <f>+'[2]Bal Fe Tot'!P63</f>
        <v>0</v>
      </c>
      <c r="D51" s="109"/>
      <c r="E51" s="109"/>
      <c r="F51" s="109"/>
      <c r="G51" s="109"/>
      <c r="H51" s="109"/>
      <c r="I51" s="109"/>
      <c r="J51" s="109"/>
      <c r="K51" s="109"/>
      <c r="L51" s="109"/>
      <c r="M51" s="109"/>
      <c r="N51" s="109"/>
      <c r="O51" s="109"/>
      <c r="P51" s="109"/>
      <c r="Q51" s="109"/>
      <c r="R51" s="81"/>
    </row>
    <row r="52" spans="2:18">
      <c r="B52" s="80"/>
      <c r="C52" s="176">
        <f>+'[2]Bal Fe Tot'!Q63</f>
        <v>0</v>
      </c>
      <c r="D52" s="109"/>
      <c r="E52" s="109"/>
      <c r="F52" s="171">
        <f>+'[2]Bal Fe Tot'!O65</f>
        <v>0</v>
      </c>
      <c r="G52" s="109"/>
      <c r="H52" s="109"/>
      <c r="I52" s="109"/>
      <c r="J52" s="109"/>
      <c r="K52" s="109"/>
      <c r="L52" s="109"/>
      <c r="M52" s="109"/>
      <c r="N52" s="109"/>
      <c r="O52" s="109"/>
      <c r="P52" s="109"/>
      <c r="Q52" s="109"/>
      <c r="R52" s="81"/>
    </row>
    <row r="53" spans="2:18">
      <c r="B53" s="80"/>
      <c r="C53" s="109"/>
      <c r="D53" s="109"/>
      <c r="E53" s="177">
        <f>+'[2]Bal Fe Tot'!O64*'[2]Bal Fe Tot'!J64</f>
        <v>0</v>
      </c>
      <c r="F53" s="172">
        <f>+'[2]Bal Fe Tot'!P65</f>
        <v>0</v>
      </c>
      <c r="G53" s="109"/>
      <c r="H53" s="171">
        <f>+'[2]Bal Fe Tot'!O77</f>
        <v>0</v>
      </c>
      <c r="I53" s="109"/>
      <c r="J53" s="171">
        <f>+'[2]Bal Fe Tot'!O75</f>
        <v>2943.462314076693</v>
      </c>
      <c r="K53" s="109"/>
      <c r="L53" s="109"/>
      <c r="M53" s="109"/>
      <c r="N53" s="109"/>
      <c r="O53" s="109"/>
      <c r="P53" s="109"/>
      <c r="Q53" s="109"/>
      <c r="R53" s="81"/>
    </row>
    <row r="54" spans="2:18">
      <c r="B54" s="80"/>
      <c r="C54" s="109"/>
      <c r="D54" s="109"/>
      <c r="E54" s="173">
        <f>+'[2]Bal Fe Tot'!Q64*'[2]Bal Fe Tot'!J64</f>
        <v>0</v>
      </c>
      <c r="F54" s="173">
        <f>+'[2]Bal Fe Tot'!Q65</f>
        <v>0</v>
      </c>
      <c r="G54" s="109"/>
      <c r="H54" s="172">
        <f>+'[2]Bal Fe Tot'!P77</f>
        <v>0</v>
      </c>
      <c r="I54" s="109"/>
      <c r="J54" s="172">
        <f>+'[2]Bal Fe Tot'!P75</f>
        <v>0.50684853883107817</v>
      </c>
      <c r="K54" s="109"/>
      <c r="L54" s="109"/>
      <c r="M54" s="109"/>
      <c r="N54" s="109"/>
      <c r="O54" s="109"/>
      <c r="P54" s="109"/>
      <c r="Q54" s="109"/>
      <c r="R54" s="81"/>
    </row>
    <row r="55" spans="2:18">
      <c r="B55" s="80"/>
      <c r="C55" s="109"/>
      <c r="D55" s="109"/>
      <c r="E55" s="109"/>
      <c r="F55" s="109"/>
      <c r="G55" s="109"/>
      <c r="H55" s="173">
        <f>+'[2]Bal Fe Tot'!Q77</f>
        <v>0</v>
      </c>
      <c r="I55" s="109"/>
      <c r="J55" s="173">
        <f>+'[2]Bal Fe Tot'!Q75</f>
        <v>1491.889572994116</v>
      </c>
      <c r="K55" s="109"/>
      <c r="L55" s="109"/>
      <c r="M55" s="109"/>
      <c r="N55" s="109"/>
      <c r="O55" s="109"/>
      <c r="P55" s="109"/>
      <c r="Q55" s="109"/>
      <c r="R55" s="81"/>
    </row>
    <row r="56" spans="2:18">
      <c r="B56" s="80"/>
      <c r="C56" s="109"/>
      <c r="D56" s="109"/>
      <c r="E56" s="109"/>
      <c r="F56" s="109"/>
      <c r="G56" s="109"/>
      <c r="H56" s="109"/>
      <c r="I56" s="109"/>
      <c r="J56" s="109"/>
      <c r="K56" s="109"/>
      <c r="L56" s="109"/>
      <c r="M56" s="109"/>
      <c r="N56" s="109"/>
      <c r="O56" s="109"/>
      <c r="P56" s="109"/>
      <c r="Q56" s="109"/>
      <c r="R56" s="81"/>
    </row>
    <row r="57" spans="2:18">
      <c r="B57" s="80"/>
      <c r="C57" s="109"/>
      <c r="D57" s="109" t="s">
        <v>151</v>
      </c>
      <c r="E57" s="109"/>
      <c r="F57" s="109"/>
      <c r="G57" s="109"/>
      <c r="H57" s="109"/>
      <c r="I57" s="109"/>
      <c r="J57" s="109"/>
      <c r="K57" s="109"/>
      <c r="L57" s="109"/>
      <c r="M57" s="109"/>
      <c r="N57" s="109"/>
      <c r="O57" s="109"/>
      <c r="P57" s="109"/>
      <c r="Q57" s="109"/>
      <c r="R57" s="81"/>
    </row>
    <row r="58" spans="2:18">
      <c r="B58" s="80"/>
      <c r="C58" s="174">
        <f>+'[2]Bal Fe Tot'!O66</f>
        <v>0</v>
      </c>
      <c r="D58" s="109"/>
      <c r="E58" s="109"/>
      <c r="F58" s="109"/>
      <c r="G58" s="109"/>
      <c r="H58" s="109"/>
      <c r="I58" s="109"/>
      <c r="J58" s="109"/>
      <c r="K58" s="109"/>
      <c r="L58" s="109" t="s">
        <v>152</v>
      </c>
      <c r="M58" s="109"/>
      <c r="N58" s="109"/>
      <c r="O58" s="109"/>
      <c r="P58" s="109"/>
      <c r="Q58" s="109"/>
      <c r="R58" s="81"/>
    </row>
    <row r="59" spans="2:18">
      <c r="B59" s="80"/>
      <c r="C59" s="175">
        <f>+'[2]Bal Fe Tot'!P68</f>
        <v>0.4112671097311294</v>
      </c>
      <c r="D59" s="109"/>
      <c r="E59" s="109"/>
      <c r="F59" s="171">
        <f>+'[2]Bal Fe Tot'!O68</f>
        <v>1182.8172880254308</v>
      </c>
      <c r="G59" s="109"/>
      <c r="H59" s="109"/>
      <c r="I59" s="109"/>
      <c r="J59" s="109"/>
      <c r="K59" s="109"/>
      <c r="L59" s="171">
        <f>+'[2]Bal Fe Tot'!O94</f>
        <v>0</v>
      </c>
      <c r="M59" s="109"/>
      <c r="N59" s="109"/>
      <c r="O59" s="109"/>
      <c r="P59" s="109"/>
      <c r="Q59" s="109"/>
      <c r="R59" s="81"/>
    </row>
    <row r="60" spans="2:18">
      <c r="B60" s="80"/>
      <c r="C60" s="176">
        <f>+'[2]Bal Fe Tot'!Q66</f>
        <v>0</v>
      </c>
      <c r="D60" s="109"/>
      <c r="E60" s="177">
        <f>+'[2]Bal Fe Tot'!O67*'[2]Bal Fe Tot'!J67</f>
        <v>0</v>
      </c>
      <c r="F60" s="172">
        <f>+'[2]Bal Fe Tot'!P68</f>
        <v>0.4112671097311294</v>
      </c>
      <c r="G60" s="109"/>
      <c r="H60" s="177">
        <f>+'[2]Bal Fe Tot'!O76*'[2]Bal Fe Tot'!J76</f>
        <v>0</v>
      </c>
      <c r="I60" s="109"/>
      <c r="J60" s="109"/>
      <c r="K60" s="109"/>
      <c r="L60" s="172">
        <f>+'[2]Bal Fe Tot'!P94</f>
        <v>0</v>
      </c>
      <c r="M60" s="109"/>
      <c r="N60" s="109"/>
      <c r="O60" s="109"/>
      <c r="P60" s="109"/>
      <c r="Q60" s="109"/>
      <c r="R60" s="81"/>
    </row>
    <row r="61" spans="2:18">
      <c r="B61" s="80"/>
      <c r="C61" s="109"/>
      <c r="D61" s="109"/>
      <c r="E61" s="173">
        <f>+'[2]Bal Fe Tot'!Q67*'[2]Bal Fe Tot'!J67</f>
        <v>0</v>
      </c>
      <c r="F61" s="173">
        <f>+'[2]Bal Fe Tot'!Q68</f>
        <v>486.45384738623176</v>
      </c>
      <c r="G61" s="109"/>
      <c r="H61" s="173">
        <f>+'[2]Bal Fe Tot'!Q76*'[2]Bal Fe Tot'!J76</f>
        <v>0</v>
      </c>
      <c r="I61" s="109"/>
      <c r="J61" s="109"/>
      <c r="K61" s="109"/>
      <c r="L61" s="173">
        <f>+'[2]Bal Fe Tot'!Q94</f>
        <v>0</v>
      </c>
      <c r="M61" s="109"/>
      <c r="N61" s="109"/>
      <c r="O61" s="109"/>
      <c r="P61" s="109"/>
      <c r="Q61" s="109"/>
      <c r="R61" s="81"/>
    </row>
    <row r="62" spans="2:18">
      <c r="B62" s="80"/>
      <c r="C62" s="109"/>
      <c r="D62" s="109"/>
      <c r="E62" s="109"/>
      <c r="F62" s="109"/>
      <c r="G62" s="109"/>
      <c r="H62" s="109"/>
      <c r="I62" s="109"/>
      <c r="J62" s="109"/>
      <c r="K62" s="109"/>
      <c r="L62" s="173"/>
      <c r="M62" s="109"/>
      <c r="N62" s="109"/>
      <c r="O62" s="109"/>
      <c r="P62" s="109"/>
      <c r="Q62" s="109"/>
      <c r="R62" s="81"/>
    </row>
    <row r="63" spans="2:18">
      <c r="B63" s="80"/>
      <c r="C63" s="109"/>
      <c r="D63" s="109"/>
      <c r="E63" s="109"/>
      <c r="F63" s="109"/>
      <c r="G63" s="109"/>
      <c r="H63" s="109"/>
      <c r="I63" s="109"/>
      <c r="J63" s="109"/>
      <c r="K63" s="109"/>
      <c r="L63" s="173"/>
      <c r="M63" s="109"/>
      <c r="N63" s="109"/>
      <c r="O63" s="109"/>
      <c r="P63" s="109"/>
      <c r="Q63" s="109"/>
      <c r="R63" s="81"/>
    </row>
    <row r="64" spans="2:18">
      <c r="B64" s="80"/>
      <c r="C64" s="109"/>
      <c r="D64" s="109" t="s">
        <v>153</v>
      </c>
      <c r="E64" s="109"/>
      <c r="F64" s="109"/>
      <c r="G64" s="109"/>
      <c r="H64" s="109"/>
      <c r="I64" s="109"/>
      <c r="J64" s="109"/>
      <c r="K64" s="109"/>
      <c r="L64" s="173"/>
      <c r="M64" s="109"/>
      <c r="N64" s="109"/>
      <c r="O64" s="109"/>
      <c r="P64" s="109"/>
      <c r="Q64" s="109"/>
      <c r="R64" s="81"/>
    </row>
    <row r="65" spans="2:18">
      <c r="B65" s="80"/>
      <c r="C65" s="174">
        <f>+'[2]Bal Fe Tot'!O69</f>
        <v>1264.8172880254308</v>
      </c>
      <c r="D65" s="109"/>
      <c r="E65" s="109"/>
      <c r="F65" s="171">
        <f>+'[2]Bal Fe Tot'!O71</f>
        <v>4972.4866576199074</v>
      </c>
      <c r="G65" s="109"/>
      <c r="H65" s="109"/>
      <c r="I65" s="109"/>
      <c r="J65" s="109"/>
      <c r="K65" s="109"/>
      <c r="L65" s="173"/>
      <c r="M65" s="109"/>
      <c r="N65" s="109"/>
      <c r="O65" s="109"/>
      <c r="P65" s="109"/>
      <c r="Q65" s="109"/>
      <c r="R65" s="81"/>
    </row>
    <row r="66" spans="2:18">
      <c r="B66" s="80"/>
      <c r="C66" s="175">
        <f>+'[2]Bal Fe Tot'!P69</f>
        <v>0.41128390409413823</v>
      </c>
      <c r="D66" s="109"/>
      <c r="E66" s="109"/>
      <c r="F66" s="172">
        <f>+'[2]Bal Fe Tot'!P71</f>
        <v>0.50757757326909758</v>
      </c>
      <c r="G66" s="109"/>
      <c r="H66" s="109"/>
      <c r="I66" s="109"/>
      <c r="J66" s="109"/>
      <c r="K66" s="109"/>
      <c r="L66" s="173"/>
      <c r="M66" s="109"/>
      <c r="N66" s="109"/>
      <c r="O66" s="109"/>
      <c r="P66" s="109"/>
      <c r="Q66" s="109"/>
      <c r="R66" s="81"/>
    </row>
    <row r="67" spans="2:18">
      <c r="B67" s="80"/>
      <c r="C67" s="176">
        <f>+'[2]Bal Fe Tot'!Q69</f>
        <v>520.19899218485932</v>
      </c>
      <c r="D67" s="109"/>
      <c r="E67" s="109"/>
      <c r="F67" s="173">
        <f>+'[2]Bal Fe Tot'!Q71</f>
        <v>2523.9227107876786</v>
      </c>
      <c r="G67" s="109"/>
      <c r="H67" s="109"/>
      <c r="I67" s="109"/>
      <c r="J67" s="109"/>
      <c r="K67" s="109"/>
      <c r="L67" s="173"/>
      <c r="M67" s="109"/>
      <c r="N67" s="109"/>
      <c r="O67" s="109"/>
      <c r="P67" s="109"/>
      <c r="Q67" s="109"/>
      <c r="R67" s="81"/>
    </row>
    <row r="68" spans="2:18">
      <c r="B68" s="80"/>
      <c r="C68" s="109"/>
      <c r="D68" s="109"/>
      <c r="E68" s="177">
        <f>+'[2]Bal Fe Tot'!O70*'[2]Bal Fe Tot'!J70</f>
        <v>0</v>
      </c>
      <c r="F68" s="109"/>
      <c r="G68" s="109"/>
      <c r="H68" s="109"/>
      <c r="I68" s="109"/>
      <c r="J68" s="109"/>
      <c r="K68" s="109"/>
      <c r="L68" s="173"/>
      <c r="M68" s="109"/>
      <c r="N68" s="109"/>
      <c r="O68" s="109"/>
      <c r="P68" s="109"/>
      <c r="Q68" s="109"/>
      <c r="R68" s="81"/>
    </row>
    <row r="69" spans="2:18">
      <c r="B69" s="80"/>
      <c r="C69" s="109"/>
      <c r="D69" s="109"/>
      <c r="E69" s="173">
        <f>+'[2]Bal Fe Tot'!Q70*'[2]Bal Fe Tot'!J70</f>
        <v>0</v>
      </c>
      <c r="F69" s="109"/>
      <c r="G69" s="109"/>
      <c r="H69" s="109"/>
      <c r="I69" s="109"/>
      <c r="J69" s="109"/>
      <c r="K69" s="109"/>
      <c r="L69" s="173"/>
      <c r="M69" s="109"/>
      <c r="N69" s="109"/>
      <c r="O69" s="109"/>
      <c r="P69" s="109"/>
      <c r="Q69" s="109"/>
      <c r="R69" s="81"/>
    </row>
    <row r="70" spans="2:18">
      <c r="B70" s="80"/>
      <c r="C70" s="109"/>
      <c r="D70" s="109"/>
      <c r="E70" s="109"/>
      <c r="F70" s="109"/>
      <c r="G70" s="109"/>
      <c r="H70" s="109"/>
      <c r="I70" s="109"/>
      <c r="J70" s="109"/>
      <c r="K70" s="109"/>
      <c r="L70" s="173"/>
      <c r="M70" s="109"/>
      <c r="N70" s="109"/>
      <c r="O70" s="109"/>
      <c r="P70" s="109"/>
      <c r="Q70" s="109"/>
      <c r="R70" s="81"/>
    </row>
    <row r="71" spans="2:18">
      <c r="B71" s="80"/>
      <c r="C71" s="109"/>
      <c r="D71" s="109" t="s">
        <v>154</v>
      </c>
      <c r="E71" s="109"/>
      <c r="F71" s="109"/>
      <c r="G71" s="109"/>
      <c r="H71" s="109"/>
      <c r="I71" s="109"/>
      <c r="J71" s="109"/>
      <c r="K71" s="109"/>
      <c r="L71" s="173"/>
      <c r="M71" s="109"/>
      <c r="N71" s="109"/>
      <c r="O71" s="109"/>
      <c r="P71" s="109"/>
      <c r="Q71" s="109"/>
      <c r="R71" s="81"/>
    </row>
    <row r="72" spans="2:18">
      <c r="B72" s="80"/>
      <c r="C72" s="174">
        <f>+'[2]Bal Fe Tot'!O72</f>
        <v>0</v>
      </c>
      <c r="D72" s="109"/>
      <c r="E72" s="109"/>
      <c r="F72" s="171">
        <f>+'[2]Bal Fe Tot'!O74</f>
        <v>5651.121271066173</v>
      </c>
      <c r="G72" s="109"/>
      <c r="H72" s="109"/>
      <c r="I72" s="109"/>
      <c r="J72" s="109"/>
      <c r="K72" s="109"/>
      <c r="L72" s="173"/>
      <c r="M72" s="109"/>
      <c r="N72" s="109"/>
      <c r="O72" s="109"/>
      <c r="P72" s="109"/>
      <c r="Q72" s="109"/>
      <c r="R72" s="81"/>
    </row>
    <row r="73" spans="2:18">
      <c r="B73" s="80"/>
      <c r="C73" s="175">
        <f>+'[2]Bal Fe Tot'!P72</f>
        <v>0</v>
      </c>
      <c r="D73" s="109"/>
      <c r="E73" s="109"/>
      <c r="F73" s="172">
        <f>+'[2]Bal Fe Tot'!P74</f>
        <v>0.50872577900648142</v>
      </c>
      <c r="G73" s="109"/>
      <c r="H73" s="109"/>
      <c r="I73" s="109"/>
      <c r="J73" s="109"/>
      <c r="K73" s="109"/>
      <c r="L73" s="173"/>
      <c r="M73" s="109"/>
      <c r="N73" s="109"/>
      <c r="O73" s="109"/>
      <c r="P73" s="109"/>
      <c r="Q73" s="109"/>
      <c r="R73" s="81"/>
    </row>
    <row r="74" spans="2:18">
      <c r="B74" s="80"/>
      <c r="C74" s="176">
        <f>+'[2]Bal Fe Tot'!Q72</f>
        <v>0</v>
      </c>
      <c r="D74" s="109"/>
      <c r="E74" s="109"/>
      <c r="F74" s="173">
        <f>+'[2]Bal Fe Tot'!Q74</f>
        <v>2874.8710708832364</v>
      </c>
      <c r="G74" s="109"/>
      <c r="H74" s="109"/>
      <c r="I74" s="109"/>
      <c r="J74" s="109"/>
      <c r="K74" s="109"/>
      <c r="L74" s="173"/>
      <c r="M74" s="109"/>
      <c r="N74" s="109"/>
      <c r="O74" s="109"/>
      <c r="P74" s="109"/>
      <c r="Q74" s="109"/>
      <c r="R74" s="81"/>
    </row>
    <row r="75" spans="2:18">
      <c r="B75" s="80"/>
      <c r="C75" s="109"/>
      <c r="D75" s="109"/>
      <c r="E75" s="177">
        <f>+'[2]Bal Fe Tot'!O73*'[2]Bal Fe Tot'!J73</f>
        <v>0</v>
      </c>
      <c r="F75" s="109"/>
      <c r="G75" s="109"/>
      <c r="H75" s="109"/>
      <c r="I75" s="109"/>
      <c r="J75" s="109"/>
      <c r="K75" s="109"/>
      <c r="L75" s="173"/>
      <c r="M75" s="109"/>
      <c r="N75" s="109"/>
      <c r="O75" s="109"/>
      <c r="P75" s="109"/>
      <c r="Q75" s="109"/>
      <c r="R75" s="81"/>
    </row>
    <row r="76" spans="2:18">
      <c r="B76" s="80"/>
      <c r="C76" s="109"/>
      <c r="D76" s="109"/>
      <c r="E76" s="173">
        <f>+'[2]Bal Fe Tot'!Q73*'[2]Bal Fe Tot'!J73</f>
        <v>0</v>
      </c>
      <c r="F76" s="109"/>
      <c r="G76" s="109"/>
      <c r="H76" s="109"/>
      <c r="I76" s="109"/>
      <c r="J76" s="109"/>
      <c r="K76" s="109"/>
      <c r="L76" s="173"/>
      <c r="M76" s="109"/>
      <c r="N76" s="109"/>
      <c r="O76" s="109"/>
      <c r="P76" s="109"/>
      <c r="Q76" s="109"/>
      <c r="R76" s="81"/>
    </row>
    <row r="77" spans="2:18">
      <c r="B77" s="80"/>
      <c r="C77" s="109"/>
      <c r="D77" s="109"/>
      <c r="E77" s="109"/>
      <c r="F77" s="109"/>
      <c r="G77" s="109"/>
      <c r="H77" s="109"/>
      <c r="I77" s="109"/>
      <c r="J77" s="109"/>
      <c r="K77" s="109"/>
      <c r="L77" s="173"/>
      <c r="M77" s="109"/>
      <c r="N77" s="109"/>
      <c r="O77" s="109"/>
      <c r="P77" s="109"/>
      <c r="Q77" s="109"/>
      <c r="R77" s="81"/>
    </row>
    <row r="78" spans="2:18">
      <c r="B78" s="80"/>
      <c r="C78" s="109"/>
      <c r="D78" s="109"/>
      <c r="E78" s="109"/>
      <c r="F78" s="109"/>
      <c r="G78" s="109"/>
      <c r="H78" s="109"/>
      <c r="I78" s="109"/>
      <c r="J78" s="109"/>
      <c r="K78" s="109"/>
      <c r="L78" s="173"/>
      <c r="M78" s="109"/>
      <c r="N78" s="109"/>
      <c r="O78" s="109"/>
      <c r="P78" s="109"/>
      <c r="Q78" s="109"/>
      <c r="R78" s="81"/>
    </row>
    <row r="79" spans="2:18">
      <c r="B79" s="80"/>
      <c r="C79" s="109"/>
      <c r="D79" s="109"/>
      <c r="E79" s="109"/>
      <c r="F79" s="109"/>
      <c r="G79" s="109"/>
      <c r="H79" s="109"/>
      <c r="I79" s="109"/>
      <c r="J79" s="109"/>
      <c r="K79" s="109"/>
      <c r="L79" s="173"/>
      <c r="M79" s="109"/>
      <c r="N79" s="109"/>
      <c r="O79" s="109"/>
      <c r="P79" s="109"/>
      <c r="Q79" s="109"/>
      <c r="R79" s="81"/>
    </row>
    <row r="80" spans="2:18">
      <c r="B80" s="80"/>
      <c r="C80" s="109"/>
      <c r="D80" s="109"/>
      <c r="E80" s="109"/>
      <c r="F80" s="109"/>
      <c r="G80" s="109"/>
      <c r="H80" s="109"/>
      <c r="I80" s="109"/>
      <c r="J80" s="109"/>
      <c r="K80" s="109"/>
      <c r="L80" s="173"/>
      <c r="M80" s="109"/>
      <c r="N80" s="109"/>
      <c r="O80" s="109"/>
      <c r="P80" s="109"/>
      <c r="Q80" s="109"/>
      <c r="R80" s="81"/>
    </row>
    <row r="81" spans="2:18">
      <c r="B81" s="80"/>
      <c r="C81" s="109"/>
      <c r="D81" s="109"/>
      <c r="E81" s="109"/>
      <c r="F81" s="109"/>
      <c r="G81" s="109"/>
      <c r="H81" s="109"/>
      <c r="I81" s="109"/>
      <c r="J81" s="109"/>
      <c r="K81" s="109"/>
      <c r="L81" s="173"/>
      <c r="M81" s="109"/>
      <c r="N81" s="109"/>
      <c r="O81" s="109"/>
      <c r="P81" s="109"/>
      <c r="Q81" s="109"/>
      <c r="R81" s="81"/>
    </row>
  </sheetData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250B05DB-110D-424A-8761-79B8A820D7FE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E11</xm:sqref>
        </x14:conditionalFormatting>
        <x14:conditionalFormatting xmlns:xm="http://schemas.microsoft.com/office/excel/2006/main">
          <x14:cfRule type="iconSet" priority="17" id="{2D6C55E6-2F81-B24F-8BB2-6030A0F97E1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E23</xm:sqref>
        </x14:conditionalFormatting>
        <x14:conditionalFormatting xmlns:xm="http://schemas.microsoft.com/office/excel/2006/main">
          <x14:cfRule type="iconSet" priority="16" id="{D00FCC29-E62C-AE48-9852-4B85FBAC9C24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E33</xm:sqref>
        </x14:conditionalFormatting>
        <x14:conditionalFormatting xmlns:xm="http://schemas.microsoft.com/office/excel/2006/main">
          <x14:cfRule type="iconSet" priority="15" id="{7FEC6256-6DFA-4846-92B9-17923E983A1E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E43</xm:sqref>
        </x14:conditionalFormatting>
        <x14:conditionalFormatting xmlns:xm="http://schemas.microsoft.com/office/excel/2006/main">
          <x14:cfRule type="iconSet" priority="14" id="{95C9FAEE-F275-674E-AA56-88FDA3024CBD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E53</xm:sqref>
        </x14:conditionalFormatting>
        <x14:conditionalFormatting xmlns:xm="http://schemas.microsoft.com/office/excel/2006/main">
          <x14:cfRule type="iconSet" priority="13" id="{90B0F8A7-7720-F944-B13B-A7EFC4E021DB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E60</xm:sqref>
        </x14:conditionalFormatting>
        <x14:conditionalFormatting xmlns:xm="http://schemas.microsoft.com/office/excel/2006/main">
          <x14:cfRule type="iconSet" priority="12" id="{312F35EA-ABF3-D545-825D-860B546DEAEF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E68</xm:sqref>
        </x14:conditionalFormatting>
        <x14:conditionalFormatting xmlns:xm="http://schemas.microsoft.com/office/excel/2006/main">
          <x14:cfRule type="iconSet" priority="11" id="{BDBE31B3-6F00-3E4C-9243-257812556178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E69</xm:sqref>
        </x14:conditionalFormatting>
        <x14:conditionalFormatting xmlns:xm="http://schemas.microsoft.com/office/excel/2006/main">
          <x14:cfRule type="iconSet" priority="10" id="{DE646EA5-E3A1-B743-AF9A-A6BA3827994F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E61</xm:sqref>
        </x14:conditionalFormatting>
        <x14:conditionalFormatting xmlns:xm="http://schemas.microsoft.com/office/excel/2006/main">
          <x14:cfRule type="iconSet" priority="9" id="{707B9A77-21F0-2C4C-A30A-7D0915F82732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E54</xm:sqref>
        </x14:conditionalFormatting>
        <x14:conditionalFormatting xmlns:xm="http://schemas.microsoft.com/office/excel/2006/main">
          <x14:cfRule type="iconSet" priority="8" id="{C182A749-7C80-034F-91E7-CAA27EB3BCF1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E44</xm:sqref>
        </x14:conditionalFormatting>
        <x14:conditionalFormatting xmlns:xm="http://schemas.microsoft.com/office/excel/2006/main">
          <x14:cfRule type="iconSet" priority="7" id="{E8D60507-257E-3049-BDDE-91099D32BCCE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E34</xm:sqref>
        </x14:conditionalFormatting>
        <x14:conditionalFormatting xmlns:xm="http://schemas.microsoft.com/office/excel/2006/main">
          <x14:cfRule type="iconSet" priority="6" id="{8E5EA691-0425-5D45-B1E2-106E50E90053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E24</xm:sqref>
        </x14:conditionalFormatting>
        <x14:conditionalFormatting xmlns:xm="http://schemas.microsoft.com/office/excel/2006/main">
          <x14:cfRule type="iconSet" priority="5" id="{87D9CBD3-072F-6B42-A8A1-9A79E1B9C098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E75</xm:sqref>
        </x14:conditionalFormatting>
        <x14:conditionalFormatting xmlns:xm="http://schemas.microsoft.com/office/excel/2006/main">
          <x14:cfRule type="iconSet" priority="4" id="{24050A69-3CEE-1649-BF30-3BD2841A184B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E76</xm:sqref>
        </x14:conditionalFormatting>
        <x14:conditionalFormatting xmlns:xm="http://schemas.microsoft.com/office/excel/2006/main">
          <x14:cfRule type="iconSet" priority="3" id="{C029C63E-1AE3-244D-93D1-35438274D1AF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H60</xm:sqref>
        </x14:conditionalFormatting>
        <x14:conditionalFormatting xmlns:xm="http://schemas.microsoft.com/office/excel/2006/main">
          <x14:cfRule type="iconSet" priority="2" id="{8FBC7F77-904B-9441-AC3C-78DACC55A9E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H61</xm:sqref>
        </x14:conditionalFormatting>
        <x14:conditionalFormatting xmlns:xm="http://schemas.microsoft.com/office/excel/2006/main">
          <x14:cfRule type="iconSet" priority="1" id="{96702275-ED30-0B44-BD88-AA4CD8CC1739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E12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C31D6-3EA6-204D-8F01-DAF863F1F689}">
  <dimension ref="A1:H22"/>
  <sheetViews>
    <sheetView workbookViewId="0">
      <selection activeCell="H1" sqref="H1"/>
    </sheetView>
  </sheetViews>
  <sheetFormatPr baseColWidth="10" defaultRowHeight="15"/>
  <cols>
    <col min="1" max="1" width="35.6640625" customWidth="1"/>
    <col min="2" max="2" width="41.83203125" customWidth="1"/>
  </cols>
  <sheetData>
    <row r="1" spans="1:8">
      <c r="A1" s="97" t="s">
        <v>37</v>
      </c>
      <c r="B1" s="114">
        <v>109312.48730383393</v>
      </c>
      <c r="C1" s="98">
        <v>109312.48730383393</v>
      </c>
      <c r="D1" s="99">
        <v>109312.48730383393</v>
      </c>
      <c r="E1" s="100">
        <v>0.59119999999999995</v>
      </c>
      <c r="F1" s="101">
        <v>-1</v>
      </c>
      <c r="G1" s="97" t="s">
        <v>150</v>
      </c>
      <c r="H1" s="169">
        <v>112342.91404080391</v>
      </c>
    </row>
    <row r="2" spans="1:8">
      <c r="A2" s="97" t="s">
        <v>29</v>
      </c>
      <c r="B2" s="114">
        <v>-3395.5801243834312</v>
      </c>
      <c r="C2" s="98">
        <v>-3395.5801243834312</v>
      </c>
      <c r="D2" s="99">
        <v>3395.5801243834312</v>
      </c>
      <c r="E2" s="100">
        <v>0.59119999999999995</v>
      </c>
      <c r="F2" s="101">
        <v>1</v>
      </c>
      <c r="G2" s="97" t="s">
        <v>148</v>
      </c>
      <c r="H2" s="169"/>
    </row>
    <row r="3" spans="1:8">
      <c r="A3" s="97" t="s">
        <v>54</v>
      </c>
      <c r="B3" s="114">
        <v>-1650</v>
      </c>
      <c r="C3" s="98">
        <v>-1650</v>
      </c>
      <c r="D3" s="99">
        <v>1650</v>
      </c>
      <c r="E3" s="100">
        <v>0.68669999999999998</v>
      </c>
      <c r="F3" s="101">
        <v>1</v>
      </c>
      <c r="G3" s="97" t="s">
        <v>148</v>
      </c>
      <c r="H3" s="169"/>
    </row>
    <row r="4" spans="1:8">
      <c r="A4" s="97" t="s">
        <v>12</v>
      </c>
      <c r="B4" s="114">
        <v>0</v>
      </c>
      <c r="C4" s="98">
        <v>0</v>
      </c>
      <c r="D4" s="99">
        <v>0</v>
      </c>
      <c r="E4" s="100">
        <v>0</v>
      </c>
      <c r="F4" s="101">
        <v>0</v>
      </c>
      <c r="G4" s="97" t="s">
        <v>149</v>
      </c>
      <c r="H4" s="169">
        <v>0</v>
      </c>
    </row>
    <row r="5" spans="1:8">
      <c r="A5" s="97" t="s">
        <v>13</v>
      </c>
      <c r="B5" s="114">
        <v>-41637.600568826529</v>
      </c>
      <c r="C5" s="112">
        <v>-41637.600568826529</v>
      </c>
      <c r="D5" s="99">
        <v>41637.600568826529</v>
      </c>
      <c r="E5" s="100">
        <v>0.68669999999999998</v>
      </c>
      <c r="F5" s="101">
        <v>1</v>
      </c>
      <c r="G5" s="97" t="s">
        <v>148</v>
      </c>
      <c r="H5" s="169">
        <v>49107.945254445076</v>
      </c>
    </row>
    <row r="6" spans="1:8">
      <c r="A6" s="97" t="s">
        <v>65</v>
      </c>
      <c r="B6" s="114"/>
      <c r="C6" s="112">
        <v>0</v>
      </c>
      <c r="D6" s="99">
        <v>0</v>
      </c>
      <c r="E6" s="100">
        <v>0</v>
      </c>
      <c r="F6" s="101">
        <v>0</v>
      </c>
      <c r="G6" s="97" t="s">
        <v>149</v>
      </c>
      <c r="H6" s="169"/>
    </row>
    <row r="7" spans="1:8">
      <c r="A7" s="97" t="s">
        <v>68</v>
      </c>
      <c r="B7" s="114"/>
      <c r="C7" s="112">
        <v>0</v>
      </c>
      <c r="D7" s="99">
        <v>0</v>
      </c>
      <c r="E7" s="100">
        <v>0.57999999999999996</v>
      </c>
      <c r="F7" s="101">
        <v>0</v>
      </c>
      <c r="G7" s="97" t="s">
        <v>149</v>
      </c>
      <c r="H7" s="169"/>
    </row>
    <row r="8" spans="1:8">
      <c r="A8" s="97" t="s">
        <v>30</v>
      </c>
      <c r="B8" s="114">
        <v>0</v>
      </c>
      <c r="C8" s="112">
        <v>0</v>
      </c>
      <c r="D8" s="99">
        <v>0</v>
      </c>
      <c r="E8" s="113">
        <v>0</v>
      </c>
      <c r="F8" s="101">
        <v>0</v>
      </c>
      <c r="G8" s="97" t="s">
        <v>149</v>
      </c>
      <c r="H8" s="169">
        <v>0</v>
      </c>
    </row>
    <row r="9" spans="1:8">
      <c r="A9" s="97" t="s">
        <v>66</v>
      </c>
      <c r="B9" s="114">
        <v>1771.623147726059</v>
      </c>
      <c r="C9" s="112">
        <v>1771.623147726059</v>
      </c>
      <c r="D9" s="99">
        <v>1771.623147726059</v>
      </c>
      <c r="E9" s="100">
        <v>0.65690000000000004</v>
      </c>
      <c r="F9" s="101">
        <v>-1</v>
      </c>
      <c r="G9" s="97" t="s">
        <v>150</v>
      </c>
      <c r="H9" s="169">
        <v>51926.623147726059</v>
      </c>
    </row>
    <row r="10" spans="1:8">
      <c r="A10" s="97" t="s">
        <v>15</v>
      </c>
      <c r="B10" s="114">
        <v>-20312.061235234141</v>
      </c>
      <c r="C10" s="112">
        <v>-20312.061235234141</v>
      </c>
      <c r="D10" s="99">
        <v>20312.061235234141</v>
      </c>
      <c r="E10" s="100">
        <v>0.65402219625184299</v>
      </c>
      <c r="F10" s="101">
        <v>1</v>
      </c>
      <c r="G10" s="97" t="s">
        <v>148</v>
      </c>
      <c r="H10" s="169">
        <v>215678.86810529232</v>
      </c>
    </row>
    <row r="11" spans="1:8">
      <c r="A11" s="97" t="s">
        <v>14</v>
      </c>
      <c r="B11" s="114">
        <v>-38254.15964182467</v>
      </c>
      <c r="C11" s="112">
        <v>-38254.15964182467</v>
      </c>
      <c r="D11" s="99">
        <v>38254.15964182467</v>
      </c>
      <c r="E11" s="113">
        <v>0.6</v>
      </c>
      <c r="F11" s="101">
        <v>1</v>
      </c>
      <c r="G11" s="97" t="s">
        <v>148</v>
      </c>
      <c r="H11" s="169">
        <v>13207.414447188377</v>
      </c>
    </row>
    <row r="12" spans="1:8">
      <c r="A12" s="97" t="s">
        <v>31</v>
      </c>
      <c r="B12" s="114">
        <v>-17960.687526020611</v>
      </c>
      <c r="C12" s="112">
        <v>-17960.687526020611</v>
      </c>
      <c r="D12" s="99">
        <v>17960.687526020611</v>
      </c>
      <c r="E12" s="100">
        <v>0.63883126376045796</v>
      </c>
      <c r="F12" s="101">
        <v>1</v>
      </c>
      <c r="G12" s="97" t="s">
        <v>148</v>
      </c>
      <c r="H12" s="169">
        <v>150781.66837978363</v>
      </c>
    </row>
    <row r="13" spans="1:8">
      <c r="A13" s="97" t="s">
        <v>32</v>
      </c>
      <c r="B13" s="114">
        <v>0</v>
      </c>
      <c r="C13" s="112">
        <v>0</v>
      </c>
      <c r="D13" s="99">
        <v>0</v>
      </c>
      <c r="E13" s="113">
        <v>0</v>
      </c>
      <c r="F13" s="101">
        <v>0</v>
      </c>
      <c r="G13" s="97" t="s">
        <v>149</v>
      </c>
      <c r="H13" s="169"/>
    </row>
    <row r="22" spans="3:3">
      <c r="C22" s="168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480ABD05418EF4DAA93CCDBBEF197DD" ma:contentTypeVersion="14" ma:contentTypeDescription="Crear nuevo documento." ma:contentTypeScope="" ma:versionID="3320dfffac8583006496cab270371246">
  <xsd:schema xmlns:xsd="http://www.w3.org/2001/XMLSchema" xmlns:xs="http://www.w3.org/2001/XMLSchema" xmlns:p="http://schemas.microsoft.com/office/2006/metadata/properties" xmlns:ns3="672beb28-d033-44e4-85ef-88c950d30d67" xmlns:ns4="6a434a16-733e-45f0-bb0f-4001a7e4b84d" targetNamespace="http://schemas.microsoft.com/office/2006/metadata/properties" ma:root="true" ma:fieldsID="30a3b1a335b3695b96057fd84d433b9a" ns3:_="" ns4:_="">
    <xsd:import namespace="672beb28-d033-44e4-85ef-88c950d30d67"/>
    <xsd:import namespace="6a434a16-733e-45f0-bb0f-4001a7e4b8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beb28-d033-44e4-85ef-88c950d30d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34a16-733e-45f0-bb0f-4001a7e4b8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403D7E-BCFE-4FF5-AE66-F1FC4CFD05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F7F1E4-5828-427C-BC75-2519BCE81D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beb28-d033-44e4-85ef-88c950d30d67"/>
    <ds:schemaRef ds:uri="6a434a16-733e-45f0-bb0f-4001a7e4b8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29F5FE-7652-48A9-A672-DDB3F360B271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6a434a16-733e-45f0-bb0f-4001a7e4b84d"/>
    <ds:schemaRef ds:uri="http://purl.org/dc/elements/1.1/"/>
    <ds:schemaRef ds:uri="672beb28-d033-44e4-85ef-88c950d30d67"/>
    <ds:schemaRef ds:uri="http://www.w3.org/XML/1998/namespace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Nodos Variac Inventarios</vt:lpstr>
      <vt:lpstr>Bal Los Colorados</vt:lpstr>
      <vt:lpstr>Diag Proc Los Colorados</vt:lpstr>
      <vt:lpstr>Utilidad</vt:lpstr>
      <vt:lpstr>Flujos</vt:lpstr>
      <vt:lpstr>Diagrama</vt:lpstr>
      <vt:lpstr>Inventarios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Microsoft Office User</cp:lastModifiedBy>
  <cp:lastPrinted>2022-05-21T05:10:28Z</cp:lastPrinted>
  <dcterms:created xsi:type="dcterms:W3CDTF">2021-07-26T15:39:49Z</dcterms:created>
  <dcterms:modified xsi:type="dcterms:W3CDTF">2022-10-01T13:33:33Z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0x0101001480ABD05418EF4DAA93CCDBBEF197DD</vt:lpwstr>
  </property>
</Properties>
</file>