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E84A266D-A519-2C42-85E2-D0C8F8527CDE}" xr6:coauthVersionLast="47" xr6:coauthVersionMax="47" xr10:uidLastSave="{00000000-0000-0000-0000-000000000000}"/>
  <bookViews>
    <workbookView xWindow="0" yWindow="680" windowWidth="27040" windowHeight="16880" firstSheet="1" activeTab="1" xr2:uid="{00000000-000D-0000-FFFF-FFFF00000000}"/>
  </bookViews>
  <sheets>
    <sheet name="Resumen Planta Pellets1" sheetId="11" r:id="rId1"/>
    <sheet name="Resumen Planta Pellets" sheetId="10" r:id="rId2"/>
    <sheet name="Bal Los Colorados" sheetId="2" state="hidden" r:id="rId3"/>
    <sheet name="Diag Proc Los Colorados" sheetId="3" state="hidden" r:id="rId4"/>
    <sheet name="Datos Extra" sheetId="4" r:id="rId5"/>
    <sheet name="Utilidad" sheetId="6" r:id="rId6"/>
    <sheet name="Flujos" sheetId="7" r:id="rId7"/>
    <sheet name="Diagrama" sheetId="9" r:id="rId8"/>
  </sheets>
  <externalReferences>
    <externalReference r:id="rId9"/>
    <externalReference r:id="rId10"/>
  </externalReferences>
  <definedNames>
    <definedName name="_PAG1" localSheetId="7">#REF!</definedName>
    <definedName name="_PAG1" localSheetId="1">#REF!</definedName>
    <definedName name="_PAG1" localSheetId="0">#REF!</definedName>
    <definedName name="_PAG1">#REF!</definedName>
    <definedName name="_PAG3" localSheetId="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 localSheetId="0">#REF!</definedName>
    <definedName name="\P">#REF!</definedName>
    <definedName name="\W" localSheetId="0">#REF!</definedName>
    <definedName name="\W">#REF!</definedName>
    <definedName name="\Z" localSheetId="0">#REF!</definedName>
    <definedName name="\Z">#REF!</definedName>
    <definedName name="CONC" localSheetId="1">#REF!</definedName>
    <definedName name="CONC" localSheetId="0">#REF!</definedName>
    <definedName name="CONC">#REF!</definedName>
    <definedName name="conc1">#REF!</definedName>
    <definedName name="CuNuevo_ConPelaCama_tmf" localSheetId="1">[1]FUNDICIÓN!$P$73</definedName>
    <definedName name="CuNuevo_ConPelaCama_tmf" localSheetId="0">[1]FUNDICIÓN!$P$73</definedName>
    <definedName name="CuNuevo_ConPelaCama_tmf">[1]FUNDICIÓN!$P$73</definedName>
    <definedName name="CuNuevo_ConPelaCama_tms" localSheetId="1">[1]FUNDICIÓN!$O$73</definedName>
    <definedName name="CuNuevo_ConPelaCama_tms" localSheetId="0">[1]FUNDICIÓN!$O$73</definedName>
    <definedName name="CuNuevo_ConPelaCama_tms">[1]FUNDICIÓN!$O$73</definedName>
    <definedName name="ECL_DelBal_por" localSheetId="1">'Resumen Planta Pellets'!$H$37</definedName>
    <definedName name="ECL_DelBal_por" localSheetId="0">'Resumen Planta Pellets1'!$H$38</definedName>
    <definedName name="ECL_DelBal_tmf" localSheetId="1">'Resumen Planta Pellets'!$F$37</definedName>
    <definedName name="ECL_DelBal_tmf" localSheetId="0">'Resumen Planta Pellets1'!$F$38</definedName>
    <definedName name="FEED" localSheetId="1">#REF!</definedName>
    <definedName name="FEED" localSheetId="0">#REF!</definedName>
    <definedName name="FEED">#REF!</definedName>
    <definedName name="feed1">#REF!</definedName>
    <definedName name="GCONC" localSheetId="1">#REF!</definedName>
    <definedName name="GCONC" localSheetId="0">#REF!</definedName>
    <definedName name="GCONC">#REF!</definedName>
    <definedName name="GFEED" localSheetId="1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2">'Bal Los Colorados'!$M$46:$N$69</definedName>
    <definedName name="solver_adj" localSheetId="1">'Resumen Planta Pellets'!$P$10</definedName>
    <definedName name="solver_adj" localSheetId="0">'Resumen Planta Pellets1'!$P$10</definedName>
    <definedName name="solver_adj" localSheetId="5">Utilidad!$N$67:$O$126</definedName>
    <definedName name="solver_cvg" localSheetId="2">0.0001</definedName>
    <definedName name="solver_cvg" localSheetId="7">0.0001</definedName>
    <definedName name="solver_cvg" localSheetId="1">0.0001</definedName>
    <definedName name="solver_cvg" localSheetId="0">0.0001</definedName>
    <definedName name="solver_cvg" localSheetId="5">0.0001</definedName>
    <definedName name="solver_drv" localSheetId="2">1</definedName>
    <definedName name="solver_drv" localSheetId="7">2</definedName>
    <definedName name="solver_drv" localSheetId="1">1</definedName>
    <definedName name="solver_drv" localSheetId="0">1</definedName>
    <definedName name="solver_drv" localSheetId="5">1</definedName>
    <definedName name="solver_eng" localSheetId="2">1</definedName>
    <definedName name="solver_eng" localSheetId="7">1</definedName>
    <definedName name="solver_eng" localSheetId="1">1</definedName>
    <definedName name="solver_eng" localSheetId="0">1</definedName>
    <definedName name="solver_eng" localSheetId="5">1</definedName>
    <definedName name="solver_est" localSheetId="2">1</definedName>
    <definedName name="solver_est" localSheetId="7">1</definedName>
    <definedName name="solver_est" localSheetId="1">1</definedName>
    <definedName name="solver_est" localSheetId="0">1</definedName>
    <definedName name="solver_est" localSheetId="5">1</definedName>
    <definedName name="solver_itr" localSheetId="2">2147483647</definedName>
    <definedName name="solver_itr" localSheetId="7">2147483647</definedName>
    <definedName name="solver_itr" localSheetId="1">2147483647</definedName>
    <definedName name="solver_itr" localSheetId="0">2147483647</definedName>
    <definedName name="solver_itr" localSheetId="5">2147483647</definedName>
    <definedName name="solver_lhs1" localSheetId="2">'Bal Los Colorados'!$AB$45</definedName>
    <definedName name="solver_lhs1" localSheetId="5">Utilidad!$AB$67:$AB$90</definedName>
    <definedName name="solver_lhs10" localSheetId="2">'Bal Los Colorados'!$AB$54</definedName>
    <definedName name="solver_lhs10" localSheetId="5">Utilidad!$U$68</definedName>
    <definedName name="solver_lhs11" localSheetId="2">'Bal Los Colorados'!$AB$55</definedName>
    <definedName name="solver_lhs11" localSheetId="5">Utilidad!$U$69</definedName>
    <definedName name="solver_lhs12" localSheetId="2">'Bal Los Colorados'!$AC$45</definedName>
    <definedName name="solver_lhs12" localSheetId="5">Utilidad!$U$80</definedName>
    <definedName name="solver_lhs13" localSheetId="2">'Bal Los Colorados'!$AC$46</definedName>
    <definedName name="solver_lhs13" localSheetId="5">Utilidad!$U$89</definedName>
    <definedName name="solver_lhs14" localSheetId="2">'Bal Los Colorados'!$AC$47</definedName>
    <definedName name="solver_lhs14" localSheetId="5">Utilidad!$V$120</definedName>
    <definedName name="solver_lhs15" localSheetId="2">'Bal Los Colorados'!$AC$48</definedName>
    <definedName name="solver_lhs15" localSheetId="5">Utilidad!$W$105</definedName>
    <definedName name="solver_lhs16" localSheetId="2">'Bal Los Colorados'!$AC$49</definedName>
    <definedName name="solver_lhs16" localSheetId="5">Utilidad!$W$122</definedName>
    <definedName name="solver_lhs17" localSheetId="2">'Bal Los Colorados'!$AC$50</definedName>
    <definedName name="solver_lhs17" localSheetId="5">Utilidad!$W$124</definedName>
    <definedName name="solver_lhs18" localSheetId="2">'Bal Los Colorados'!$AC$51</definedName>
    <definedName name="solver_lhs18" localSheetId="5">Utilidad!$W$68</definedName>
    <definedName name="solver_lhs19" localSheetId="2">'Bal Los Colorados'!$AC$52</definedName>
    <definedName name="solver_lhs19" localSheetId="5">Utilidad!$W$89</definedName>
    <definedName name="solver_lhs2" localSheetId="2">'Bal Los Colorados'!$AB$46</definedName>
    <definedName name="solver_lhs2" localSheetId="5">Utilidad!$AC$67:$AC$90</definedName>
    <definedName name="solver_lhs20" localSheetId="2">'Bal Los Colorados'!$AC$53</definedName>
    <definedName name="solver_lhs20" localSheetId="5">Utilidad!$W$89</definedName>
    <definedName name="solver_lhs21" localSheetId="2">'Bal Los Colorados'!$AC$54</definedName>
    <definedName name="solver_lhs21" localSheetId="5">Utilidad!$W$101</definedName>
    <definedName name="solver_lhs22" localSheetId="2">'Bal Los Colorados'!$AC$55</definedName>
    <definedName name="solver_lhs22" localSheetId="5">Utilidad!$W$101</definedName>
    <definedName name="solver_lhs23" localSheetId="2">'Bal Los Colorados'!$T$48</definedName>
    <definedName name="solver_lhs23" localSheetId="5">Utilidad!$W$101</definedName>
    <definedName name="solver_lhs24" localSheetId="2">'Bal Los Colorados'!$T$53</definedName>
    <definedName name="solver_lhs24" localSheetId="5">Utilidad!$W$101</definedName>
    <definedName name="solver_lhs25" localSheetId="2">'Bal Los Colorados'!$T$55</definedName>
    <definedName name="solver_lhs25" localSheetId="5">Utilidad!$W$89</definedName>
    <definedName name="solver_lhs26" localSheetId="2">'Bal Los Colorados'!$T$57</definedName>
    <definedName name="solver_lhs26" localSheetId="5">Utilidad!$W$101</definedName>
    <definedName name="solver_lhs27" localSheetId="2">'Bal Los Colorados'!$T$58</definedName>
    <definedName name="solver_lhs27" localSheetId="5">Utilidad!$W$101</definedName>
    <definedName name="solver_lhs28" localSheetId="2">'Bal Los Colorados'!$T$59</definedName>
    <definedName name="solver_lhs28" localSheetId="5">Utilidad!#REF!</definedName>
    <definedName name="solver_lhs29" localSheetId="2">'Bal Los Colorados'!$T$68</definedName>
    <definedName name="solver_lhs29" localSheetId="5">Utilidad!#REF!</definedName>
    <definedName name="solver_lhs3" localSheetId="2">'Bal Los Colorados'!$AB$47</definedName>
    <definedName name="solver_lhs3" localSheetId="5">Utilidad!$U$101</definedName>
    <definedName name="solver_lhs30" localSheetId="2">'Bal Los Colorados'!$T$69</definedName>
    <definedName name="solver_lhs30" localSheetId="5">Utilidad!#REF!</definedName>
    <definedName name="solver_lhs31" localSheetId="2">'Bal Los Colorados'!$V$46</definedName>
    <definedName name="solver_lhs31" localSheetId="5">Utilidad!#REF!</definedName>
    <definedName name="solver_lhs32" localSheetId="2">'Bal Los Colorados'!$V$55</definedName>
    <definedName name="solver_lhs32" localSheetId="5">Utilidad!#REF!</definedName>
    <definedName name="solver_lhs33" localSheetId="2">'Bal Los Colorados'!$V$57</definedName>
    <definedName name="solver_lhs33" localSheetId="5">Utilidad!#REF!</definedName>
    <definedName name="solver_lhs34" localSheetId="2">'Bal Los Colorados'!$V$59</definedName>
    <definedName name="solver_lhs34" localSheetId="5">Utilidad!#REF!</definedName>
    <definedName name="solver_lhs35" localSheetId="2">'Bal Los Colorados'!$V$63</definedName>
    <definedName name="solver_lhs35" localSheetId="5">Utilidad!#REF!</definedName>
    <definedName name="solver_lhs36" localSheetId="2">'Bal Los Colorados'!$V$66</definedName>
    <definedName name="solver_lhs36" localSheetId="5">Utilidad!#REF!</definedName>
    <definedName name="solver_lhs37" localSheetId="2">'Bal Los Colorados'!$V$68</definedName>
    <definedName name="solver_lhs37" localSheetId="5">Utilidad!#REF!</definedName>
    <definedName name="solver_lhs38" localSheetId="2">'Bal Los Colorados'!$V$69</definedName>
    <definedName name="solver_lhs38" localSheetId="5">Utilidad!#REF!</definedName>
    <definedName name="solver_lhs39" localSheetId="2">'Bal Los Colorados'!$V$69</definedName>
    <definedName name="solver_lhs39" localSheetId="5">Utilidad!#REF!</definedName>
    <definedName name="solver_lhs4" localSheetId="2">'Bal Los Colorados'!$AB$48</definedName>
    <definedName name="solver_lhs4" localSheetId="5">Utilidad!$U$103</definedName>
    <definedName name="solver_lhs40" localSheetId="2">'Bal Los Colorados'!$AB$49</definedName>
    <definedName name="solver_lhs40" localSheetId="5">Utilidad!#REF!</definedName>
    <definedName name="solver_lhs41" localSheetId="2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2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2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2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2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2">'Bal Los Colorados'!$AB$53</definedName>
    <definedName name="solver_lhs9" localSheetId="5">Utilidad!$U$67</definedName>
    <definedName name="solver_lin" localSheetId="5">2</definedName>
    <definedName name="solver_mip" localSheetId="2">2147483647</definedName>
    <definedName name="solver_mip" localSheetId="7">2147483647</definedName>
    <definedName name="solver_mip" localSheetId="1">2147483647</definedName>
    <definedName name="solver_mip" localSheetId="0">2147483647</definedName>
    <definedName name="solver_mip" localSheetId="5">2147483647</definedName>
    <definedName name="solver_mni" localSheetId="2">30</definedName>
    <definedName name="solver_mni" localSheetId="7">30</definedName>
    <definedName name="solver_mni" localSheetId="1">30</definedName>
    <definedName name="solver_mni" localSheetId="0">30</definedName>
    <definedName name="solver_mni" localSheetId="5">30</definedName>
    <definedName name="solver_mrt" localSheetId="2">0.075</definedName>
    <definedName name="solver_mrt" localSheetId="7">0.075</definedName>
    <definedName name="solver_mrt" localSheetId="1">0.075</definedName>
    <definedName name="solver_mrt" localSheetId="0">0.075</definedName>
    <definedName name="solver_mrt" localSheetId="5">0.075</definedName>
    <definedName name="solver_msl" localSheetId="2">2</definedName>
    <definedName name="solver_msl" localSheetId="7">2</definedName>
    <definedName name="solver_msl" localSheetId="1">2</definedName>
    <definedName name="solver_msl" localSheetId="0">2</definedName>
    <definedName name="solver_msl" localSheetId="5">2</definedName>
    <definedName name="solver_neg" localSheetId="2">1</definedName>
    <definedName name="solver_neg" localSheetId="7">1</definedName>
    <definedName name="solver_neg" localSheetId="1">1</definedName>
    <definedName name="solver_neg" localSheetId="0">1</definedName>
    <definedName name="solver_neg" localSheetId="5">1</definedName>
    <definedName name="solver_nod" localSheetId="2">2147483647</definedName>
    <definedName name="solver_nod" localSheetId="7">2147483647</definedName>
    <definedName name="solver_nod" localSheetId="1">2147483647</definedName>
    <definedName name="solver_nod" localSheetId="0">2147483647</definedName>
    <definedName name="solver_nod" localSheetId="5">2147483647</definedName>
    <definedName name="solver_num" localSheetId="2">38</definedName>
    <definedName name="solver_num" localSheetId="7">0</definedName>
    <definedName name="solver_num" localSheetId="1">0</definedName>
    <definedName name="solver_num" localSheetId="0">0</definedName>
    <definedName name="solver_num" localSheetId="5">19</definedName>
    <definedName name="solver_nwt" localSheetId="2">1</definedName>
    <definedName name="solver_nwt" localSheetId="7">1</definedName>
    <definedName name="solver_nwt" localSheetId="1">1</definedName>
    <definedName name="solver_nwt" localSheetId="0">1</definedName>
    <definedName name="solver_nwt" localSheetId="5">1</definedName>
    <definedName name="solver_opt" localSheetId="2">'Bal Los Colorados'!$AB$58</definedName>
    <definedName name="solver_opt" localSheetId="7">Diagrama!$Q$32</definedName>
    <definedName name="solver_opt" localSheetId="1">'Resumen Planta Pellets'!$T$15</definedName>
    <definedName name="solver_opt" localSheetId="0">'Resumen Planta Pellets1'!$T$16</definedName>
    <definedName name="solver_opt" localSheetId="5">Utilidad!$AB$93</definedName>
    <definedName name="solver_pre" localSheetId="2">0.000001</definedName>
    <definedName name="solver_pre" localSheetId="7">0.000001</definedName>
    <definedName name="solver_pre" localSheetId="1">0.000001</definedName>
    <definedName name="solver_pre" localSheetId="0">0.000001</definedName>
    <definedName name="solver_pre" localSheetId="5">0.000001</definedName>
    <definedName name="solver_rbv" localSheetId="2">1</definedName>
    <definedName name="solver_rbv" localSheetId="7">2</definedName>
    <definedName name="solver_rbv" localSheetId="1">1</definedName>
    <definedName name="solver_rbv" localSheetId="0">1</definedName>
    <definedName name="solver_rbv" localSheetId="5">1</definedName>
    <definedName name="solver_rel1" localSheetId="2">2</definedName>
    <definedName name="solver_rel1" localSheetId="5">2</definedName>
    <definedName name="solver_rel10" localSheetId="2">2</definedName>
    <definedName name="solver_rel10" localSheetId="5">1</definedName>
    <definedName name="solver_rel11" localSheetId="2">2</definedName>
    <definedName name="solver_rel11" localSheetId="5">1</definedName>
    <definedName name="solver_rel12" localSheetId="2">2</definedName>
    <definedName name="solver_rel12" localSheetId="5">1</definedName>
    <definedName name="solver_rel13" localSheetId="2">2</definedName>
    <definedName name="solver_rel13" localSheetId="5">1</definedName>
    <definedName name="solver_rel14" localSheetId="2">2</definedName>
    <definedName name="solver_rel14" localSheetId="5">1</definedName>
    <definedName name="solver_rel15" localSheetId="2">2</definedName>
    <definedName name="solver_rel15" localSheetId="5">1</definedName>
    <definedName name="solver_rel16" localSheetId="2">2</definedName>
    <definedName name="solver_rel16" localSheetId="5">1</definedName>
    <definedName name="solver_rel17" localSheetId="2">2</definedName>
    <definedName name="solver_rel17" localSheetId="5">1</definedName>
    <definedName name="solver_rel18" localSheetId="2">2</definedName>
    <definedName name="solver_rel18" localSheetId="5">1</definedName>
    <definedName name="solver_rel19" localSheetId="2">2</definedName>
    <definedName name="solver_rel19" localSheetId="5">1</definedName>
    <definedName name="solver_rel2" localSheetId="2">2</definedName>
    <definedName name="solver_rel2" localSheetId="5">2</definedName>
    <definedName name="solver_rel20" localSheetId="2">2</definedName>
    <definedName name="solver_rel20" localSheetId="5">1</definedName>
    <definedName name="solver_rel21" localSheetId="2">2</definedName>
    <definedName name="solver_rel21" localSheetId="5">1</definedName>
    <definedName name="solver_rel22" localSheetId="2">2</definedName>
    <definedName name="solver_rel22" localSheetId="5">1</definedName>
    <definedName name="solver_rel23" localSheetId="2">1</definedName>
    <definedName name="solver_rel23" localSheetId="5">1</definedName>
    <definedName name="solver_rel24" localSheetId="2">1</definedName>
    <definedName name="solver_rel24" localSheetId="5">1</definedName>
    <definedName name="solver_rel25" localSheetId="2">1</definedName>
    <definedName name="solver_rel25" localSheetId="5">1</definedName>
    <definedName name="solver_rel26" localSheetId="2">1</definedName>
    <definedName name="solver_rel26" localSheetId="5">1</definedName>
    <definedName name="solver_rel27" localSheetId="2">1</definedName>
    <definedName name="solver_rel27" localSheetId="5">1</definedName>
    <definedName name="solver_rel28" localSheetId="2">1</definedName>
    <definedName name="solver_rel28" localSheetId="5">2</definedName>
    <definedName name="solver_rel29" localSheetId="2">1</definedName>
    <definedName name="solver_rel29" localSheetId="5">2</definedName>
    <definedName name="solver_rel3" localSheetId="2">2</definedName>
    <definedName name="solver_rel3" localSheetId="5">1</definedName>
    <definedName name="solver_rel30" localSheetId="2">1</definedName>
    <definedName name="solver_rel30" localSheetId="5">2</definedName>
    <definedName name="solver_rel31" localSheetId="2">1</definedName>
    <definedName name="solver_rel31" localSheetId="5">2</definedName>
    <definedName name="solver_rel32" localSheetId="2">1</definedName>
    <definedName name="solver_rel32" localSheetId="5">2</definedName>
    <definedName name="solver_rel33" localSheetId="2">1</definedName>
    <definedName name="solver_rel33" localSheetId="5">2</definedName>
    <definedName name="solver_rel34" localSheetId="2">1</definedName>
    <definedName name="solver_rel34" localSheetId="5">2</definedName>
    <definedName name="solver_rel35" localSheetId="2">1</definedName>
    <definedName name="solver_rel35" localSheetId="5">2</definedName>
    <definedName name="solver_rel36" localSheetId="2">1</definedName>
    <definedName name="solver_rel36" localSheetId="5">2</definedName>
    <definedName name="solver_rel37" localSheetId="2">1</definedName>
    <definedName name="solver_rel37" localSheetId="5">2</definedName>
    <definedName name="solver_rel38" localSheetId="2">1</definedName>
    <definedName name="solver_rel38" localSheetId="5">2</definedName>
    <definedName name="solver_rel39" localSheetId="2">1</definedName>
    <definedName name="solver_rel39" localSheetId="5">2</definedName>
    <definedName name="solver_rel4" localSheetId="2">2</definedName>
    <definedName name="solver_rel4" localSheetId="5">1</definedName>
    <definedName name="solver_rel40" localSheetId="2">2</definedName>
    <definedName name="solver_rel40" localSheetId="5">2</definedName>
    <definedName name="solver_rel41" localSheetId="2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2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2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2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2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2">2</definedName>
    <definedName name="solver_rel9" localSheetId="5">1</definedName>
    <definedName name="solver_rhs1" localSheetId="2">0</definedName>
    <definedName name="solver_rhs1" localSheetId="5">Utilidad!$AE$67:$AE$90</definedName>
    <definedName name="solver_rhs10" localSheetId="2">0</definedName>
    <definedName name="solver_rhs10" localSheetId="5">Utilidad!$V$68</definedName>
    <definedName name="solver_rhs11" localSheetId="2">0</definedName>
    <definedName name="solver_rhs11" localSheetId="5">Utilidad!$V$69</definedName>
    <definedName name="solver_rhs12" localSheetId="2">0</definedName>
    <definedName name="solver_rhs12" localSheetId="5">Utilidad!$V$80</definedName>
    <definedName name="solver_rhs13" localSheetId="2">0</definedName>
    <definedName name="solver_rhs13" localSheetId="5">Utilidad!$V$89</definedName>
    <definedName name="solver_rhs14" localSheetId="2">0</definedName>
    <definedName name="solver_rhs14" localSheetId="5">Utilidad!$X$120</definedName>
    <definedName name="solver_rhs15" localSheetId="2">0</definedName>
    <definedName name="solver_rhs15" localSheetId="5">Utilidad!$X$105</definedName>
    <definedName name="solver_rhs16" localSheetId="2">0</definedName>
    <definedName name="solver_rhs16" localSheetId="5">Utilidad!$X$122</definedName>
    <definedName name="solver_rhs17" localSheetId="2">0</definedName>
    <definedName name="solver_rhs17" localSheetId="5">Utilidad!$X$124</definedName>
    <definedName name="solver_rhs18" localSheetId="2">0</definedName>
    <definedName name="solver_rhs18" localSheetId="5">Utilidad!$X$68</definedName>
    <definedName name="solver_rhs19" localSheetId="2">0</definedName>
    <definedName name="solver_rhs19" localSheetId="5">Utilidad!$X$89</definedName>
    <definedName name="solver_rhs2" localSheetId="2">0</definedName>
    <definedName name="solver_rhs2" localSheetId="5">Utilidad!$AE$67:$AE$90</definedName>
    <definedName name="solver_rhs20" localSheetId="2">0</definedName>
    <definedName name="solver_rhs20" localSheetId="5">Utilidad!$X$89</definedName>
    <definedName name="solver_rhs21" localSheetId="2">0</definedName>
    <definedName name="solver_rhs21" localSheetId="5">Utilidad!$X$101</definedName>
    <definedName name="solver_rhs22" localSheetId="2">0</definedName>
    <definedName name="solver_rhs22" localSheetId="5">Utilidad!$X$101</definedName>
    <definedName name="solver_rhs23" localSheetId="2">'Bal Los Colorados'!$U$48</definedName>
    <definedName name="solver_rhs23" localSheetId="5">Utilidad!$X$101</definedName>
    <definedName name="solver_rhs24" localSheetId="2">'Bal Los Colorados'!$U$53</definedName>
    <definedName name="solver_rhs24" localSheetId="5">Utilidad!$X$101</definedName>
    <definedName name="solver_rhs25" localSheetId="2">'Bal Los Colorados'!$U$55</definedName>
    <definedName name="solver_rhs25" localSheetId="5">Utilidad!$X$89</definedName>
    <definedName name="solver_rhs26" localSheetId="2">'Bal Los Colorados'!$U$57</definedName>
    <definedName name="solver_rhs26" localSheetId="5">Utilidad!$X$101</definedName>
    <definedName name="solver_rhs27" localSheetId="2">'Bal Los Colorados'!$U$58</definedName>
    <definedName name="solver_rhs27" localSheetId="5">Utilidad!$X$101</definedName>
    <definedName name="solver_rhs28" localSheetId="2">'Bal Los Colorados'!$U$59</definedName>
    <definedName name="solver_rhs28" localSheetId="5">0</definedName>
    <definedName name="solver_rhs29" localSheetId="2">'Bal Los Colorados'!$U$68</definedName>
    <definedName name="solver_rhs29" localSheetId="5">0</definedName>
    <definedName name="solver_rhs3" localSheetId="2">0</definedName>
    <definedName name="solver_rhs3" localSheetId="5">Utilidad!$V$101</definedName>
    <definedName name="solver_rhs30" localSheetId="2">'Bal Los Colorados'!$U$69</definedName>
    <definedName name="solver_rhs30" localSheetId="5">0</definedName>
    <definedName name="solver_rhs31" localSheetId="2">'Bal Los Colorados'!$W$46</definedName>
    <definedName name="solver_rhs31" localSheetId="5">0</definedName>
    <definedName name="solver_rhs32" localSheetId="2">'Bal Los Colorados'!$W$55</definedName>
    <definedName name="solver_rhs32" localSheetId="5">0</definedName>
    <definedName name="solver_rhs33" localSheetId="2">'Bal Los Colorados'!$W$57</definedName>
    <definedName name="solver_rhs33" localSheetId="5">0</definedName>
    <definedName name="solver_rhs34" localSheetId="2">'Bal Los Colorados'!$W$59</definedName>
    <definedName name="solver_rhs34" localSheetId="5">0</definedName>
    <definedName name="solver_rhs35" localSheetId="2">'Bal Los Colorados'!$W$63</definedName>
    <definedName name="solver_rhs35" localSheetId="5">0</definedName>
    <definedName name="solver_rhs36" localSheetId="2">'Bal Los Colorados'!$W$66</definedName>
    <definedName name="solver_rhs36" localSheetId="5">0</definedName>
    <definedName name="solver_rhs37" localSheetId="2">'Bal Los Colorados'!$W$68</definedName>
    <definedName name="solver_rhs37" localSheetId="5">0</definedName>
    <definedName name="solver_rhs38" localSheetId="2">'Bal Los Colorados'!$W$69</definedName>
    <definedName name="solver_rhs38" localSheetId="5">0</definedName>
    <definedName name="solver_rhs39" localSheetId="2">'Bal Los Colorados'!$W$69</definedName>
    <definedName name="solver_rhs39" localSheetId="5">0</definedName>
    <definedName name="solver_rhs4" localSheetId="2">0</definedName>
    <definedName name="solver_rhs4" localSheetId="5">Utilidad!$V$103</definedName>
    <definedName name="solver_rhs40" localSheetId="2">0</definedName>
    <definedName name="solver_rhs40" localSheetId="5">0</definedName>
    <definedName name="solver_rhs41" localSheetId="2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2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2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2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2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2">0</definedName>
    <definedName name="solver_rhs9" localSheetId="5">Utilidad!$V$67</definedName>
    <definedName name="solver_rlx" localSheetId="2">2</definedName>
    <definedName name="solver_rlx" localSheetId="7">2</definedName>
    <definedName name="solver_rlx" localSheetId="1">2</definedName>
    <definedName name="solver_rlx" localSheetId="0">2</definedName>
    <definedName name="solver_rlx" localSheetId="5">2</definedName>
    <definedName name="solver_rsd" localSheetId="2">0</definedName>
    <definedName name="solver_rsd" localSheetId="7">0</definedName>
    <definedName name="solver_rsd" localSheetId="1">0</definedName>
    <definedName name="solver_rsd" localSheetId="0">0</definedName>
    <definedName name="solver_rsd" localSheetId="5">0</definedName>
    <definedName name="solver_scl" localSheetId="2">1</definedName>
    <definedName name="solver_scl" localSheetId="7">2</definedName>
    <definedName name="solver_scl" localSheetId="1">1</definedName>
    <definedName name="solver_scl" localSheetId="0">1</definedName>
    <definedName name="solver_scl" localSheetId="5">1</definedName>
    <definedName name="solver_sho" localSheetId="2">2</definedName>
    <definedName name="solver_sho" localSheetId="7">2</definedName>
    <definedName name="solver_sho" localSheetId="1">2</definedName>
    <definedName name="solver_sho" localSheetId="0">2</definedName>
    <definedName name="solver_sho" localSheetId="5">2</definedName>
    <definedName name="solver_ssz" localSheetId="2">100</definedName>
    <definedName name="solver_ssz" localSheetId="7">100</definedName>
    <definedName name="solver_ssz" localSheetId="1">100</definedName>
    <definedName name="solver_ssz" localSheetId="0">100</definedName>
    <definedName name="solver_ssz" localSheetId="5">100</definedName>
    <definedName name="solver_tim" localSheetId="2">2147483647</definedName>
    <definedName name="solver_tim" localSheetId="7">2147483647</definedName>
    <definedName name="solver_tim" localSheetId="1">2147483647</definedName>
    <definedName name="solver_tim" localSheetId="0">2147483647</definedName>
    <definedName name="solver_tim" localSheetId="5">2147483647</definedName>
    <definedName name="solver_tol" localSheetId="2">0.01</definedName>
    <definedName name="solver_tol" localSheetId="7">0.01</definedName>
    <definedName name="solver_tol" localSheetId="1">0.01</definedName>
    <definedName name="solver_tol" localSheetId="0">0.01</definedName>
    <definedName name="solver_tol" localSheetId="5">0.01</definedName>
    <definedName name="solver_typ" localSheetId="2">2</definedName>
    <definedName name="solver_typ" localSheetId="7">1</definedName>
    <definedName name="solver_typ" localSheetId="1">3</definedName>
    <definedName name="solver_typ" localSheetId="0">3</definedName>
    <definedName name="solver_typ" localSheetId="5">2</definedName>
    <definedName name="solver_val" localSheetId="2">0</definedName>
    <definedName name="solver_val" localSheetId="7">0</definedName>
    <definedName name="solver_val" localSheetId="1">87.4</definedName>
    <definedName name="solver_val" localSheetId="0">87.4</definedName>
    <definedName name="solver_val" localSheetId="5">0</definedName>
    <definedName name="solver_ver" localSheetId="2">3</definedName>
    <definedName name="solver_ver" localSheetId="7">3</definedName>
    <definedName name="solver_ver" localSheetId="1">3</definedName>
    <definedName name="solver_ver" localSheetId="0">3</definedName>
    <definedName name="solver_ver" localSheetId="5">3</definedName>
    <definedName name="SUMCHECK" localSheetId="1">#REF!</definedName>
    <definedName name="SUMCHECK" localSheetId="0">#REF!</definedName>
    <definedName name="SUMCHECK">#REF!</definedName>
    <definedName name="SUMCUTONNES" localSheetId="1">#REF!</definedName>
    <definedName name="SUMCUTONNES" localSheetId="0">#REF!</definedName>
    <definedName name="SUMCUTONNES">#REF!</definedName>
    <definedName name="SUMDMT" localSheetId="1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21" i="10" l="1"/>
  <c r="I21" i="10" s="1"/>
  <c r="I20" i="10"/>
  <c r="J20" i="10" s="1"/>
  <c r="H20" i="10"/>
  <c r="I19" i="10"/>
  <c r="J19" i="10" s="1"/>
  <c r="H19" i="10"/>
  <c r="G19" i="10"/>
  <c r="I18" i="10"/>
  <c r="G18" i="10"/>
  <c r="H18" i="10" s="1"/>
  <c r="J17" i="10"/>
  <c r="I17" i="10"/>
  <c r="H17" i="10"/>
  <c r="G17" i="10"/>
  <c r="H15" i="10"/>
  <c r="G15" i="10"/>
  <c r="J11" i="10"/>
  <c r="I10" i="10"/>
  <c r="I15" i="10" s="1"/>
  <c r="H10" i="10"/>
  <c r="G10" i="10"/>
  <c r="P17" i="10"/>
  <c r="O17" i="10"/>
  <c r="O18" i="10" s="1"/>
  <c r="P14" i="10"/>
  <c r="Q14" i="10" s="1"/>
  <c r="O14" i="10"/>
  <c r="N14" i="10"/>
  <c r="P13" i="10"/>
  <c r="Q13" i="10" s="1"/>
  <c r="O13" i="10"/>
  <c r="N13" i="10"/>
  <c r="O12" i="10"/>
  <c r="N12" i="10"/>
  <c r="O11" i="10"/>
  <c r="N11" i="10"/>
  <c r="P10" i="10"/>
  <c r="O10" i="10"/>
  <c r="O15" i="10" s="1"/>
  <c r="N10" i="10"/>
  <c r="N15" i="10" s="1"/>
  <c r="N18" i="10"/>
  <c r="P18" i="10"/>
  <c r="Q12" i="10"/>
  <c r="Q11" i="10"/>
  <c r="Q10" i="10"/>
  <c r="K36" i="10"/>
  <c r="D36" i="10"/>
  <c r="J18" i="10" l="1"/>
  <c r="H21" i="10"/>
  <c r="H22" i="10" s="1"/>
  <c r="I22" i="10" s="1"/>
  <c r="G22" i="10"/>
  <c r="J10" i="10"/>
  <c r="J15" i="10" s="1"/>
  <c r="Q15" i="10"/>
  <c r="P15" i="10" s="1"/>
  <c r="Q18" i="10"/>
  <c r="Q17" i="10"/>
  <c r="J21" i="10" l="1"/>
  <c r="J22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P57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E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G15" i="9"/>
  <c r="V13" i="9"/>
  <c r="V21" i="9" s="1"/>
  <c r="L10" i="9"/>
  <c r="J5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I19" i="11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1" i="11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H10" i="11" s="1"/>
  <c r="H15" i="11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I17" i="11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1"/>
  <c r="G21" i="11"/>
  <c r="J20" i="11"/>
  <c r="I20" i="11"/>
  <c r="H20" i="11"/>
  <c r="G19" i="11"/>
  <c r="N18" i="11"/>
  <c r="H18" i="11"/>
  <c r="G18" i="11"/>
  <c r="G17" i="11"/>
  <c r="G22" i="11" s="1"/>
  <c r="P14" i="11"/>
  <c r="O14" i="11"/>
  <c r="Q14" i="11" s="1"/>
  <c r="N14" i="11"/>
  <c r="P13" i="11"/>
  <c r="O12" i="11"/>
  <c r="Q12" i="11" s="1"/>
  <c r="N12" i="11"/>
  <c r="J11" i="11"/>
  <c r="M30" i="7" l="1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P17" i="11"/>
  <c r="P18" i="11" s="1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I18" i="11" s="1"/>
  <c r="J18" i="11" s="1"/>
  <c r="AG19" i="9"/>
  <c r="AI9" i="9"/>
  <c r="E76" i="9" s="1"/>
  <c r="J76" i="9" s="1"/>
  <c r="N17" i="7"/>
  <c r="J4" i="7"/>
  <c r="M4" i="7" s="1"/>
  <c r="J22" i="7"/>
  <c r="N22" i="7" s="1"/>
  <c r="AF50" i="9"/>
  <c r="P4" i="11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N10" i="11"/>
  <c r="N25" i="7"/>
  <c r="M25" i="7"/>
  <c r="M76" i="2"/>
  <c r="J103" i="2" s="1"/>
  <c r="J50" i="3"/>
  <c r="N52" i="3" s="1"/>
  <c r="P110" i="6"/>
  <c r="N4" i="7"/>
  <c r="G21" i="9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J21" i="11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I5" i="9"/>
  <c r="J6" i="9" s="1"/>
  <c r="G20" i="9"/>
  <c r="E93" i="9"/>
  <c r="H93" i="9" s="1"/>
  <c r="AI10" i="9"/>
  <c r="E73" i="9" s="1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F15" i="9"/>
  <c r="G16" i="9" s="1"/>
  <c r="N14" i="7"/>
  <c r="M14" i="7"/>
  <c r="AD26" i="9"/>
  <c r="B70" i="9" s="1"/>
  <c r="AD18" i="9"/>
  <c r="AD16" i="9"/>
  <c r="B72" i="9" s="1"/>
  <c r="AI27" i="9"/>
  <c r="E94" i="9"/>
  <c r="H94" i="9" s="1"/>
  <c r="J39" i="9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D36" i="9"/>
  <c r="E37" i="9" s="1"/>
  <c r="AI16" i="9"/>
  <c r="J18" i="7"/>
  <c r="M28" i="7"/>
  <c r="J35" i="7"/>
  <c r="M82" i="2"/>
  <c r="J109" i="2" s="1"/>
  <c r="AD6" i="9"/>
  <c r="J11" i="7"/>
  <c r="AD13" i="9"/>
  <c r="J21" i="7"/>
  <c r="AD23" i="9"/>
  <c r="R37" i="9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I46" i="9" l="1"/>
  <c r="H11" i="9"/>
  <c r="F24" i="9"/>
  <c r="M10" i="7"/>
  <c r="C43" i="9"/>
  <c r="G22" i="9"/>
  <c r="N24" i="7"/>
  <c r="N29" i="7"/>
  <c r="N19" i="7"/>
  <c r="E72" i="9"/>
  <c r="J72" i="9" s="1"/>
  <c r="N8" i="7"/>
  <c r="K52" i="2"/>
  <c r="N77" i="2"/>
  <c r="K104" i="2" s="1"/>
  <c r="S50" i="2"/>
  <c r="V50" i="2" s="1"/>
  <c r="E96" i="9"/>
  <c r="H96" i="9" s="1"/>
  <c r="H97" i="9" s="1"/>
  <c r="H98" i="9" s="1"/>
  <c r="H99" i="9" s="1"/>
  <c r="H95" i="9"/>
  <c r="F29" i="9"/>
  <c r="O17" i="11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H19" i="11"/>
  <c r="J19" i="11" s="1"/>
  <c r="N11" i="7"/>
  <c r="M11" i="7"/>
  <c r="N80" i="2"/>
  <c r="K107" i="2" s="1"/>
  <c r="S53" i="2"/>
  <c r="V53" i="2" s="1"/>
  <c r="Z6" i="9"/>
  <c r="N86" i="2"/>
  <c r="K113" i="2" s="1"/>
  <c r="S59" i="2"/>
  <c r="V59" i="2" s="1"/>
  <c r="O13" i="11"/>
  <c r="Q13" i="11" s="1"/>
  <c r="N13" i="11"/>
  <c r="I23" i="9"/>
  <c r="I27" i="9" s="1"/>
  <c r="I10" i="11"/>
  <c r="F81" i="9"/>
  <c r="K70" i="9"/>
  <c r="M12" i="7"/>
  <c r="N12" i="7"/>
  <c r="M77" i="9"/>
  <c r="O77" i="9" s="1"/>
  <c r="Q77" i="9" s="1"/>
  <c r="G10" i="11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H17" i="11"/>
  <c r="F94" i="9"/>
  <c r="P51" i="9"/>
  <c r="O57" i="9"/>
  <c r="P58" i="9" s="1"/>
  <c r="O11" i="11"/>
  <c r="Q11" i="11" s="1"/>
  <c r="E81" i="9" l="1"/>
  <c r="K74" i="9"/>
  <c r="J85" i="9" s="1"/>
  <c r="P19" i="9"/>
  <c r="H42" i="9"/>
  <c r="P41" i="9"/>
  <c r="M45" i="9" s="1"/>
  <c r="I26" i="9"/>
  <c r="H28" i="9"/>
  <c r="M19" i="9"/>
  <c r="O18" i="11"/>
  <c r="Q18" i="11" s="1"/>
  <c r="Q17" i="11"/>
  <c r="Q76" i="9"/>
  <c r="K81" i="9"/>
  <c r="K82" i="9" s="1"/>
  <c r="N11" i="11"/>
  <c r="N15" i="11" s="1"/>
  <c r="O21" i="9"/>
  <c r="J41" i="9"/>
  <c r="K41" i="9" s="1"/>
  <c r="D37" i="11"/>
  <c r="F95" i="9"/>
  <c r="H22" i="11"/>
  <c r="I22" i="11" s="1"/>
  <c r="J17" i="11"/>
  <c r="J22" i="11" s="1"/>
  <c r="J81" i="9"/>
  <c r="M70" i="9"/>
  <c r="O70" i="9" s="1"/>
  <c r="O10" i="11"/>
  <c r="K29" i="9"/>
  <c r="J10" i="11"/>
  <c r="J15" i="11" s="1"/>
  <c r="I15" i="11"/>
  <c r="F93" i="9"/>
  <c r="R38" i="9"/>
  <c r="M20" i="9" s="1"/>
  <c r="H41" i="9"/>
  <c r="AQ18" i="9"/>
  <c r="O72" i="9"/>
  <c r="Q72" i="9" s="1"/>
  <c r="M71" i="9"/>
  <c r="O71" i="9" s="1"/>
  <c r="Q71" i="9" s="1"/>
  <c r="R52" i="2"/>
  <c r="T52" i="2" s="1"/>
  <c r="M79" i="2"/>
  <c r="J106" i="2" s="1"/>
  <c r="S15" i="11"/>
  <c r="G15" i="11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K37" i="11" s="1"/>
  <c r="O15" i="11"/>
  <c r="S11" i="11"/>
  <c r="T11" i="11" s="1"/>
  <c r="O82" i="9"/>
  <c r="P10" i="11"/>
  <c r="Q10" i="11" s="1"/>
  <c r="Q15" i="11" s="1"/>
  <c r="Q38" i="9"/>
  <c r="Q70" i="9"/>
  <c r="Q81" i="9" s="1"/>
  <c r="O81" i="9"/>
  <c r="G38" i="9"/>
  <c r="P15" i="11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<sst xmlns="http://schemas.openxmlformats.org/spreadsheetml/2006/main" count="670" uniqueCount="292">
  <si>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</si>
  <si>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</si>
  <si>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</si>
  <si>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</si>
  <si>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</si>
  <si>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</si>
  <si>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</si>
  <si>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</si>
  <si>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</si>
  <si>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</si>
  <si>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</si>
  <si>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</si>
  <si>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</si>
  <si>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</si>
  <si>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</si>
  <si>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</si>
  <si>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</si>
  <si>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</si>
  <si>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</si>
  <si>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</si>
  <si>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</si>
  <si>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</si>
  <si>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</si>
  <si>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</si>
  <si>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</si>
  <si>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</si>
  <si>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</si>
  <si>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</si>
  <si>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</si>
  <si>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</si>
  <si>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</si>
  <si>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</si>
  <si>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</si>
  <si>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</si>
  <si>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</si>
  <si>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</si>
  <si>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</si>
  <si>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</si>
  <si>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</si>
  <si>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</si>
  <si>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</si>
  <si>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</si>
  <si>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</si>
  <si>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</si>
  <si>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</si>
  <si>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</si>
  <si>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</si>
  <si>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</si>
  <si>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</si>
  <si>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</si>
  <si>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</si>
  <si>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</si>
  <si>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</si>
  <si>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</si>
  <si>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</si>
  <si>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</si>
  <si>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</si>
  <si>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</si>
  <si>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</si>
  <si>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</si>
  <si>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</si>
  <si>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</si>
  <si>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</si>
  <si>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</si>
  <si>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</si>
  <si>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</si>
  <si>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</si>
  <si>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</si>
  <si>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</si>
  <si>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</si>
  <si>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</si>
  <si>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</si>
  <si>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</si>
  <si>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</si>
  <si>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</si>
  <si>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</si>
  <si>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</si>
  <si>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</si>
  <si>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</si>
  <si>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</si>
  <si>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</si>
  <si>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</si>
  <si>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</si>
  <si>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</si>
  <si>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</si>
  <si>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</si>
  <si>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</si>
  <si>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</si>
  <si>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</si>
  <si>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</si>
  <si>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</si>
  <si>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</si>
  <si>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</si>
  <si>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</si>
  <si>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</si>
  <si>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</si>
  <si>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</si>
  <si>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</si>
  <si>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</si>
  <si>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</si>
  <si>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</si>
  <si>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</si>
  <si>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</si>
  <si>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</si>
  <si>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</si>
  <si>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</si>
  <si>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</si>
  <si>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</si>
  <si>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</si>
  <si>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</si>
  <si>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</si>
  <si>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</si>
  <si>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</si>
  <si>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</si>
  <si>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</si>
  <si>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</si>
  <si>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</si>
  <si>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</si>
  <si>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</si>
  <si>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</si>
  <si>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</si>
  <si>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</si>
  <si>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</si>
  <si>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</si>
  <si>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</si>
  <si>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</si>
  <si>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</si>
  <si>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</si>
  <si>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</si>
  <si>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</si>
  <si>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</si>
  <si>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</si>
  <si>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</si>
  <si>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</si>
  <si>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</si>
  <si>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</si>
  <si>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</si>
  <si>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</si>
  <si>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</si>
  <si>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</si>
  <si>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</si>
  <si>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</si>
  <si>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</si>
  <si>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</si>
  <si>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</si>
  <si>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</si>
  <si>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</si>
  <si>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</si>
  <si>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</si>
  <si>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</si>
  <si>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</si>
  <si>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</si>
  <si>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</si>
  <si>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</si>
  <si>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</si>
  <si>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</si>
  <si>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</si>
  <si>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</si>
  <si>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</si>
  <si>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</si>
  <si>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</si>
  <si>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</si>
  <si>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</si>
  <si>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</si>
  <si>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</si>
  <si>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</si>
  <si>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</si>
  <si>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</si>
  <si>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</si>
  <si>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</si>
  <si>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</si>
  <si>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</si>
  <si>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</si>
  <si>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</si>
  <si>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</si>
  <si>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</si>
  <si>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</si>
  <si>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</si>
  <si>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</si>
  <si>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</si>
  <si>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</si>
  <si>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</si>
  <si>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</si>
  <si>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</si>
  <si>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</si>
  <si>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</si>
  <si>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</si>
  <si>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</si>
  <si>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</si>
  <si>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</si>
  <si>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</si>
  <si>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</si>
  <si>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</si>
  <si>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</si>
  <si>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</si>
  <si>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</si>
  <si>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</si>
  <si>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</si>
  <si>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</si>
  <si>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</si>
  <si>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</si>
  <si>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</si>
  <si>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</si>
  <si>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</si>
  <si>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</si>
  <si>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</si>
  <si>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</si>
  <si>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</si>
  <si>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</si>
  <si>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</si>
  <si>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</si>
  <si>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</si>
  <si>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</si>
  <si>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</si>
  <si>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</si>
  <si>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</si>
  <si>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</si>
  <si>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</si>
  <si>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</si>
  <si>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</si>
  <si>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</si>
  <si>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</si>
  <si>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</si>
  <si>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</si>
  <si>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</si>
  <si>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</si>
  <si>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</si>
  <si>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</si>
  <si>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</si>
  <si>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</si>
  <si>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</si>
  <si>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</si>
  <si>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</si>
  <si>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</si>
  <si>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</si>
  <si>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</si>
  <si>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</si>
  <si>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</si>
  <si>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</si>
  <si>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</si>
  <si>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</si>
  <si>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</si>
  <si>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</si>
  <si>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</si>
  <si>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</si>
  <si>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</si>
  <si>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</si>
  <si>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</si>
  <si>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</si>
  <si>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</si>
  <si>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</si>
  <si>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</si>
  <si>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</si>
  <si>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</si>
  <si>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</si>
  <si>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</si>
  <si>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</si>
  <si>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</si>
  <si>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</si>
  <si>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</si>
  <si>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</si>
  <si>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</si>
  <si>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</si>
  <si>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</si>
  <si>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</si>
  <si>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</si>
  <si>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</si>
  <si>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</si>
  <si>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</si>
  <si>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</si>
  <si>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</si>
  <si>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</si>
  <si>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</si>
  <si>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</si>
  <si>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</si>
  <si>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ENTRADA MENOS SALIDAS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</si>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</sst>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4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8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9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9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1" fillId="0" borderId="68" xfId="1" applyNumberFormat="1" applyFont="1"/>
    <xf numFmtId="3" fontId="16" fillId="0" borderId="68" xfId="1" applyNumberFormat="1" applyFont="1"/>
    <xf numFmtId="174" fontId="42" fillId="0" borderId="68" xfId="1" applyNumberFormat="1" applyFont="1"/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8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9" fillId="0" borderId="68" xfId="1" applyFont="1" applyAlignment="1">
      <alignment horizontal="right" indent="1"/>
    </xf>
    <xf numFmtId="3" fontId="50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1" fillId="0" borderId="68" xfId="1" applyNumberFormat="1" applyFont="1"/>
    <xf numFmtId="0" fontId="39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9" fillId="0" borderId="68" xfId="1" applyFont="1"/>
    <xf numFmtId="0" fontId="39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9" fillId="0" borderId="68" xfId="1" applyNumberFormat="1" applyFont="1"/>
    <xf numFmtId="3" fontId="38" fillId="0" borderId="68" xfId="1" applyNumberFormat="1"/>
    <xf numFmtId="10" fontId="1" fillId="0" borderId="68" xfId="1" applyNumberFormat="1" applyFont="1"/>
    <xf numFmtId="0" fontId="38" fillId="19" borderId="68" xfId="1" applyFill="1"/>
    <xf numFmtId="164" fontId="1" fillId="0" borderId="73" xfId="3" applyNumberFormat="1" applyFont="1" applyBorder="1" applyAlignment="1">
      <alignment horizontal="center"/>
    </xf>
    <xf numFmtId="3" fontId="50" fillId="0" borderId="68" xfId="1" applyNumberFormat="1" applyFont="1" applyAlignment="1">
      <alignment horizontal="right"/>
    </xf>
    <xf numFmtId="0" fontId="1" fillId="0" borderId="73" xfId="1" applyFont="1" applyBorder="1"/>
    <xf numFmtId="174" fontId="38" fillId="0" borderId="68" xfId="1" applyNumberFormat="1"/>
    <xf numFmtId="3" fontId="52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8" fillId="0" borderId="68" xfId="1" applyNumberFormat="1"/>
    <xf numFmtId="3" fontId="43" fillId="0" borderId="68" xfId="1" applyNumberFormat="1" applyFont="1" applyAlignment="1">
      <alignment horizontal="center"/>
    </xf>
    <xf numFmtId="174" fontId="6" fillId="0" borderId="68" xfId="1" applyNumberFormat="1" applyFont="1"/>
    <xf numFmtId="10" fontId="53" fillId="0" borderId="68" xfId="1" applyNumberFormat="1" applyFont="1" applyAlignment="1">
      <alignment horizontal="left"/>
    </xf>
    <xf numFmtId="174" fontId="6" fillId="0" borderId="68" xfId="2" applyFont="1"/>
    <xf numFmtId="0" fontId="38" fillId="0" borderId="78" xfId="1" applyBorder="1" applyAlignment="1">
      <alignment horizontal="left"/>
    </xf>
    <xf numFmtId="0" fontId="38" fillId="0" borderId="79" xfId="1" applyBorder="1" applyAlignment="1">
      <alignment horizontal="left"/>
    </xf>
    <xf numFmtId="0" fontId="38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4" fillId="0" borderId="68" xfId="1" applyNumberFormat="1" applyFont="1" applyAlignment="1">
      <alignment horizontal="center"/>
    </xf>
    <xf numFmtId="164" fontId="1" fillId="0" borderId="68" xfId="3" applyNumberFormat="1" applyFont="1"/>
    <xf numFmtId="0" fontId="39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8" fillId="0" borderId="68" xfId="1" applyNumberFormat="1"/>
    <xf numFmtId="0" fontId="38" fillId="0" borderId="85" xfId="1" applyBorder="1" applyAlignment="1">
      <alignment horizontal="left"/>
    </xf>
    <xf numFmtId="0" fontId="38" fillId="0" borderId="74" xfId="1" applyBorder="1" applyAlignment="1">
      <alignment horizontal="left"/>
    </xf>
    <xf numFmtId="0" fontId="38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8" fillId="0" borderId="68" xfId="1" applyAlignment="1">
      <alignment horizontal="center"/>
    </xf>
    <xf numFmtId="3" fontId="50" fillId="0" borderId="68" xfId="1" applyNumberFormat="1" applyFont="1" applyAlignment="1">
      <alignment horizontal="center"/>
    </xf>
    <xf numFmtId="3" fontId="52" fillId="0" borderId="68" xfId="1" applyNumberFormat="1" applyFont="1" applyAlignment="1">
      <alignment horizontal="center"/>
    </xf>
    <xf numFmtId="3" fontId="43" fillId="0" borderId="68" xfId="1" applyNumberFormat="1" applyFont="1" applyAlignment="1">
      <alignment horizontal="left"/>
    </xf>
    <xf numFmtId="1" fontId="38" fillId="0" borderId="73" xfId="1" applyNumberFormat="1" applyBorder="1"/>
    <xf numFmtId="1" fontId="55" fillId="0" borderId="68" xfId="2" applyNumberFormat="1" applyFont="1" applyAlignment="1">
      <alignment horizontal="left"/>
    </xf>
    <xf numFmtId="2" fontId="38" fillId="0" borderId="68" xfId="1" applyNumberFormat="1" applyAlignment="1">
      <alignment horizontal="center"/>
    </xf>
    <xf numFmtId="1" fontId="38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8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8" fillId="0" borderId="68" xfId="1" applyNumberFormat="1" applyAlignment="1">
      <alignment horizontal="left"/>
    </xf>
    <xf numFmtId="3" fontId="39" fillId="0" borderId="68" xfId="1" applyNumberFormat="1" applyFont="1"/>
    <xf numFmtId="10" fontId="15" fillId="0" borderId="68" xfId="1" applyNumberFormat="1" applyFont="1" applyAlignment="1">
      <alignment horizontal="center"/>
    </xf>
    <xf numFmtId="10" fontId="38" fillId="0" borderId="68" xfId="1" applyNumberFormat="1"/>
    <xf numFmtId="174" fontId="38" fillId="0" borderId="73" xfId="1" applyNumberFormat="1" applyBorder="1"/>
    <xf numFmtId="174" fontId="38" fillId="0" borderId="73" xfId="2" applyFont="1" applyBorder="1"/>
    <xf numFmtId="1" fontId="55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8" fillId="17" borderId="68" xfId="1" applyFill="1"/>
    <xf numFmtId="0" fontId="9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7" fillId="16" borderId="1" xfId="1" applyFont="1" applyFill="1" applyBorder="1" applyAlignment="1">
      <alignment horizontal="center" vertical="center" wrapText="1"/>
    </xf>
    <xf numFmtId="0" fontId="57" fillId="16" borderId="15" xfId="1" applyFont="1" applyFill="1" applyBorder="1" applyAlignment="1">
      <alignment horizontal="center" vertical="center" wrapText="1"/>
    </xf>
    <xf numFmtId="0" fontId="57" fillId="16" borderId="17" xfId="1" applyFont="1" applyFill="1" applyBorder="1" applyAlignment="1">
      <alignment horizontal="center" vertical="center" wrapText="1"/>
    </xf>
    <xf numFmtId="0" fontId="57" fillId="16" borderId="8" xfId="1" applyFont="1" applyFill="1" applyBorder="1" applyAlignment="1">
      <alignment horizontal="center" vertical="center" wrapText="1"/>
    </xf>
    <xf numFmtId="0" fontId="57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7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7" fillId="18" borderId="71" xfId="1" applyNumberFormat="1" applyFont="1" applyFill="1" applyBorder="1" applyAlignment="1">
      <alignment horizontal="center"/>
    </xf>
    <xf numFmtId="3" fontId="37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4" fillId="22" borderId="73" xfId="1" applyFont="1" applyFill="1" applyBorder="1" applyAlignment="1">
      <alignment horizontal="center"/>
    </xf>
    <xf numFmtId="0" fontId="44" fillId="22" borderId="73" xfId="1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8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9" fillId="23" borderId="0" xfId="0" applyFont="1" applyFill="1"/>
    <xf numFmtId="10" fontId="59" fillId="23" borderId="0" xfId="0" applyNumberFormat="1" applyFont="1" applyFill="1"/>
    <xf numFmtId="10" fontId="59" fillId="11" borderId="4" xfId="0" applyNumberFormat="1" applyFont="1" applyFill="1" applyBorder="1"/>
    <xf numFmtId="0" fontId="59" fillId="11" borderId="4" xfId="0" applyFont="1" applyFill="1" applyBorder="1"/>
    <xf numFmtId="0" fontId="60" fillId="11" borderId="4" xfId="0" applyFont="1" applyFill="1" applyBorder="1"/>
    <xf numFmtId="3" fontId="59" fillId="11" borderId="4" xfId="0" applyNumberFormat="1" applyFont="1" applyFill="1" applyBorder="1"/>
    <xf numFmtId="164" fontId="59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1" fillId="0" borderId="73" xfId="0" applyNumberFormat="1" applyFont="1" applyBorder="1"/>
    <xf numFmtId="10" fontId="61" fillId="17" borderId="73" xfId="0" applyNumberFormat="1" applyFont="1" applyFill="1" applyBorder="1"/>
    <xf numFmtId="10" fontId="61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2" fillId="17" borderId="73" xfId="4" applyFont="1" applyFill="1" applyBorder="1"/>
    <xf numFmtId="3" fontId="64" fillId="17" borderId="73" xfId="4" applyNumberFormat="1" applyFont="1" applyFill="1" applyBorder="1" applyAlignment="1">
      <alignment horizontal="center"/>
    </xf>
    <xf numFmtId="0" fontId="65" fillId="24" borderId="73" xfId="4" applyFont="1" applyFill="1" applyBorder="1"/>
    <xf numFmtId="10" fontId="62" fillId="24" borderId="73" xfId="0" applyNumberFormat="1" applyFont="1" applyFill="1" applyBorder="1"/>
    <xf numFmtId="2" fontId="62" fillId="24" borderId="73" xfId="4" applyNumberFormat="1" applyFont="1" applyFill="1" applyBorder="1" applyAlignment="1">
      <alignment horizontal="right"/>
    </xf>
    <xf numFmtId="1" fontId="43" fillId="0" borderId="68" xfId="1" applyNumberFormat="1" applyFont="1" applyAlignment="1">
      <alignment horizontal="left"/>
    </xf>
    <xf numFmtId="0" fontId="44" fillId="0" borderId="68" xfId="1" applyFont="1" applyAlignment="1">
      <alignment horizontal="center" vertical="center"/>
    </xf>
    <xf numFmtId="0" fontId="45" fillId="0" borderId="68" xfId="1" applyFont="1" applyAlignment="1">
      <alignment horizontal="left" vertical="center"/>
    </xf>
    <xf numFmtId="3" fontId="46" fillId="0" borderId="68" xfId="1" applyNumberFormat="1" applyFont="1" applyProtection="1">
      <protection locked="0"/>
    </xf>
    <xf numFmtId="3" fontId="47" fillId="0" borderId="68" xfId="1" applyNumberFormat="1" applyFont="1"/>
    <xf numFmtId="0" fontId="45" fillId="0" borderId="68" xfId="1" applyFont="1"/>
    <xf numFmtId="0" fontId="45" fillId="0" borderId="68" xfId="1" applyFont="1" applyAlignment="1">
      <alignment horizontal="right"/>
    </xf>
    <xf numFmtId="3" fontId="48" fillId="0" borderId="68" xfId="1" applyNumberFormat="1" applyFont="1"/>
    <xf numFmtId="0" fontId="45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8" fillId="0" borderId="68" xfId="2" applyFont="1" applyFill="1" applyBorder="1"/>
    <xf numFmtId="175" fontId="38" fillId="0" borderId="68" xfId="1" applyNumberFormat="1"/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" xfId="1" applyNumberFormat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66" fontId="23" fillId="12" borderId="13" xfId="1" applyNumberFormat="1" applyFont="1" applyFill="1" applyBorder="1" applyAlignment="1">
      <alignment horizontal="center" vertical="center"/>
    </xf>
    <xf numFmtId="166" fontId="23" fillId="0" borderId="16" xfId="1" applyNumberFormat="1" applyFont="1" applyBorder="1" applyAlignment="1">
      <alignment horizontal="center" vertical="center"/>
    </xf>
    <xf numFmtId="10" fontId="23" fillId="0" borderId="16" xfId="1" applyNumberFormat="1" applyFont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0" fontId="23" fillId="0" borderId="2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23" fillId="0" borderId="41" xfId="1" applyFont="1" applyBorder="1" applyAlignment="1">
      <alignment horizontal="left" vertical="center"/>
    </xf>
    <xf numFmtId="166" fontId="23" fillId="0" borderId="52" xfId="1" applyNumberFormat="1" applyFont="1" applyBorder="1" applyAlignment="1">
      <alignment horizontal="center" vertical="center"/>
    </xf>
    <xf numFmtId="167" fontId="21" fillId="0" borderId="68" xfId="1" applyNumberFormat="1" applyFont="1"/>
    <xf numFmtId="0" fontId="7" fillId="0" borderId="53" xfId="1" applyFont="1" applyBorder="1"/>
    <xf numFmtId="166" fontId="24" fillId="10" borderId="54" xfId="1" applyNumberFormat="1" applyFont="1" applyFill="1" applyBorder="1" applyAlignment="1">
      <alignment horizontal="center" vertical="center" wrapText="1"/>
    </xf>
    <xf numFmtId="10" fontId="24" fillId="10" borderId="54" xfId="1" applyNumberFormat="1" applyFont="1" applyFill="1" applyBorder="1" applyAlignment="1">
      <alignment horizontal="center" vertical="center" wrapText="1"/>
    </xf>
    <xf numFmtId="168" fontId="21" fillId="0" borderId="68" xfId="1" applyNumberFormat="1" applyFont="1"/>
    <xf numFmtId="0" fontId="23" fillId="0" borderId="2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/>
    </xf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0" fontId="26" fillId="0" borderId="68" xfId="1" applyFont="1"/>
    <xf numFmtId="0" fontId="4" fillId="0" borderId="68" xfId="1" applyFont="1"/>
    <xf numFmtId="170" fontId="27" fillId="0" borderId="68" xfId="1" applyNumberFormat="1" applyFont="1" applyAlignment="1">
      <alignment horizontal="center" vertical="center"/>
    </xf>
    <xf numFmtId="167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9" fillId="0" borderId="68" xfId="1" applyNumberFormat="1" applyFont="1" applyAlignment="1">
      <alignment horizontal="center" vertical="center"/>
    </xf>
    <xf numFmtId="166" fontId="29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9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8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30" fillId="0" borderId="68" xfId="1" applyNumberFormat="1" applyFont="1" applyAlignment="1">
      <alignment horizontal="right" vertical="center"/>
    </xf>
    <xf numFmtId="3" fontId="30" fillId="0" borderId="68" xfId="1" applyNumberFormat="1" applyFont="1" applyAlignment="1">
      <alignment horizontal="right"/>
    </xf>
    <xf numFmtId="172" fontId="30" fillId="0" borderId="68" xfId="1" applyNumberFormat="1" applyFont="1" applyAlignment="1">
      <alignment horizontal="center" vertical="center"/>
    </xf>
    <xf numFmtId="0" fontId="7" fillId="0" borderId="68" xfId="1" applyFont="1"/>
    <xf numFmtId="9" fontId="30" fillId="11" borderId="68" xfId="1" applyNumberFormat="1" applyFont="1" applyFill="1" applyAlignment="1">
      <alignment horizontal="center"/>
    </xf>
    <xf numFmtId="0" fontId="30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2" fillId="17" borderId="73" xfId="4" applyFont="1" applyFill="1" applyBorder="1" applyAlignment="1">
      <alignment horizontal="left"/>
    </xf>
    <xf numFmtId="0" fontId="62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8" fillId="0" borderId="81" xfId="3" applyNumberFormat="1" applyFont="1" applyFill="1" applyBorder="1" applyAlignment="1">
      <alignment horizontal="center"/>
    </xf>
    <xf numFmtId="166" fontId="1" fillId="0" borderId="68" xfId="1" applyNumberFormat="1" applyFont="1"/>
    <xf numFmtId="1" fontId="21" fillId="0" borderId="68" xfId="1" applyNumberFormat="1" applyFont="1"/>
    <xf numFmtId="166" fontId="38" fillId="0" borderId="68" xfId="1" applyNumberFormat="1"/>
    <xf numFmtId="10" fontId="59" fillId="11" borderId="68" xfId="0" applyNumberFormat="1" applyFont="1" applyFill="1" applyBorder="1"/>
    <xf numFmtId="0" fontId="59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8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8" fillId="25" borderId="73" xfId="1" applyNumberFormat="1" applyFill="1" applyBorder="1" applyAlignment="1">
      <alignment horizontal="center"/>
    </xf>
    <xf numFmtId="0" fontId="57" fillId="16" borderId="1" xfId="0" applyFont="1" applyFill="1" applyBorder="1" applyAlignment="1">
      <alignment horizontal="center" vertical="center" wrapText="1"/>
    </xf>
    <xf numFmtId="0" fontId="66" fillId="0" borderId="73" xfId="0" applyFont="1" applyBorder="1" applyAlignment="1">
      <alignment horizontal="right"/>
    </xf>
    <xf numFmtId="0" fontId="66" fillId="0" borderId="73" xfId="0" applyFont="1" applyBorder="1"/>
    <xf numFmtId="10" fontId="66" fillId="0" borderId="73" xfId="0" applyNumberFormat="1" applyFont="1" applyBorder="1"/>
    <xf numFmtId="10" fontId="66" fillId="0" borderId="75" xfId="0" applyNumberFormat="1" applyFont="1" applyBorder="1"/>
    <xf numFmtId="0" fontId="62" fillId="0" borderId="73" xfId="1" applyFont="1" applyBorder="1" applyAlignment="1">
      <alignment horizontal="right"/>
    </xf>
    <xf numFmtId="0" fontId="62" fillId="0" borderId="73" xfId="0" applyFont="1" applyBorder="1" applyAlignment="1">
      <alignment horizontal="right"/>
    </xf>
    <xf numFmtId="10" fontId="62" fillId="0" borderId="73" xfId="1" applyNumberFormat="1" applyFont="1" applyBorder="1" applyAlignment="1">
      <alignment horizontal="right"/>
    </xf>
    <xf numFmtId="0" fontId="62" fillId="0" borderId="73" xfId="4" applyFont="1" applyBorder="1" applyAlignment="1">
      <alignment horizontal="right"/>
    </xf>
    <xf numFmtId="3" fontId="63" fillId="0" borderId="73" xfId="0" applyNumberFormat="1" applyFont="1" applyBorder="1" applyAlignment="1">
      <alignment horizontal="right"/>
    </xf>
    <xf numFmtId="10" fontId="62" fillId="0" borderId="73" xfId="0" applyNumberFormat="1" applyFont="1" applyBorder="1" applyAlignment="1">
      <alignment horizontal="right"/>
    </xf>
    <xf numFmtId="0" fontId="66" fillId="0" borderId="73" xfId="0" applyFont="1" applyBorder="1" applyAlignment="1">
      <alignment horizontal="left"/>
    </xf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1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2" fillId="14" borderId="58" xfId="1" applyFont="1" applyFill="1" applyBorder="1" applyAlignment="1">
      <alignment horizontal="center"/>
    </xf>
    <xf numFmtId="0" fontId="31" fillId="11" borderId="68" xfId="1" applyFont="1" applyFill="1" applyAlignment="1">
      <alignment horizontal="center"/>
    </xf>
    <xf numFmtId="0" fontId="7" fillId="0" borderId="68" xfId="1" applyFont="1"/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68" xfId="1" applyFont="1" applyAlignment="1">
      <alignment horizontal="left" vertical="center"/>
    </xf>
    <xf numFmtId="0" fontId="38" fillId="0" borderId="68" xfId="1"/>
    <xf numFmtId="0" fontId="24" fillId="0" borderId="68" xfId="1" applyFont="1" applyAlignment="1">
      <alignment horizontal="left" vertical="center" wrapText="1"/>
    </xf>
    <xf numFmtId="0" fontId="24" fillId="10" borderId="58" xfId="1" applyFont="1" applyFill="1" applyBorder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1" applyFont="1" applyBorder="1" applyAlignment="1">
      <alignment vertical="center"/>
    </xf>
    <xf numFmtId="0" fontId="23" fillId="0" borderId="49" xfId="1" applyFont="1" applyBorder="1" applyAlignment="1">
      <alignment horizontal="left" vertical="center"/>
    </xf>
    <xf numFmtId="0" fontId="24" fillId="10" borderId="55" xfId="1" applyFont="1" applyFill="1" applyBorder="1" applyAlignment="1">
      <alignment horizontal="left" vertical="center" wrapText="1"/>
    </xf>
    <xf numFmtId="0" fontId="25" fillId="14" borderId="9" xfId="1" applyFont="1" applyFill="1" applyBorder="1" applyAlignment="1">
      <alignment horizontal="center" vertical="center"/>
    </xf>
    <xf numFmtId="0" fontId="7" fillId="0" borderId="10" xfId="1" applyFont="1" applyBorder="1"/>
    <xf numFmtId="0" fontId="7" fillId="0" borderId="11" xfId="1" applyFont="1" applyBorder="1"/>
    <xf numFmtId="0" fontId="25" fillId="14" borderId="55" xfId="1" applyFont="1" applyFill="1" applyBorder="1" applyAlignment="1">
      <alignment horizontal="center" vertical="center"/>
    </xf>
    <xf numFmtId="0" fontId="25" fillId="14" borderId="45" xfId="1" applyFont="1" applyFill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23" fillId="0" borderId="9" xfId="1" applyFont="1" applyBorder="1" applyAlignment="1">
      <alignment horizontal="left" vertical="center"/>
    </xf>
    <xf numFmtId="0" fontId="7" fillId="0" borderId="48" xfId="1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9" fillId="0" borderId="75" xfId="1" applyFont="1" applyBorder="1" applyAlignment="1">
      <alignment horizontal="center"/>
    </xf>
    <xf numFmtId="0" fontId="39" fillId="0" borderId="77" xfId="1" applyFont="1" applyBorder="1" applyAlignment="1">
      <alignment horizontal="center"/>
    </xf>
    <xf numFmtId="0" fontId="39" fillId="0" borderId="74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9" fillId="0" borderId="76" xfId="1" applyFont="1" applyBorder="1" applyAlignment="1">
      <alignment horizontal="center"/>
    </xf>
    <xf numFmtId="0" fontId="40" fillId="0" borderId="68" xfId="1" applyFont="1" applyAlignment="1">
      <alignment horizontal="center"/>
    </xf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39" fillId="0" borderId="82" xfId="1" applyFont="1" applyBorder="1" applyAlignment="1">
      <alignment horizontal="center"/>
    </xf>
    <xf numFmtId="0" fontId="39" fillId="0" borderId="83" xfId="1" applyFont="1" applyBorder="1" applyAlignment="1">
      <alignment horizontal="center"/>
    </xf>
    <xf numFmtId="0" fontId="38" fillId="0" borderId="75" xfId="1" applyBorder="1" applyAlignment="1">
      <alignment horizontal="center"/>
    </xf>
    <xf numFmtId="0" fontId="38" fillId="0" borderId="77" xfId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6" fillId="0" borderId="70" xfId="1" applyFont="1" applyBorder="1"/>
    <xf numFmtId="0" fontId="56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8" fillId="0" borderId="8" xfId="1" applyFont="1" applyBorder="1"/>
    <xf numFmtId="0" fontId="1" fillId="0" borderId="68" xfId="1" applyFont="1" applyAlignment="1">
      <alignment horizontal="center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0" fontId="39" fillId="22" borderId="75" xfId="1" applyFont="1" applyFill="1" applyBorder="1" applyAlignment="1">
      <alignment horizontal="center"/>
    </xf>
    <xf numFmtId="0" fontId="39" fillId="22" borderId="76" xfId="1" applyFont="1" applyFill="1" applyBorder="1" applyAlignment="1">
      <alignment horizontal="center"/>
    </xf>
    <xf numFmtId="0" fontId="39" fillId="22" borderId="77" xfId="1" applyFont="1" applyFill="1" applyBorder="1" applyAlignment="1">
      <alignment horizontal="center"/>
    </xf>
    <xf numFmtId="1" fontId="63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0" fontId="23" fillId="0" borderId="47" xfId="0" applyFont="1" applyBorder="1" applyAlignment="1">
      <alignment horizontal="left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0" fontId="24" fillId="10" borderId="55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25" fillId="14" borderId="9" xfId="0" applyFont="1" applyFill="1" applyBorder="1" applyAlignment="1">
      <alignment horizontal="center" vertical="center"/>
    </xf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4" fillId="10" borderId="58" xfId="0" applyFont="1" applyFill="1" applyBorder="1" applyAlignment="1">
      <alignment horizontal="left" vertical="center" wrapText="1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D8A542C-5C2A-DA49-A9A8-C0EEDC990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7AB6BB9A-A58F-C143-B005-223A72493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3188" y="153446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112" y="76122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5542" y="589112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6298" y="502199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5672" y="333873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4886" y="65753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38972" y="695273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37748" y="150581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380850" y="143106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47795" y="150036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587531" y="521717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51822" y="528056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52826" y="84628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ernando/Downloads/Balance%20Pellets%20Prueba%20Octubre%20Mes.xlsx" TargetMode="External"/><Relationship Id="rId1" Type="http://schemas.openxmlformats.org/officeDocument/2006/relationships/externalLinkPath" Target="/Users/fernando/Downloads/Balance%20Pellets%20Prueba%20Octubre%20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os Variac Inventarios"/>
      <sheetName val="Bal Los Colorados"/>
      <sheetName val="Diag Proc Los Colorados"/>
      <sheetName val="Datos Extra"/>
      <sheetName val="Resumen Planta Pellets"/>
      <sheetName val="Utilidad"/>
      <sheetName val="Flujos"/>
      <sheetName val="Diagrama"/>
    </sheetNames>
    <sheetDataSet>
      <sheetData sheetId="0"/>
      <sheetData sheetId="1"/>
      <sheetData sheetId="2"/>
      <sheetData sheetId="3">
        <row r="28">
          <cell r="D28">
            <v>0</v>
          </cell>
        </row>
      </sheetData>
      <sheetData sheetId="4"/>
      <sheetData sheetId="5"/>
      <sheetData sheetId="6"/>
      <sheetData sheetId="7">
        <row r="4">
          <cell r="N4">
            <v>268398.59110000002</v>
          </cell>
        </row>
        <row r="5">
          <cell r="N5">
            <v>0.64069999999999994</v>
          </cell>
        </row>
        <row r="12">
          <cell r="AD12">
            <v>235748</v>
          </cell>
        </row>
        <row r="19">
          <cell r="AE19">
            <v>7.5731611822392159E-2</v>
          </cell>
        </row>
        <row r="21">
          <cell r="G21">
            <v>0.62490000000000001</v>
          </cell>
        </row>
        <row r="25">
          <cell r="I25">
            <v>233452.33439999999</v>
          </cell>
        </row>
        <row r="26">
          <cell r="AE26">
            <v>0</v>
          </cell>
          <cell r="AG26">
            <v>0</v>
          </cell>
        </row>
        <row r="42">
          <cell r="C42">
            <v>0.6895234054089443</v>
          </cell>
        </row>
        <row r="52">
          <cell r="M52">
            <v>273319.5269</v>
          </cell>
        </row>
        <row r="53">
          <cell r="M53">
            <v>0.65344666550772501</v>
          </cell>
        </row>
        <row r="70">
          <cell r="K70">
            <v>276114</v>
          </cell>
        </row>
        <row r="71">
          <cell r="K71">
            <v>0</v>
          </cell>
        </row>
        <row r="72">
          <cell r="K72">
            <v>595717</v>
          </cell>
        </row>
        <row r="77">
          <cell r="K77">
            <v>271631</v>
          </cell>
        </row>
        <row r="78">
          <cell r="K78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214-CE4A-B145-B0D1-D88119A9D76A}">
  <sheetPr>
    <pageSetUpPr fitToPage="1"/>
  </sheetPr>
  <dimension ref="A1:AB1001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baseColWidth="10" defaultColWidth="14.5" defaultRowHeight="15" customHeight="1" x14ac:dyDescent="0.2"/>
  <cols>
    <col min="1" max="2" width="2.5" style="131" customWidth="1"/>
    <col min="3" max="3" width="15.5" style="131" hidden="1" customWidth="1"/>
    <col min="4" max="5" width="12.5" style="131" customWidth="1"/>
    <col min="6" max="6" width="15.5" style="131" customWidth="1"/>
    <col min="7" max="7" width="14.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28"/>
      <c r="E2" s="523"/>
      <c r="F2" s="532" t="s">
        <v>97</v>
      </c>
      <c r="G2" s="533"/>
      <c r="H2" s="518"/>
      <c r="I2" s="518"/>
      <c r="J2" s="518"/>
      <c r="K2" s="518"/>
      <c r="L2" s="518"/>
      <c r="M2" s="518"/>
      <c r="N2" s="518"/>
      <c r="O2" s="518"/>
      <c r="P2" s="518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29"/>
      <c r="E3" s="530"/>
      <c r="F3" s="534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35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29"/>
      <c r="E4" s="530"/>
      <c r="F4" s="536" t="s">
        <v>98</v>
      </c>
      <c r="G4" s="537"/>
      <c r="H4" s="538"/>
      <c r="I4" s="538"/>
      <c r="J4" s="538"/>
      <c r="K4" s="538"/>
      <c r="L4" s="539"/>
      <c r="M4" s="536" t="s">
        <v>99</v>
      </c>
      <c r="N4" s="537"/>
      <c r="O4" s="539"/>
      <c r="P4" s="541">
        <f ca="1">+Diagrama!C4</f>
        <v>45245</v>
      </c>
      <c r="Q4" s="542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31"/>
      <c r="E5" s="527"/>
      <c r="F5" s="540"/>
      <c r="G5" s="526"/>
      <c r="H5" s="526"/>
      <c r="I5" s="526"/>
      <c r="J5" s="526"/>
      <c r="K5" s="526"/>
      <c r="L5" s="527"/>
      <c r="M5" s="540"/>
      <c r="N5" s="526"/>
      <c r="O5" s="527"/>
      <c r="P5" s="540"/>
      <c r="Q5" s="543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22"/>
      <c r="E7" s="518"/>
      <c r="F7" s="523"/>
      <c r="G7" s="369" t="s">
        <v>100</v>
      </c>
      <c r="H7" s="369" t="s">
        <v>100</v>
      </c>
      <c r="I7" s="369" t="s">
        <v>101</v>
      </c>
      <c r="J7" s="370" t="s">
        <v>102</v>
      </c>
      <c r="K7" s="525"/>
      <c r="L7" s="518"/>
      <c r="M7" s="523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24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26"/>
      <c r="L8" s="526"/>
      <c r="M8" s="527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13" t="s">
        <v>68</v>
      </c>
      <c r="E9" s="514"/>
      <c r="F9" s="514"/>
      <c r="G9" s="514"/>
      <c r="H9" s="514"/>
      <c r="I9" s="514"/>
      <c r="J9" s="515"/>
      <c r="K9" s="517" t="s">
        <v>104</v>
      </c>
      <c r="L9" s="518"/>
      <c r="M9" s="518"/>
      <c r="N9" s="518"/>
      <c r="O9" s="518"/>
      <c r="P9" s="518"/>
      <c r="Q9" s="519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499" t="s">
        <v>106</v>
      </c>
      <c r="E10" s="500"/>
      <c r="F10" s="501"/>
      <c r="G10" s="374">
        <f>+Diagrama!AD12</f>
        <v>235747.68238613463</v>
      </c>
      <c r="H10" s="374">
        <f>+Diagrama!I25</f>
        <v>233722.04399999999</v>
      </c>
      <c r="I10" s="375">
        <f>+Diagrama!G21</f>
        <v>0.60973699999999997</v>
      </c>
      <c r="J10" s="376">
        <f>I10*H10</f>
        <v>142508.977942428</v>
      </c>
      <c r="K10" s="520" t="s">
        <v>107</v>
      </c>
      <c r="L10" s="514"/>
      <c r="M10" s="521"/>
      <c r="N10" s="377">
        <f>+Diagrama!K72</f>
        <v>595716.57652992895</v>
      </c>
      <c r="O10" s="377">
        <f>+Diagrama!H40</f>
        <v>201923</v>
      </c>
      <c r="P10" s="378">
        <f>+Diagrama!H41</f>
        <v>0.7046099322499999</v>
      </c>
      <c r="Q10" s="376">
        <f t="shared" ref="Q10:Q14" si="0">P10*O10</f>
        <v>142276.95134971672</v>
      </c>
      <c r="R10" s="363"/>
      <c r="S10" s="133" t="s">
        <v>70</v>
      </c>
      <c r="T10" s="133" t="s">
        <v>275</v>
      </c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499" t="s">
        <v>108</v>
      </c>
      <c r="E11" s="500"/>
      <c r="F11" s="501"/>
      <c r="G11" s="379">
        <v>0</v>
      </c>
      <c r="H11" s="379">
        <v>0</v>
      </c>
      <c r="I11" s="380">
        <v>0</v>
      </c>
      <c r="J11" s="376">
        <f t="shared" ref="J11" si="1">I11*H11</f>
        <v>0</v>
      </c>
      <c r="K11" s="499" t="s">
        <v>109</v>
      </c>
      <c r="L11" s="500"/>
      <c r="M11" s="501"/>
      <c r="N11" s="374">
        <f>+Diagrama!K70</f>
        <v>276114.47793706832</v>
      </c>
      <c r="O11" s="374">
        <f>+Diagrama!P49</f>
        <v>0</v>
      </c>
      <c r="P11" s="375">
        <v>0</v>
      </c>
      <c r="Q11" s="376">
        <f>P11*O11</f>
        <v>0</v>
      </c>
      <c r="R11" s="363"/>
      <c r="S11" s="460">
        <f>+O10+O11+O12+O17</f>
        <v>221608</v>
      </c>
      <c r="T11" s="460">
        <f>+S11-(H10+S13+T13+Diagrama!L21+Diagrama!G34)</f>
        <v>0</v>
      </c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499" t="s">
        <v>110</v>
      </c>
      <c r="E12" s="500"/>
      <c r="F12" s="501"/>
      <c r="G12" s="379">
        <v>0</v>
      </c>
      <c r="H12" s="379">
        <v>0</v>
      </c>
      <c r="I12" s="380">
        <v>0</v>
      </c>
      <c r="J12" s="376">
        <v>0</v>
      </c>
      <c r="K12" s="499" t="s">
        <v>111</v>
      </c>
      <c r="L12" s="500"/>
      <c r="M12" s="501"/>
      <c r="N12" s="374">
        <f>+Diagrama!K71</f>
        <v>0</v>
      </c>
      <c r="O12" s="374">
        <f>+Diagrama!R47</f>
        <v>0</v>
      </c>
      <c r="P12" s="375">
        <v>0</v>
      </c>
      <c r="Q12" s="376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11" t="s">
        <v>112</v>
      </c>
      <c r="E13" s="489"/>
      <c r="F13" s="490"/>
      <c r="G13" s="379">
        <v>0</v>
      </c>
      <c r="H13" s="379">
        <v>0</v>
      </c>
      <c r="I13" s="380">
        <v>0</v>
      </c>
      <c r="J13" s="376">
        <v>0</v>
      </c>
      <c r="K13" s="499" t="s">
        <v>113</v>
      </c>
      <c r="L13" s="500"/>
      <c r="M13" s="501"/>
      <c r="N13" s="374">
        <f>+Diagrama!K77</f>
        <v>271631.41382451169</v>
      </c>
      <c r="O13" s="374">
        <f>+Diagrama!K77*(1-Diagrama!AE7)</f>
        <v>269004.37498826277</v>
      </c>
      <c r="P13" s="375">
        <f>+Diagrama!H5</f>
        <v>0.63643644745999994</v>
      </c>
      <c r="Q13" s="376">
        <f>P13*O13</f>
        <v>171204.18876872762</v>
      </c>
      <c r="R13" s="363"/>
      <c r="S13" s="208">
        <v>0</v>
      </c>
      <c r="T13" s="141">
        <v>0</v>
      </c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/>
      <c r="D14" s="511"/>
      <c r="E14" s="489"/>
      <c r="F14" s="490"/>
      <c r="G14" s="379"/>
      <c r="H14" s="379"/>
      <c r="I14" s="380"/>
      <c r="J14" s="376"/>
      <c r="K14" s="382" t="s">
        <v>276</v>
      </c>
      <c r="L14" s="383"/>
      <c r="M14" s="384"/>
      <c r="N14" s="385">
        <f>+Diagrama!K78</f>
        <v>0</v>
      </c>
      <c r="O14" s="385">
        <f>+Diagrama!K78*(1-Diagrama!AE33)</f>
        <v>0</v>
      </c>
      <c r="P14" s="375">
        <f>+Diagrama!AG33</f>
        <v>0</v>
      </c>
      <c r="Q14" s="376">
        <f t="shared" si="0"/>
        <v>0</v>
      </c>
      <c r="R14" s="363"/>
      <c r="S14" s="133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 t="s">
        <v>114</v>
      </c>
      <c r="D15" s="505" t="s">
        <v>115</v>
      </c>
      <c r="E15" s="492"/>
      <c r="F15" s="493"/>
      <c r="G15" s="388">
        <f>SUM(G10:G14)</f>
        <v>235747.68238613463</v>
      </c>
      <c r="H15" s="388">
        <f>SUM(H10:H14)</f>
        <v>233722.04399999999</v>
      </c>
      <c r="I15" s="389">
        <f>I10</f>
        <v>0.60973699999999997</v>
      </c>
      <c r="J15" s="388">
        <f>J10</f>
        <v>142508.977942428</v>
      </c>
      <c r="K15" s="512" t="s">
        <v>115</v>
      </c>
      <c r="L15" s="492"/>
      <c r="M15" s="493"/>
      <c r="N15" s="388">
        <f>SUM(N10:N14)</f>
        <v>1143462.468291509</v>
      </c>
      <c r="O15" s="388">
        <f>SUM(O10:O14)</f>
        <v>470927.37498826277</v>
      </c>
      <c r="P15" s="389">
        <f>+Q15/O15</f>
        <v>0.66566769478257115</v>
      </c>
      <c r="Q15" s="388">
        <f>SUM(Q10:Q14)</f>
        <v>313481.14011844434</v>
      </c>
      <c r="R15" s="363"/>
      <c r="S15" s="461">
        <f>+G10+S13+T13</f>
        <v>235747.68238613463</v>
      </c>
      <c r="T15" s="386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13" t="s">
        <v>116</v>
      </c>
      <c r="E16" s="514"/>
      <c r="F16" s="514"/>
      <c r="G16" s="514"/>
      <c r="H16" s="514"/>
      <c r="I16" s="514"/>
      <c r="J16" s="515"/>
      <c r="K16" s="516" t="s">
        <v>117</v>
      </c>
      <c r="L16" s="492"/>
      <c r="M16" s="492"/>
      <c r="N16" s="492"/>
      <c r="O16" s="492"/>
      <c r="P16" s="492"/>
      <c r="Q16" s="495"/>
      <c r="R16" s="36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499" t="s">
        <v>118</v>
      </c>
      <c r="E17" s="500"/>
      <c r="F17" s="501"/>
      <c r="G17" s="379">
        <f>+Diagrama!L77</f>
        <v>283306</v>
      </c>
      <c r="H17" s="379">
        <f>+Diagrama!N4</f>
        <v>268399</v>
      </c>
      <c r="I17" s="380">
        <f>+Diagrama!N5</f>
        <v>0.63819986140999996</v>
      </c>
      <c r="J17" s="376">
        <f t="shared" ref="J17:J21" si="2">I17*H17</f>
        <v>171292.20460258258</v>
      </c>
      <c r="K17" s="391" t="s">
        <v>277</v>
      </c>
      <c r="L17" s="391"/>
      <c r="M17" s="392"/>
      <c r="N17" s="374" t="s">
        <v>278</v>
      </c>
      <c r="O17" s="374">
        <f>+Diagrama!F27</f>
        <v>19685</v>
      </c>
      <c r="P17" s="375">
        <f>+Diagrama!F28</f>
        <v>5.8200000000000002E-2</v>
      </c>
      <c r="Q17" s="376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499" t="s">
        <v>107</v>
      </c>
      <c r="E18" s="500"/>
      <c r="F18" s="501"/>
      <c r="G18" s="379">
        <f>+Diagrama!L72</f>
        <v>427569</v>
      </c>
      <c r="H18" s="379">
        <f>+G18*(1-Diagrama!AE19)</f>
        <v>395188.51046471158</v>
      </c>
      <c r="I18" s="380">
        <f>+Diagrama!C42</f>
        <v>0.6895</v>
      </c>
      <c r="J18" s="376">
        <f t="shared" si="2"/>
        <v>272482.47796541866</v>
      </c>
      <c r="K18" s="512" t="s">
        <v>115</v>
      </c>
      <c r="L18" s="492"/>
      <c r="M18" s="493"/>
      <c r="N18" s="394" t="str">
        <f>N17</f>
        <v>-</v>
      </c>
      <c r="O18" s="394">
        <f t="shared" ref="O18:P18" si="4">O17</f>
        <v>19685</v>
      </c>
      <c r="P18" s="395">
        <f t="shared" si="4"/>
        <v>5.8200000000000002E-2</v>
      </c>
      <c r="Q18" s="396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499" t="s">
        <v>109</v>
      </c>
      <c r="E19" s="500"/>
      <c r="F19" s="501"/>
      <c r="G19" s="379">
        <f>+Diagrama!L70</f>
        <v>342867</v>
      </c>
      <c r="H19" s="379">
        <f>+Diagrama!M52</f>
        <v>273320</v>
      </c>
      <c r="I19" s="380">
        <f>+Diagrama!M53</f>
        <v>0.65339999999999998</v>
      </c>
      <c r="J19" s="376">
        <f t="shared" si="2"/>
        <v>178587.288</v>
      </c>
      <c r="K19" s="133"/>
      <c r="L19" s="133"/>
      <c r="M19" s="133"/>
      <c r="N19" s="133"/>
      <c r="O19" s="397"/>
      <c r="P19" s="398"/>
      <c r="Q19" s="398"/>
      <c r="R19" s="363"/>
      <c r="S19" s="39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499" t="s">
        <v>94</v>
      </c>
      <c r="E20" s="500"/>
      <c r="F20" s="501"/>
      <c r="G20" s="379">
        <v>0</v>
      </c>
      <c r="H20" s="379" t="e">
        <f>Diagrama!L78*(1-'Datos Extra'!#REF!)</f>
        <v>#REF!</v>
      </c>
      <c r="I20" s="380">
        <f>+Diagrama!T34</f>
        <v>0</v>
      </c>
      <c r="J20" s="376" t="e">
        <f t="shared" si="2"/>
        <v>#REF!</v>
      </c>
      <c r="K20" s="502"/>
      <c r="L20" s="503"/>
      <c r="M20" s="503"/>
      <c r="N20" s="462"/>
      <c r="O20" s="399">
        <v>4233</v>
      </c>
      <c r="P20" s="400"/>
      <c r="Q20" s="401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499" t="s">
        <v>111</v>
      </c>
      <c r="E21" s="500"/>
      <c r="F21" s="501"/>
      <c r="G21" s="379">
        <f>+Diagrama!L71</f>
        <v>24736</v>
      </c>
      <c r="H21" s="379">
        <f>IF(G21=0,0,G21*(1-Diagrama!AE26))</f>
        <v>24736</v>
      </c>
      <c r="I21" s="380">
        <f>IF(G21=0,0,Diagrama!AG26)</f>
        <v>0</v>
      </c>
      <c r="J21" s="376">
        <f t="shared" si="2"/>
        <v>0</v>
      </c>
      <c r="K21" s="504"/>
      <c r="L21" s="503"/>
      <c r="M21" s="503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05" t="s">
        <v>115</v>
      </c>
      <c r="E22" s="492"/>
      <c r="F22" s="493"/>
      <c r="G22" s="388">
        <f>SUM(G17:G21)</f>
        <v>1078478</v>
      </c>
      <c r="H22" s="388" t="e">
        <f>SUM(H17:H21)</f>
        <v>#REF!</v>
      </c>
      <c r="I22" s="389" t="e">
        <f>SUMPRODUCT(H17:H21,I17:I21)/H22</f>
        <v>#REF!</v>
      </c>
      <c r="J22" s="388" t="e">
        <f>SUM(J17:J21)</f>
        <v>#REF!</v>
      </c>
      <c r="K22" s="504"/>
      <c r="L22" s="503"/>
      <c r="M22" s="503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customHeight="1" thickBot="1" x14ac:dyDescent="0.25">
      <c r="A23" s="133"/>
      <c r="B23" s="367"/>
      <c r="C23" s="368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3"/>
      <c r="P23" s="404"/>
      <c r="Q23" s="405"/>
      <c r="R23" s="36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06" t="s">
        <v>119</v>
      </c>
      <c r="E24" s="492"/>
      <c r="F24" s="493"/>
      <c r="G24" s="387"/>
      <c r="H24" s="407" t="s">
        <v>40</v>
      </c>
      <c r="I24" s="407" t="s">
        <v>103</v>
      </c>
      <c r="J24" s="408" t="s">
        <v>41</v>
      </c>
      <c r="K24" s="406" t="s">
        <v>120</v>
      </c>
      <c r="L24" s="409" t="s">
        <v>121</v>
      </c>
      <c r="M24" s="410"/>
      <c r="N24" s="410"/>
      <c r="O24" s="411"/>
      <c r="P24" s="410"/>
      <c r="Q24" s="410"/>
      <c r="R24" s="412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07" t="s">
        <v>122</v>
      </c>
      <c r="E25" s="508"/>
      <c r="F25" s="509"/>
      <c r="G25" s="371"/>
      <c r="H25" s="413"/>
      <c r="I25" s="414"/>
      <c r="J25" s="415"/>
      <c r="K25" s="416"/>
      <c r="L25" s="417"/>
      <c r="M25" s="418"/>
      <c r="N25" s="418"/>
      <c r="O25" s="419">
        <v>0.76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10" t="s">
        <v>123</v>
      </c>
      <c r="E26" s="500"/>
      <c r="F26" s="501"/>
      <c r="G26" s="364"/>
      <c r="H26" s="379"/>
      <c r="I26" s="380"/>
      <c r="J26" s="422"/>
      <c r="K26" s="416"/>
      <c r="L26" s="423"/>
      <c r="M26" s="418"/>
      <c r="N26" s="418"/>
      <c r="O26" s="419">
        <v>8.68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10" t="s">
        <v>124</v>
      </c>
      <c r="E27" s="500"/>
      <c r="F27" s="501"/>
      <c r="G27" s="364"/>
      <c r="H27" s="379"/>
      <c r="I27" s="380"/>
      <c r="J27" s="422"/>
      <c r="K27" s="416"/>
      <c r="L27" s="423"/>
      <c r="M27" s="418"/>
      <c r="N27" s="418"/>
      <c r="O27" s="419">
        <v>0.76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510" t="s">
        <v>125</v>
      </c>
      <c r="E28" s="500"/>
      <c r="F28" s="501"/>
      <c r="G28" s="364"/>
      <c r="H28" s="379"/>
      <c r="I28" s="380"/>
      <c r="J28" s="422"/>
      <c r="K28" s="416"/>
      <c r="L28" s="423"/>
      <c r="M28" s="418"/>
      <c r="N28" s="418"/>
      <c r="O28" s="419">
        <v>8.39</v>
      </c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21" t="s">
        <v>126</v>
      </c>
      <c r="E29" s="424"/>
      <c r="F29" s="425"/>
      <c r="G29" s="426"/>
      <c r="H29" s="379"/>
      <c r="I29" s="380"/>
      <c r="J29" s="427"/>
      <c r="K29" s="428"/>
      <c r="L29" s="429"/>
      <c r="M29" s="418"/>
      <c r="N29" s="418"/>
      <c r="O29" s="419"/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499" t="s">
        <v>127</v>
      </c>
      <c r="E30" s="500"/>
      <c r="F30" s="501"/>
      <c r="G30" s="364"/>
      <c r="H30" s="379"/>
      <c r="I30" s="380"/>
      <c r="J30" s="422"/>
      <c r="K30" s="416"/>
      <c r="L30" s="423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488" t="s">
        <v>128</v>
      </c>
      <c r="E31" s="489"/>
      <c r="F31" s="490"/>
      <c r="G31" s="381"/>
      <c r="H31" s="430"/>
      <c r="I31" s="431"/>
      <c r="J31" s="432"/>
      <c r="K31" s="416"/>
      <c r="L31" s="429"/>
      <c r="M31" s="418"/>
      <c r="N31" s="418"/>
      <c r="O31" s="419">
        <v>0.05</v>
      </c>
      <c r="P31" s="400"/>
      <c r="Q31" s="401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368"/>
      <c r="D32" s="491" t="s">
        <v>115</v>
      </c>
      <c r="E32" s="492"/>
      <c r="F32" s="493"/>
      <c r="G32" s="387"/>
      <c r="H32" s="394">
        <v>0</v>
      </c>
      <c r="I32" s="395"/>
      <c r="J32" s="433">
        <v>0</v>
      </c>
      <c r="K32" s="434">
        <v>0</v>
      </c>
      <c r="L32" s="396">
        <v>0</v>
      </c>
      <c r="M32" s="410"/>
      <c r="N32" s="410"/>
      <c r="O32" s="405"/>
      <c r="P32" s="404"/>
      <c r="Q32" s="405"/>
      <c r="R32" s="363"/>
      <c r="S32" s="133"/>
      <c r="T32" s="133"/>
      <c r="U32" s="420"/>
      <c r="V32" s="133"/>
      <c r="W32" s="133"/>
      <c r="X32" s="133"/>
      <c r="Y32" s="133"/>
      <c r="Z32" s="133"/>
      <c r="AA32" s="133"/>
      <c r="AB32" s="133"/>
    </row>
    <row r="33" spans="1:28" ht="15" hidden="1" customHeight="1" x14ac:dyDescent="0.2">
      <c r="A33" s="133"/>
      <c r="B33" s="367"/>
      <c r="C33" s="133"/>
      <c r="D33" s="435"/>
      <c r="E33" s="133"/>
      <c r="F33" s="133"/>
      <c r="G33" s="133"/>
      <c r="H33" s="133"/>
      <c r="I33" s="436"/>
      <c r="J33" s="436"/>
      <c r="K33" s="436"/>
      <c r="L33" s="437"/>
      <c r="M33" s="436"/>
      <c r="N33" s="436"/>
      <c r="O33" s="133"/>
      <c r="P33" s="438"/>
      <c r="Q33" s="133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494" t="s">
        <v>129</v>
      </c>
      <c r="E34" s="492"/>
      <c r="F34" s="492"/>
      <c r="G34" s="492"/>
      <c r="H34" s="492"/>
      <c r="I34" s="492"/>
      <c r="J34" s="492"/>
      <c r="K34" s="492"/>
      <c r="L34" s="492"/>
      <c r="M34" s="492"/>
      <c r="N34" s="492"/>
      <c r="O34" s="492"/>
      <c r="P34" s="492"/>
      <c r="Q34" s="495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thickBot="1" x14ac:dyDescent="0.25">
      <c r="A36" s="133"/>
      <c r="B36" s="367"/>
      <c r="C36" s="133"/>
      <c r="D36" s="496" t="s">
        <v>130</v>
      </c>
      <c r="E36" s="492"/>
      <c r="F36" s="495"/>
      <c r="G36" s="439"/>
      <c r="H36" s="497"/>
      <c r="I36" s="498"/>
      <c r="J36" s="133"/>
      <c r="K36" s="496" t="s">
        <v>131</v>
      </c>
      <c r="L36" s="492"/>
      <c r="M36" s="495"/>
      <c r="N36" s="439"/>
      <c r="O36" s="497"/>
      <c r="P36" s="498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x14ac:dyDescent="0.2">
      <c r="A37" s="133"/>
      <c r="B37" s="367"/>
      <c r="C37" s="133"/>
      <c r="D37" s="482">
        <f>+Diagrama!P19</f>
        <v>0.86394503720838589</v>
      </c>
      <c r="E37" s="483"/>
      <c r="F37" s="484"/>
      <c r="G37" s="439"/>
      <c r="H37" s="440"/>
      <c r="I37" s="441"/>
      <c r="J37" s="133"/>
      <c r="K37" s="482">
        <f>+Diagrama!P21</f>
        <v>0.96630945584706074</v>
      </c>
      <c r="L37" s="483"/>
      <c r="M37" s="484"/>
      <c r="N37" s="442"/>
      <c r="O37" s="441"/>
      <c r="P37" s="441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thickBot="1" x14ac:dyDescent="0.25">
      <c r="A38" s="133"/>
      <c r="B38" s="367"/>
      <c r="C38" s="133"/>
      <c r="D38" s="485"/>
      <c r="E38" s="486"/>
      <c r="F38" s="487"/>
      <c r="G38" s="439"/>
      <c r="H38" s="443"/>
      <c r="I38" s="444"/>
      <c r="J38" s="133"/>
      <c r="K38" s="485"/>
      <c r="L38" s="486"/>
      <c r="M38" s="487"/>
      <c r="N38" s="442"/>
      <c r="O38" s="445"/>
      <c r="P38" s="444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5" customHeight="1" x14ac:dyDescent="0.2">
      <c r="A39" s="133"/>
      <c r="B39" s="367"/>
      <c r="C39" s="133"/>
      <c r="D39" s="446"/>
      <c r="E39" s="446"/>
      <c r="F39" s="446"/>
      <c r="G39" s="446"/>
      <c r="H39" s="447"/>
      <c r="I39" s="448"/>
      <c r="J39" s="133"/>
      <c r="K39" s="446"/>
      <c r="L39" s="446"/>
      <c r="M39" s="446"/>
      <c r="N39" s="446"/>
      <c r="O39" s="449"/>
      <c r="P39" s="450"/>
      <c r="Q39" s="133"/>
      <c r="R39" s="36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 thickBot="1" x14ac:dyDescent="0.25">
      <c r="A40" s="133"/>
      <c r="B40" s="451"/>
      <c r="C40" s="452"/>
      <c r="D40" s="452"/>
      <c r="E40" s="452"/>
      <c r="F40" s="452"/>
      <c r="G40" s="452"/>
      <c r="H40" s="452"/>
      <c r="I40" s="452"/>
      <c r="J40" s="452"/>
      <c r="K40" s="452"/>
      <c r="L40" s="452"/>
      <c r="M40" s="452"/>
      <c r="N40" s="452"/>
      <c r="O40" s="452"/>
      <c r="P40" s="452"/>
      <c r="Q40" s="452"/>
      <c r="R40" s="45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.75" customHeight="1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" customHeight="1" x14ac:dyDescent="0.2">
      <c r="A42" s="133"/>
      <c r="B42" s="133"/>
      <c r="C42" s="133"/>
      <c r="D42" s="133"/>
      <c r="E42" s="133"/>
      <c r="F42" s="133"/>
      <c r="G42" s="133"/>
      <c r="H42" s="133"/>
      <c r="I42" s="454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  <row r="1001" spans="1:28" ht="15.75" customHeight="1" x14ac:dyDescent="0.2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</row>
  </sheetData>
  <mergeCells count="47">
    <mergeCell ref="D7:F8"/>
    <mergeCell ref="K7:M8"/>
    <mergeCell ref="D2:E5"/>
    <mergeCell ref="F2:Q3"/>
    <mergeCell ref="F4:L5"/>
    <mergeCell ref="M4:O5"/>
    <mergeCell ref="P4:Q5"/>
    <mergeCell ref="D9:J9"/>
    <mergeCell ref="K9:Q9"/>
    <mergeCell ref="D10:F10"/>
    <mergeCell ref="K10:M10"/>
    <mergeCell ref="D11:F11"/>
    <mergeCell ref="K11:M11"/>
    <mergeCell ref="D19:F19"/>
    <mergeCell ref="D12:F12"/>
    <mergeCell ref="K12:M12"/>
    <mergeCell ref="D13:F13"/>
    <mergeCell ref="K13:M13"/>
    <mergeCell ref="D14:F14"/>
    <mergeCell ref="D15:F15"/>
    <mergeCell ref="K15:M15"/>
    <mergeCell ref="D16:J16"/>
    <mergeCell ref="K16:Q16"/>
    <mergeCell ref="D17:F17"/>
    <mergeCell ref="D18:F18"/>
    <mergeCell ref="K18:M18"/>
    <mergeCell ref="D30:F30"/>
    <mergeCell ref="D20:F20"/>
    <mergeCell ref="K20:M20"/>
    <mergeCell ref="D21:F21"/>
    <mergeCell ref="K21:M21"/>
    <mergeCell ref="D22:F22"/>
    <mergeCell ref="K22:M22"/>
    <mergeCell ref="D24:F24"/>
    <mergeCell ref="D25:F25"/>
    <mergeCell ref="D26:F26"/>
    <mergeCell ref="D27:F27"/>
    <mergeCell ref="D28:F28"/>
    <mergeCell ref="D37:F38"/>
    <mergeCell ref="K37:M38"/>
    <mergeCell ref="D31:F31"/>
    <mergeCell ref="D32:F32"/>
    <mergeCell ref="D34:Q34"/>
    <mergeCell ref="D36:F36"/>
    <mergeCell ref="H36:I36"/>
    <mergeCell ref="K36:M36"/>
    <mergeCell ref="O36:P36"/>
  </mergeCells>
  <printOptions horizontalCentered="1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K47" sqref="K47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28"/>
      <c r="E2" s="523"/>
      <c r="F2" s="532" t="s">
        <v>97</v>
      </c>
      <c r="G2" s="533"/>
      <c r="H2" s="518"/>
      <c r="I2" s="518"/>
      <c r="J2" s="518"/>
      <c r="K2" s="518"/>
      <c r="L2" s="518"/>
      <c r="M2" s="518"/>
      <c r="N2" s="518"/>
      <c r="O2" s="518"/>
      <c r="P2" s="518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29"/>
      <c r="E3" s="530"/>
      <c r="F3" s="534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35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29"/>
      <c r="E4" s="530"/>
      <c r="F4" s="536" t="s">
        <v>98</v>
      </c>
      <c r="G4" s="537"/>
      <c r="H4" s="538"/>
      <c r="I4" s="538"/>
      <c r="J4" s="538"/>
      <c r="K4" s="538"/>
      <c r="L4" s="539"/>
      <c r="M4" s="536" t="s">
        <v>99</v>
      </c>
      <c r="N4" s="537"/>
      <c r="O4" s="539"/>
      <c r="P4" s="541">
        <f ca="1">+Diagrama!C4</f>
        <v>45245</v>
      </c>
      <c r="Q4" s="542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31"/>
      <c r="E5" s="527"/>
      <c r="F5" s="540"/>
      <c r="G5" s="526"/>
      <c r="H5" s="526"/>
      <c r="I5" s="526"/>
      <c r="J5" s="526"/>
      <c r="K5" s="526"/>
      <c r="L5" s="527"/>
      <c r="M5" s="540"/>
      <c r="N5" s="526"/>
      <c r="O5" s="527"/>
      <c r="P5" s="540"/>
      <c r="Q5" s="543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22"/>
      <c r="E7" s="518"/>
      <c r="F7" s="523"/>
      <c r="G7" s="369" t="s">
        <v>100</v>
      </c>
      <c r="H7" s="369" t="s">
        <v>100</v>
      </c>
      <c r="I7" s="369" t="s">
        <v>101</v>
      </c>
      <c r="J7" s="370" t="s">
        <v>102</v>
      </c>
      <c r="K7" s="525"/>
      <c r="L7" s="518"/>
      <c r="M7" s="523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24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26"/>
      <c r="L8" s="526"/>
      <c r="M8" s="527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640" t="s">
        <v>68</v>
      </c>
      <c r="E9" s="553"/>
      <c r="F9" s="553"/>
      <c r="G9" s="553"/>
      <c r="H9" s="553"/>
      <c r="I9" s="553"/>
      <c r="J9" s="554"/>
      <c r="K9" s="614" t="s">
        <v>104</v>
      </c>
      <c r="L9" s="615"/>
      <c r="M9" s="615"/>
      <c r="N9" s="615"/>
      <c r="O9" s="615"/>
      <c r="P9" s="615"/>
      <c r="Q9" s="616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621" t="s">
        <v>106</v>
      </c>
      <c r="E10" s="562"/>
      <c r="F10" s="551"/>
      <c r="G10" s="622">
        <f>+[2]Diagrama!AD12</f>
        <v>235748</v>
      </c>
      <c r="H10" s="622">
        <f>+[2]Diagrama!I25</f>
        <v>233452.33439999999</v>
      </c>
      <c r="I10" s="623">
        <f>+[2]Diagrama!G21</f>
        <v>0.62490000000000001</v>
      </c>
      <c r="J10" s="613">
        <f>I10*H10</f>
        <v>145884.36376656001</v>
      </c>
      <c r="K10" s="617" t="s">
        <v>107</v>
      </c>
      <c r="L10" s="553"/>
      <c r="M10" s="618"/>
      <c r="N10" s="619">
        <f>+Diagrama!J72</f>
        <v>218637.63791927518</v>
      </c>
      <c r="O10" s="619">
        <f>+Diagrama!H40</f>
        <v>201923</v>
      </c>
      <c r="P10" s="620">
        <f>+Diagrama!H41</f>
        <v>0.7046099322499999</v>
      </c>
      <c r="Q10" s="613">
        <f t="shared" ref="Q10:Q14" si="0">P10*O10</f>
        <v>142276.95134971672</v>
      </c>
      <c r="R10" s="36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621" t="s">
        <v>108</v>
      </c>
      <c r="E11" s="562"/>
      <c r="F11" s="551"/>
      <c r="G11" s="611">
        <v>0</v>
      </c>
      <c r="H11" s="611">
        <v>0</v>
      </c>
      <c r="I11" s="612">
        <v>0</v>
      </c>
      <c r="J11" s="613">
        <f t="shared" ref="J11" si="1">I11*H11</f>
        <v>0</v>
      </c>
      <c r="K11" s="621" t="s">
        <v>109</v>
      </c>
      <c r="L11" s="562"/>
      <c r="M11" s="551"/>
      <c r="N11" s="622">
        <f>+Diagrama!J70</f>
        <v>0</v>
      </c>
      <c r="O11" s="622">
        <f>+Diagrama!P49</f>
        <v>0</v>
      </c>
      <c r="P11" s="623">
        <v>0</v>
      </c>
      <c r="Q11" s="613">
        <f>P11*O11</f>
        <v>0</v>
      </c>
      <c r="R11" s="36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621" t="s">
        <v>110</v>
      </c>
      <c r="E12" s="562"/>
      <c r="F12" s="551"/>
      <c r="G12" s="611">
        <v>0</v>
      </c>
      <c r="H12" s="611">
        <v>0</v>
      </c>
      <c r="I12" s="612">
        <v>0</v>
      </c>
      <c r="J12" s="613">
        <v>0</v>
      </c>
      <c r="K12" s="621" t="s">
        <v>111</v>
      </c>
      <c r="L12" s="562"/>
      <c r="M12" s="551"/>
      <c r="N12" s="622">
        <f>+Diagrama!J71</f>
        <v>0</v>
      </c>
      <c r="O12" s="622">
        <f>+Diagrama!R47</f>
        <v>0</v>
      </c>
      <c r="P12" s="623">
        <v>0</v>
      </c>
      <c r="Q12" s="613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641" t="s">
        <v>112</v>
      </c>
      <c r="E13" s="642"/>
      <c r="F13" s="643"/>
      <c r="G13" s="611">
        <v>0</v>
      </c>
      <c r="H13" s="611">
        <v>0</v>
      </c>
      <c r="I13" s="612">
        <v>0</v>
      </c>
      <c r="J13" s="613">
        <v>0</v>
      </c>
      <c r="K13" s="621" t="s">
        <v>113</v>
      </c>
      <c r="L13" s="562"/>
      <c r="M13" s="551"/>
      <c r="N13" s="622">
        <f>+Diagrama!J77</f>
        <v>424135.96165245684</v>
      </c>
      <c r="O13" s="622">
        <f>+Diagrama!J77*(1-Diagrama!AE7)</f>
        <v>420034</v>
      </c>
      <c r="P13" s="623">
        <f>+Diagrama!H5</f>
        <v>0.63643644745999994</v>
      </c>
      <c r="Q13" s="613">
        <f>P13*O13</f>
        <v>267324.94677241362</v>
      </c>
      <c r="R13" s="363"/>
      <c r="S13" s="133"/>
      <c r="T13" s="38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 t="s">
        <v>114</v>
      </c>
      <c r="D14" s="641"/>
      <c r="E14" s="642"/>
      <c r="F14" s="643"/>
      <c r="G14" s="611"/>
      <c r="H14" s="611"/>
      <c r="I14" s="612"/>
      <c r="J14" s="613"/>
      <c r="K14" s="624" t="s">
        <v>276</v>
      </c>
      <c r="L14" s="625"/>
      <c r="M14" s="626"/>
      <c r="N14" s="627">
        <f>+Diagrama!J78</f>
        <v>2203</v>
      </c>
      <c r="O14" s="627">
        <f>+Diagrama!J78*(1-Diagrama!AE33)</f>
        <v>2203</v>
      </c>
      <c r="P14" s="623">
        <f>+Diagrama!AG33</f>
        <v>0</v>
      </c>
      <c r="Q14" s="613">
        <f t="shared" si="0"/>
        <v>0</v>
      </c>
      <c r="R14" s="363"/>
      <c r="S14" s="390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/>
      <c r="D15" s="644" t="s">
        <v>115</v>
      </c>
      <c r="E15" s="629"/>
      <c r="F15" s="630"/>
      <c r="G15" s="631">
        <f>SUM(G10:G14)</f>
        <v>235748</v>
      </c>
      <c r="H15" s="631">
        <f>SUM(H10:H14)</f>
        <v>233452.33439999999</v>
      </c>
      <c r="I15" s="632">
        <f>I10</f>
        <v>0.62490000000000001</v>
      </c>
      <c r="J15" s="631">
        <f>J10</f>
        <v>145884.36376656001</v>
      </c>
      <c r="K15" s="628" t="s">
        <v>115</v>
      </c>
      <c r="L15" s="629"/>
      <c r="M15" s="630"/>
      <c r="N15" s="631">
        <f>SUM(N10:N14)</f>
        <v>644976.59957173199</v>
      </c>
      <c r="O15" s="631">
        <f>SUM(O10:O14)</f>
        <v>624160</v>
      </c>
      <c r="P15" s="632">
        <f>+Q15/O15</f>
        <v>0.65624503031615344</v>
      </c>
      <c r="Q15" s="631">
        <f>SUM(Q10:Q14)</f>
        <v>409601.89812213031</v>
      </c>
      <c r="R15" s="36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640" t="s">
        <v>116</v>
      </c>
      <c r="E16" s="553"/>
      <c r="F16" s="553"/>
      <c r="G16" s="553"/>
      <c r="H16" s="553"/>
      <c r="I16" s="553"/>
      <c r="J16" s="554"/>
      <c r="K16" s="633" t="s">
        <v>117</v>
      </c>
      <c r="L16" s="629"/>
      <c r="M16" s="629"/>
      <c r="N16" s="629"/>
      <c r="O16" s="629"/>
      <c r="P16" s="629"/>
      <c r="Q16" s="634"/>
      <c r="R16" s="363"/>
      <c r="S16" s="39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621" t="s">
        <v>118</v>
      </c>
      <c r="E17" s="562"/>
      <c r="F17" s="551"/>
      <c r="G17" s="611">
        <f>+[2]Diagrama!K77</f>
        <v>271631</v>
      </c>
      <c r="H17" s="611">
        <f>+[2]Diagrama!N4</f>
        <v>268398.59110000002</v>
      </c>
      <c r="I17" s="612">
        <f>+[2]Diagrama!N5</f>
        <v>0.64069999999999994</v>
      </c>
      <c r="J17" s="613">
        <f t="shared" ref="J17:J21" si="2">I17*H17</f>
        <v>171962.97731776998</v>
      </c>
      <c r="K17" s="635" t="s">
        <v>277</v>
      </c>
      <c r="L17" s="635"/>
      <c r="M17" s="636"/>
      <c r="N17" s="622" t="s">
        <v>278</v>
      </c>
      <c r="O17" s="622">
        <f>+Diagrama!F27</f>
        <v>19685</v>
      </c>
      <c r="P17" s="623">
        <f>+Diagrama!F28</f>
        <v>5.8200000000000002E-2</v>
      </c>
      <c r="Q17" s="613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621" t="s">
        <v>107</v>
      </c>
      <c r="E18" s="562"/>
      <c r="F18" s="551"/>
      <c r="G18" s="611">
        <f>+[2]Diagrama!K72</f>
        <v>595717</v>
      </c>
      <c r="H18" s="611">
        <f>+G18*(1-[2]Diagrama!AE19)</f>
        <v>550602.39139999996</v>
      </c>
      <c r="I18" s="612">
        <f>+[2]Diagrama!C42</f>
        <v>0.6895234054089443</v>
      </c>
      <c r="J18" s="613">
        <f t="shared" si="2"/>
        <v>379653.2359444364</v>
      </c>
      <c r="K18" s="628" t="s">
        <v>115</v>
      </c>
      <c r="L18" s="629"/>
      <c r="M18" s="630"/>
      <c r="N18" s="637" t="str">
        <f>N17</f>
        <v>-</v>
      </c>
      <c r="O18" s="637">
        <f t="shared" ref="O18:P18" si="4">O17</f>
        <v>19685</v>
      </c>
      <c r="P18" s="638">
        <f t="shared" si="4"/>
        <v>5.8200000000000002E-2</v>
      </c>
      <c r="Q18" s="639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621" t="s">
        <v>109</v>
      </c>
      <c r="E19" s="562"/>
      <c r="F19" s="551"/>
      <c r="G19" s="611">
        <f>+[2]Diagrama!K70</f>
        <v>276114</v>
      </c>
      <c r="H19" s="611">
        <f>+[2]Diagrama!M52</f>
        <v>273319.5269</v>
      </c>
      <c r="I19" s="612">
        <f>+[2]Diagrama!M53</f>
        <v>0.65344666550772501</v>
      </c>
      <c r="J19" s="613">
        <f t="shared" si="2"/>
        <v>178599.73347095394</v>
      </c>
      <c r="K19" s="502"/>
      <c r="L19" s="503"/>
      <c r="M19" s="503"/>
      <c r="O19" s="399"/>
      <c r="P19" s="400"/>
      <c r="Q19" s="401"/>
      <c r="R19" s="36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621" t="s">
        <v>94</v>
      </c>
      <c r="E20" s="562"/>
      <c r="F20" s="551"/>
      <c r="G20" s="611">
        <v>0</v>
      </c>
      <c r="H20" s="611">
        <f>[2]Diagrama!K78*(1-'[2]Datos Extra'!D28)</f>
        <v>0</v>
      </c>
      <c r="I20" s="612">
        <f>+[2]Diagrama!T34</f>
        <v>0</v>
      </c>
      <c r="J20" s="613">
        <f t="shared" si="2"/>
        <v>0</v>
      </c>
      <c r="K20" s="504"/>
      <c r="L20" s="503"/>
      <c r="M20" s="503"/>
      <c r="O20" s="403"/>
      <c r="P20" s="404"/>
      <c r="Q20" s="405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621" t="s">
        <v>111</v>
      </c>
      <c r="E21" s="562"/>
      <c r="F21" s="551"/>
      <c r="G21" s="611">
        <f>+[2]Diagrama!K71</f>
        <v>0</v>
      </c>
      <c r="H21" s="611">
        <f>IF(G21=0,0,G21*(1-[2]Diagrama!AE26))</f>
        <v>0</v>
      </c>
      <c r="I21" s="612">
        <f>IF(G21=0,0,[2]Diagrama!AG26)</f>
        <v>0</v>
      </c>
      <c r="J21" s="613">
        <f t="shared" si="2"/>
        <v>0</v>
      </c>
      <c r="K21" s="504"/>
      <c r="L21" s="503"/>
      <c r="M21" s="503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644" t="s">
        <v>115</v>
      </c>
      <c r="E22" s="629"/>
      <c r="F22" s="630"/>
      <c r="G22" s="631">
        <f>SUM(G17:G21)</f>
        <v>1143462</v>
      </c>
      <c r="H22" s="631">
        <f>SUM(H17:H21)</f>
        <v>1092320.5093999999</v>
      </c>
      <c r="I22" s="632">
        <f>SUMPRODUCT(H17:H21,I17:I21)/H22</f>
        <v>0.66849971272100372</v>
      </c>
      <c r="J22" s="631">
        <f>SUM(J17:J21)</f>
        <v>730215.94673316041</v>
      </c>
      <c r="K22" s="402"/>
      <c r="L22" s="402"/>
      <c r="M22" s="402"/>
      <c r="N22" s="402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7"/>
      <c r="C23" s="368"/>
      <c r="D23" s="506" t="s">
        <v>119</v>
      </c>
      <c r="E23" s="492"/>
      <c r="F23" s="493"/>
      <c r="G23" s="387"/>
      <c r="H23" s="407" t="s">
        <v>40</v>
      </c>
      <c r="I23" s="407" t="s">
        <v>103</v>
      </c>
      <c r="J23" s="408" t="s">
        <v>41</v>
      </c>
      <c r="K23" s="406" t="s">
        <v>120</v>
      </c>
      <c r="L23" s="409" t="s">
        <v>121</v>
      </c>
      <c r="M23" s="410"/>
      <c r="N23" s="410"/>
      <c r="O23" s="411"/>
      <c r="P23" s="410"/>
      <c r="Q23" s="410"/>
      <c r="R23" s="41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07" t="s">
        <v>122</v>
      </c>
      <c r="E24" s="508"/>
      <c r="F24" s="509"/>
      <c r="G24" s="371"/>
      <c r="H24" s="413"/>
      <c r="I24" s="414"/>
      <c r="J24" s="415"/>
      <c r="K24" s="416"/>
      <c r="L24" s="417"/>
      <c r="M24" s="418"/>
      <c r="N24" s="418"/>
      <c r="O24" s="419">
        <v>0.76</v>
      </c>
      <c r="P24" s="400"/>
      <c r="Q24" s="401"/>
      <c r="R24" s="363"/>
      <c r="S24" s="133"/>
      <c r="T24" s="133"/>
      <c r="U24" s="42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10" t="s">
        <v>123</v>
      </c>
      <c r="E25" s="500"/>
      <c r="F25" s="501"/>
      <c r="G25" s="364"/>
      <c r="H25" s="379"/>
      <c r="I25" s="380"/>
      <c r="J25" s="422"/>
      <c r="K25" s="416"/>
      <c r="L25" s="423"/>
      <c r="M25" s="418"/>
      <c r="N25" s="418"/>
      <c r="O25" s="419">
        <v>8.68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10" t="s">
        <v>124</v>
      </c>
      <c r="E26" s="500"/>
      <c r="F26" s="501"/>
      <c r="G26" s="364"/>
      <c r="H26" s="379"/>
      <c r="I26" s="380"/>
      <c r="J26" s="422"/>
      <c r="K26" s="416"/>
      <c r="L26" s="423"/>
      <c r="M26" s="418"/>
      <c r="N26" s="418"/>
      <c r="O26" s="419">
        <v>0.76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10" t="s">
        <v>125</v>
      </c>
      <c r="E27" s="500"/>
      <c r="F27" s="501"/>
      <c r="G27" s="364"/>
      <c r="H27" s="379"/>
      <c r="I27" s="380"/>
      <c r="J27" s="422"/>
      <c r="K27" s="416"/>
      <c r="L27" s="423"/>
      <c r="M27" s="418"/>
      <c r="N27" s="418"/>
      <c r="O27" s="419">
        <v>8.39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421" t="s">
        <v>126</v>
      </c>
      <c r="E28" s="424"/>
      <c r="F28" s="425"/>
      <c r="G28" s="426"/>
      <c r="H28" s="379"/>
      <c r="I28" s="380"/>
      <c r="J28" s="427"/>
      <c r="K28" s="428"/>
      <c r="L28" s="429"/>
      <c r="M28" s="418"/>
      <c r="N28" s="418"/>
      <c r="O28" s="419"/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99" t="s">
        <v>127</v>
      </c>
      <c r="E29" s="500"/>
      <c r="F29" s="501"/>
      <c r="G29" s="364"/>
      <c r="H29" s="379"/>
      <c r="I29" s="380"/>
      <c r="J29" s="422"/>
      <c r="K29" s="416"/>
      <c r="L29" s="423"/>
      <c r="M29" s="418"/>
      <c r="N29" s="418"/>
      <c r="O29" s="419">
        <v>0.05</v>
      </c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488" t="s">
        <v>128</v>
      </c>
      <c r="E30" s="489"/>
      <c r="F30" s="490"/>
      <c r="G30" s="381"/>
      <c r="H30" s="430"/>
      <c r="I30" s="431"/>
      <c r="J30" s="432"/>
      <c r="K30" s="416"/>
      <c r="L30" s="429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491" t="s">
        <v>115</v>
      </c>
      <c r="E31" s="492"/>
      <c r="F31" s="493"/>
      <c r="G31" s="387"/>
      <c r="H31" s="394">
        <v>0</v>
      </c>
      <c r="I31" s="395"/>
      <c r="J31" s="433">
        <v>0</v>
      </c>
      <c r="K31" s="434">
        <v>0</v>
      </c>
      <c r="L31" s="396">
        <v>0</v>
      </c>
      <c r="M31" s="410"/>
      <c r="N31" s="410"/>
      <c r="O31" s="405"/>
      <c r="P31" s="404"/>
      <c r="Q31" s="405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133"/>
      <c r="D32" s="435"/>
      <c r="E32" s="133"/>
      <c r="F32" s="133"/>
      <c r="G32" s="133"/>
      <c r="H32" s="133"/>
      <c r="I32" s="436"/>
      <c r="J32" s="436"/>
      <c r="K32" s="436"/>
      <c r="L32" s="437"/>
      <c r="M32" s="436"/>
      <c r="N32" s="436"/>
      <c r="O32" s="133"/>
      <c r="P32" s="438"/>
      <c r="Q32" s="133"/>
      <c r="R32" s="36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7"/>
      <c r="C33" s="133"/>
      <c r="D33" s="494" t="s">
        <v>129</v>
      </c>
      <c r="E33" s="492"/>
      <c r="F33" s="492"/>
      <c r="G33" s="492"/>
      <c r="H33" s="492"/>
      <c r="I33" s="492"/>
      <c r="J33" s="492"/>
      <c r="K33" s="492"/>
      <c r="L33" s="492"/>
      <c r="M33" s="492"/>
      <c r="N33" s="492"/>
      <c r="O33" s="492"/>
      <c r="P33" s="492"/>
      <c r="Q33" s="495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496" t="s">
        <v>130</v>
      </c>
      <c r="E35" s="492"/>
      <c r="F35" s="495"/>
      <c r="G35" s="439"/>
      <c r="H35" s="497"/>
      <c r="I35" s="498"/>
      <c r="J35" s="133"/>
      <c r="K35" s="496" t="s">
        <v>131</v>
      </c>
      <c r="L35" s="492"/>
      <c r="M35" s="495"/>
      <c r="N35" s="439"/>
      <c r="O35" s="497"/>
      <c r="P35" s="498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7"/>
      <c r="C36" s="133"/>
      <c r="D36" s="482">
        <f>Diagrama!P19</f>
        <v>0.86394503720838589</v>
      </c>
      <c r="E36" s="518"/>
      <c r="F36" s="519"/>
      <c r="G36" s="439"/>
      <c r="H36" s="440"/>
      <c r="I36" s="441"/>
      <c r="J36" s="133"/>
      <c r="K36" s="544">
        <f>Diagrama!P21</f>
        <v>0.96630945584706074</v>
      </c>
      <c r="L36" s="545"/>
      <c r="M36" s="546"/>
      <c r="N36" s="442"/>
      <c r="O36" s="441"/>
      <c r="P36" s="441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7"/>
      <c r="C37" s="133"/>
      <c r="D37" s="531"/>
      <c r="E37" s="526"/>
      <c r="F37" s="543"/>
      <c r="G37" s="439"/>
      <c r="H37" s="443"/>
      <c r="I37" s="444"/>
      <c r="J37" s="133"/>
      <c r="K37" s="547"/>
      <c r="L37" s="548"/>
      <c r="M37" s="549"/>
      <c r="N37" s="442"/>
      <c r="O37" s="445"/>
      <c r="P37" s="444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7"/>
      <c r="C38" s="133"/>
      <c r="D38" s="446"/>
      <c r="E38" s="446"/>
      <c r="F38" s="446"/>
      <c r="G38" s="446"/>
      <c r="H38" s="447"/>
      <c r="I38" s="448"/>
      <c r="J38" s="133"/>
      <c r="K38" s="446"/>
      <c r="L38" s="446"/>
      <c r="M38" s="446"/>
      <c r="N38" s="446"/>
      <c r="O38" s="449"/>
      <c r="P38" s="450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51"/>
      <c r="C39" s="452"/>
      <c r="D39" s="452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5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0" t="s">
        <v>45</v>
      </c>
      <c r="K44" s="551"/>
      <c r="M44" s="552" t="s">
        <v>46</v>
      </c>
      <c r="N44" s="553"/>
      <c r="O44" s="554"/>
      <c r="R44" s="555" t="s">
        <v>47</v>
      </c>
      <c r="S44" s="551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6" t="s">
        <v>59</v>
      </c>
      <c r="K71" s="551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5" t="s">
        <v>63</v>
      </c>
      <c r="Q7" s="551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5" t="s">
        <v>20</v>
      </c>
      <c r="Q10" s="551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6" t="s">
        <v>66</v>
      </c>
      <c r="Q13" s="551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4" t="s">
        <v>68</v>
      </c>
      <c r="F44" s="559"/>
      <c r="G44" s="562"/>
      <c r="H44" s="564" t="s">
        <v>69</v>
      </c>
      <c r="I44" s="559"/>
      <c r="J44" s="551"/>
      <c r="K44" s="567" t="s">
        <v>70</v>
      </c>
      <c r="L44" s="559"/>
      <c r="M44" s="559"/>
      <c r="N44" s="551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8" t="s">
        <v>72</v>
      </c>
      <c r="I45" s="551"/>
      <c r="J45" s="27">
        <f>+E7</f>
        <v>1770.5761999999995</v>
      </c>
      <c r="K45" s="558" t="s">
        <v>73</v>
      </c>
      <c r="L45" s="559"/>
      <c r="M45" s="551"/>
      <c r="N45" s="27">
        <f>+C8</f>
        <v>12961.629000000001</v>
      </c>
    </row>
    <row r="46" spans="2:20" ht="15.75" customHeight="1" x14ac:dyDescent="0.2">
      <c r="E46" s="556"/>
      <c r="F46" s="551"/>
      <c r="G46" s="16"/>
      <c r="H46" s="558" t="s">
        <v>74</v>
      </c>
      <c r="I46" s="551"/>
      <c r="J46" s="27">
        <f>+J19</f>
        <v>44584.890479986498</v>
      </c>
      <c r="K46" s="558" t="s">
        <v>75</v>
      </c>
      <c r="L46" s="559"/>
      <c r="M46" s="551"/>
      <c r="N46" s="27">
        <f>+C28</f>
        <v>16162.331</v>
      </c>
    </row>
    <row r="47" spans="2:20" ht="15.75" customHeight="1" x14ac:dyDescent="0.2">
      <c r="E47" s="556"/>
      <c r="F47" s="551"/>
      <c r="G47" s="16"/>
      <c r="H47" s="558" t="s">
        <v>76</v>
      </c>
      <c r="I47" s="551"/>
      <c r="J47" s="27">
        <f>+G27</f>
        <v>-359512.14169349719</v>
      </c>
      <c r="K47" s="558" t="s">
        <v>77</v>
      </c>
      <c r="L47" s="559"/>
      <c r="M47" s="551"/>
      <c r="N47" s="27">
        <f>+S36</f>
        <v>19130.865000000002</v>
      </c>
    </row>
    <row r="48" spans="2:20" ht="15.75" customHeight="1" x14ac:dyDescent="0.2">
      <c r="E48" s="556"/>
      <c r="F48" s="551"/>
      <c r="G48" s="16"/>
      <c r="H48" s="77" t="s">
        <v>78</v>
      </c>
      <c r="I48" s="77"/>
      <c r="J48" s="27">
        <f>+O20</f>
        <v>-14174.322317347061</v>
      </c>
      <c r="K48" s="558" t="s">
        <v>79</v>
      </c>
      <c r="L48" s="559"/>
      <c r="M48" s="551"/>
      <c r="N48" s="27">
        <f>+S28</f>
        <v>108284.65870939114</v>
      </c>
    </row>
    <row r="49" spans="5:14" ht="15.75" customHeight="1" x14ac:dyDescent="0.2">
      <c r="E49" s="556"/>
      <c r="F49" s="551"/>
      <c r="G49" s="16"/>
      <c r="H49" s="558" t="s">
        <v>80</v>
      </c>
      <c r="I49" s="551"/>
      <c r="J49" s="27">
        <f>+P40</f>
        <v>-311.60807004405433</v>
      </c>
      <c r="K49" s="558" t="s">
        <v>81</v>
      </c>
      <c r="L49" s="559"/>
      <c r="M49" s="551"/>
      <c r="N49" s="27">
        <f>+G36</f>
        <v>673884.94200000004</v>
      </c>
    </row>
    <row r="50" spans="5:14" ht="15.75" customHeight="1" x14ac:dyDescent="0.25">
      <c r="E50" s="561" t="s">
        <v>82</v>
      </c>
      <c r="F50" s="551"/>
      <c r="G50" s="78">
        <f>+G45</f>
        <v>502781.82030850503</v>
      </c>
      <c r="H50" s="557" t="s">
        <v>83</v>
      </c>
      <c r="I50" s="551"/>
      <c r="J50" s="79">
        <f>+SUM(J45:J49)</f>
        <v>-327642.60540090181</v>
      </c>
      <c r="K50" s="557" t="s">
        <v>84</v>
      </c>
      <c r="L50" s="559"/>
      <c r="M50" s="551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0" t="s">
        <v>68</v>
      </c>
      <c r="F55" s="559"/>
      <c r="G55" s="562"/>
      <c r="H55" s="560" t="s">
        <v>69</v>
      </c>
      <c r="I55" s="559"/>
      <c r="J55" s="551"/>
      <c r="K55" s="563" t="s">
        <v>70</v>
      </c>
      <c r="L55" s="559"/>
      <c r="M55" s="559"/>
      <c r="N55" s="551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8" t="s">
        <v>72</v>
      </c>
      <c r="I56" s="551"/>
      <c r="J56" s="27" t="e">
        <f>+'Bal Los Colorados'!O49*'Bal Los Colorados'!G49</f>
        <v>#REF!</v>
      </c>
      <c r="K56" s="558" t="s">
        <v>73</v>
      </c>
      <c r="L56" s="559"/>
      <c r="M56" s="551"/>
      <c r="N56" s="27">
        <f>+C10</f>
        <v>7704.8210577451482</v>
      </c>
    </row>
    <row r="57" spans="5:14" ht="15.75" customHeight="1" x14ac:dyDescent="0.2">
      <c r="E57" s="556"/>
      <c r="F57" s="551"/>
      <c r="G57" s="16"/>
      <c r="H57" s="558" t="s">
        <v>74</v>
      </c>
      <c r="I57" s="551"/>
      <c r="J57" s="27" t="e">
        <f>+'Bal Los Colorados'!O53*'Bal Los Colorados'!G53</f>
        <v>#REF!</v>
      </c>
      <c r="K57" s="558" t="s">
        <v>75</v>
      </c>
      <c r="L57" s="559"/>
      <c r="M57" s="551"/>
      <c r="N57" s="27">
        <f>+C30</f>
        <v>9675.4587302503223</v>
      </c>
    </row>
    <row r="58" spans="5:14" ht="15.75" customHeight="1" x14ac:dyDescent="0.2">
      <c r="E58" s="556"/>
      <c r="F58" s="551"/>
      <c r="G58" s="16"/>
      <c r="H58" s="558" t="s">
        <v>76</v>
      </c>
      <c r="I58" s="551"/>
      <c r="J58" s="27" t="e">
        <f>+'Bal Los Colorados'!O56*'Bal Los Colorados'!G56</f>
        <v>#REF!</v>
      </c>
      <c r="K58" s="558" t="s">
        <v>77</v>
      </c>
      <c r="L58" s="559"/>
      <c r="M58" s="551"/>
      <c r="N58" s="27">
        <f>+S38</f>
        <v>7620.3234035700007</v>
      </c>
    </row>
    <row r="59" spans="5:14" ht="15.75" customHeight="1" x14ac:dyDescent="0.2">
      <c r="E59" s="556"/>
      <c r="F59" s="551"/>
      <c r="G59" s="16"/>
      <c r="H59" s="77" t="s">
        <v>78</v>
      </c>
      <c r="I59" s="77"/>
      <c r="J59" s="27" t="e">
        <f>+'Bal Los Colorados'!O62*'Bal Los Colorados'!G62</f>
        <v>#REF!</v>
      </c>
      <c r="K59" s="558" t="s">
        <v>79</v>
      </c>
      <c r="L59" s="559"/>
      <c r="M59" s="551"/>
      <c r="N59" s="27">
        <f>+S30</f>
        <v>14049.347154701374</v>
      </c>
    </row>
    <row r="60" spans="5:14" ht="15.75" customHeight="1" x14ac:dyDescent="0.2">
      <c r="E60" s="556"/>
      <c r="F60" s="551"/>
      <c r="G60" s="16"/>
      <c r="H60" s="558" t="s">
        <v>80</v>
      </c>
      <c r="I60" s="551"/>
      <c r="J60" s="27" t="e">
        <f>+'Bal Los Colorados'!O67*'Bal Los Colorados'!G67</f>
        <v>#REF!</v>
      </c>
      <c r="K60" s="558" t="s">
        <v>81</v>
      </c>
      <c r="L60" s="559"/>
      <c r="M60" s="551"/>
      <c r="N60" s="27">
        <f>+G38</f>
        <v>410848.95586592209</v>
      </c>
    </row>
    <row r="61" spans="5:14" ht="15.75" customHeight="1" x14ac:dyDescent="0.25">
      <c r="E61" s="561" t="s">
        <v>82</v>
      </c>
      <c r="F61" s="551"/>
      <c r="G61" s="78">
        <f>+G56</f>
        <v>231983.78607040126</v>
      </c>
      <c r="H61" s="557" t="s">
        <v>83</v>
      </c>
      <c r="I61" s="551"/>
      <c r="J61" s="79" t="e">
        <f>+SUM(J56:J60)</f>
        <v>#REF!</v>
      </c>
      <c r="K61" s="557" t="s">
        <v>84</v>
      </c>
      <c r="L61" s="559"/>
      <c r="M61" s="551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A39" workbookViewId="0">
      <selection activeCell="E51" sqref="E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71" t="s">
        <v>280</v>
      </c>
      <c r="B1" s="472">
        <v>342867</v>
      </c>
      <c r="C1" s="473">
        <v>0</v>
      </c>
      <c r="D1" s="474">
        <v>0</v>
      </c>
      <c r="E1" s="316">
        <v>0</v>
      </c>
      <c r="F1" s="333"/>
    </row>
    <row r="2" spans="1:6" ht="24" x14ac:dyDescent="0.3">
      <c r="A2" s="475" t="s">
        <v>88</v>
      </c>
      <c r="B2" s="476">
        <v>24736</v>
      </c>
      <c r="C2" s="475">
        <v>0</v>
      </c>
      <c r="D2" s="477">
        <v>0</v>
      </c>
      <c r="E2" s="316">
        <v>0</v>
      </c>
      <c r="F2" s="333"/>
    </row>
    <row r="3" spans="1:6" ht="24" x14ac:dyDescent="0.3">
      <c r="A3" s="475" t="s">
        <v>89</v>
      </c>
      <c r="B3" s="476">
        <v>427569</v>
      </c>
      <c r="C3" s="475">
        <v>0</v>
      </c>
      <c r="D3" s="477">
        <v>0</v>
      </c>
      <c r="E3" s="316">
        <v>0</v>
      </c>
      <c r="F3" s="318"/>
    </row>
    <row r="4" spans="1:6" ht="24" x14ac:dyDescent="0.3">
      <c r="A4" s="475" t="s">
        <v>281</v>
      </c>
      <c r="B4" s="476">
        <v>0</v>
      </c>
      <c r="C4" s="475">
        <v>0</v>
      </c>
      <c r="D4" s="477">
        <v>0</v>
      </c>
      <c r="E4" s="316">
        <v>0</v>
      </c>
      <c r="F4" s="316"/>
    </row>
    <row r="5" spans="1:6" ht="24" x14ac:dyDescent="0.3">
      <c r="A5" s="475" t="s">
        <v>90</v>
      </c>
      <c r="B5" s="476">
        <v>0</v>
      </c>
      <c r="C5" s="475">
        <v>0</v>
      </c>
      <c r="D5" s="477">
        <v>0</v>
      </c>
      <c r="E5" s="316">
        <v>0</v>
      </c>
      <c r="F5" s="316"/>
    </row>
    <row r="6" spans="1:6" ht="24" x14ac:dyDescent="0.3">
      <c r="A6" s="475" t="s">
        <v>91</v>
      </c>
      <c r="B6" s="476">
        <v>0</v>
      </c>
      <c r="C6" s="475">
        <v>0</v>
      </c>
      <c r="D6" s="477">
        <v>0</v>
      </c>
      <c r="E6">
        <v>0</v>
      </c>
    </row>
    <row r="7" spans="1:6" ht="24" x14ac:dyDescent="0.3">
      <c r="A7" s="475" t="s">
        <v>92</v>
      </c>
      <c r="B7" s="476">
        <v>0</v>
      </c>
      <c r="C7" s="475">
        <v>0</v>
      </c>
      <c r="D7" s="477">
        <v>0</v>
      </c>
      <c r="E7">
        <v>0</v>
      </c>
    </row>
    <row r="8" spans="1:6" ht="24" x14ac:dyDescent="0.3">
      <c r="A8" s="475" t="s">
        <v>93</v>
      </c>
      <c r="B8" s="476">
        <v>283306</v>
      </c>
      <c r="C8" s="475">
        <v>0</v>
      </c>
      <c r="D8" s="477">
        <v>0</v>
      </c>
      <c r="E8">
        <v>0</v>
      </c>
    </row>
    <row r="9" spans="1:6" ht="24" x14ac:dyDescent="0.3">
      <c r="A9" s="475" t="s">
        <v>94</v>
      </c>
      <c r="B9" s="476">
        <v>0</v>
      </c>
      <c r="C9" s="475">
        <v>0</v>
      </c>
      <c r="D9" s="477">
        <v>0</v>
      </c>
      <c r="E9">
        <v>0</v>
      </c>
    </row>
    <row r="10" spans="1:6" ht="24" x14ac:dyDescent="0.3">
      <c r="A10" s="475" t="s">
        <v>95</v>
      </c>
      <c r="B10" s="476">
        <v>27</v>
      </c>
      <c r="C10" s="475">
        <v>0</v>
      </c>
      <c r="D10" s="477">
        <v>0</v>
      </c>
      <c r="E10">
        <v>0</v>
      </c>
    </row>
    <row r="11" spans="1:6" ht="24" x14ac:dyDescent="0.3">
      <c r="A11" s="475" t="s">
        <v>96</v>
      </c>
      <c r="B11" s="476">
        <v>25122</v>
      </c>
      <c r="C11" s="475">
        <v>0</v>
      </c>
      <c r="D11" s="477">
        <v>0</v>
      </c>
      <c r="E11">
        <v>0</v>
      </c>
    </row>
    <row r="12" spans="1:6" ht="24" x14ac:dyDescent="0.3">
      <c r="A12" s="475" t="s">
        <v>247</v>
      </c>
      <c r="B12" s="476">
        <v>841140</v>
      </c>
      <c r="C12" s="475">
        <v>1</v>
      </c>
      <c r="D12" s="477">
        <v>2.65</v>
      </c>
      <c r="E12">
        <v>0</v>
      </c>
    </row>
    <row r="13" spans="1:6" ht="24" x14ac:dyDescent="0.3">
      <c r="A13" s="475" t="s">
        <v>248</v>
      </c>
      <c r="B13" s="476">
        <v>841140</v>
      </c>
      <c r="C13" s="475">
        <v>1</v>
      </c>
      <c r="D13" s="477">
        <v>1.7937498607364257</v>
      </c>
      <c r="E13">
        <v>0</v>
      </c>
    </row>
    <row r="14" spans="1:6" ht="24" x14ac:dyDescent="0.3">
      <c r="A14" s="475" t="s">
        <v>249</v>
      </c>
      <c r="B14" s="476">
        <v>799464</v>
      </c>
      <c r="C14" s="475">
        <v>0.85</v>
      </c>
      <c r="D14" s="477">
        <v>0.93275003802393297</v>
      </c>
      <c r="E14">
        <v>0</v>
      </c>
    </row>
    <row r="15" spans="1:6" ht="24" x14ac:dyDescent="0.3">
      <c r="A15" s="475" t="s">
        <v>250</v>
      </c>
      <c r="B15" s="476">
        <v>309440</v>
      </c>
      <c r="C15" s="475">
        <v>0.15</v>
      </c>
      <c r="D15" s="477">
        <v>1.1554858656662388</v>
      </c>
      <c r="E15">
        <v>0</v>
      </c>
    </row>
    <row r="16" spans="1:6" ht="24" x14ac:dyDescent="0.3">
      <c r="A16" s="475" t="s">
        <v>251</v>
      </c>
      <c r="B16" s="476">
        <v>719345</v>
      </c>
      <c r="C16" s="475">
        <v>1</v>
      </c>
      <c r="D16" s="477">
        <v>6.7708475606506466</v>
      </c>
      <c r="E16">
        <v>0</v>
      </c>
    </row>
    <row r="17" spans="1:5" ht="24" x14ac:dyDescent="0.3">
      <c r="A17" s="475" t="s">
        <v>253</v>
      </c>
      <c r="B17" s="476">
        <v>0</v>
      </c>
      <c r="C17" s="475">
        <v>0</v>
      </c>
      <c r="D17" s="477">
        <v>12.73464883638535</v>
      </c>
      <c r="E17">
        <v>0</v>
      </c>
    </row>
    <row r="18" spans="1:5" ht="24" x14ac:dyDescent="0.3">
      <c r="A18" s="475" t="s">
        <v>254</v>
      </c>
      <c r="B18" s="476">
        <v>0</v>
      </c>
      <c r="C18" s="475">
        <v>0</v>
      </c>
      <c r="D18" s="477">
        <v>20.331616421326252</v>
      </c>
      <c r="E18">
        <v>0</v>
      </c>
    </row>
    <row r="19" spans="1:5" ht="24" x14ac:dyDescent="0.3">
      <c r="A19" s="475" t="s">
        <v>255</v>
      </c>
      <c r="B19" s="476">
        <v>0</v>
      </c>
      <c r="C19" s="475">
        <v>0</v>
      </c>
      <c r="D19" s="477">
        <v>8.225477491060424</v>
      </c>
      <c r="E19">
        <v>0</v>
      </c>
    </row>
    <row r="20" spans="1:5" ht="24" x14ac:dyDescent="0.3">
      <c r="A20" s="475" t="s">
        <v>256</v>
      </c>
      <c r="B20" s="476">
        <v>0</v>
      </c>
      <c r="C20" s="475">
        <v>0</v>
      </c>
      <c r="D20" s="477">
        <v>2.7579753151123789</v>
      </c>
      <c r="E20">
        <v>0</v>
      </c>
    </row>
    <row r="21" spans="1:5" ht="24" x14ac:dyDescent="0.3">
      <c r="A21" s="475" t="s">
        <v>256</v>
      </c>
      <c r="B21" s="476">
        <v>0</v>
      </c>
      <c r="C21" s="475">
        <v>0</v>
      </c>
      <c r="D21" s="477">
        <v>2.7579753151123789</v>
      </c>
      <c r="E21">
        <v>0</v>
      </c>
    </row>
    <row r="22" spans="1:5" ht="24" x14ac:dyDescent="0.3">
      <c r="A22" s="475" t="s">
        <v>201</v>
      </c>
      <c r="B22" s="476">
        <v>3960</v>
      </c>
      <c r="C22" s="475">
        <v>0.04</v>
      </c>
      <c r="D22" s="477">
        <v>3801.6</v>
      </c>
      <c r="E22">
        <v>0.57999999999999996</v>
      </c>
    </row>
    <row r="23" spans="1:5" ht="24" x14ac:dyDescent="0.3">
      <c r="A23" s="475" t="s">
        <v>282</v>
      </c>
      <c r="B23" s="476">
        <v>33239</v>
      </c>
      <c r="C23" s="475">
        <v>0.04</v>
      </c>
      <c r="D23" s="477">
        <v>31909.439999999999</v>
      </c>
      <c r="E23">
        <v>0.57999999999999996</v>
      </c>
    </row>
    <row r="24" spans="1:5" ht="24" x14ac:dyDescent="0.3">
      <c r="A24" s="475" t="s">
        <v>283</v>
      </c>
      <c r="B24" s="476">
        <v>7520</v>
      </c>
      <c r="C24" s="475">
        <v>3.3834507804891299E-2</v>
      </c>
      <c r="D24" s="477">
        <v>7265.5645013072171</v>
      </c>
      <c r="E24">
        <v>0.62560000000000004</v>
      </c>
    </row>
    <row r="25" spans="1:5" ht="24" x14ac:dyDescent="0.3">
      <c r="A25" s="478" t="s">
        <v>204</v>
      </c>
      <c r="B25" s="476">
        <v>0</v>
      </c>
      <c r="C25" s="479">
        <v>0</v>
      </c>
      <c r="D25" s="480">
        <v>0</v>
      </c>
      <c r="E25">
        <v>0</v>
      </c>
    </row>
    <row r="26" spans="1:5" ht="24" x14ac:dyDescent="0.3">
      <c r="A26" s="478" t="s">
        <v>208</v>
      </c>
      <c r="B26" s="476">
        <v>7520</v>
      </c>
      <c r="C26" s="479">
        <v>3.3834507804891299E-2</v>
      </c>
      <c r="D26" s="480">
        <v>7265.5645013072171</v>
      </c>
      <c r="E26">
        <v>0.62503473099999995</v>
      </c>
    </row>
    <row r="27" spans="1:5" ht="24" x14ac:dyDescent="0.3">
      <c r="A27" s="478" t="s">
        <v>210</v>
      </c>
      <c r="B27" s="476">
        <v>0</v>
      </c>
      <c r="C27" s="479">
        <v>0</v>
      </c>
      <c r="D27" s="480">
        <v>0</v>
      </c>
      <c r="E27">
        <v>0</v>
      </c>
    </row>
    <row r="28" spans="1:5" ht="24" x14ac:dyDescent="0.3">
      <c r="A28" s="478" t="s">
        <v>284</v>
      </c>
      <c r="B28" s="476">
        <v>24345</v>
      </c>
      <c r="C28" s="479">
        <v>0</v>
      </c>
      <c r="D28" s="480">
        <v>24345</v>
      </c>
      <c r="E28">
        <v>0.65</v>
      </c>
    </row>
    <row r="29" spans="1:5" ht="24" x14ac:dyDescent="0.3">
      <c r="A29" s="478" t="s">
        <v>212</v>
      </c>
      <c r="B29" s="476">
        <v>24345</v>
      </c>
      <c r="C29" s="479">
        <v>0</v>
      </c>
      <c r="D29" s="480">
        <v>24345</v>
      </c>
      <c r="E29">
        <v>0.65</v>
      </c>
    </row>
    <row r="30" spans="1:5" ht="24" x14ac:dyDescent="0.3">
      <c r="A30" s="478" t="s">
        <v>213</v>
      </c>
      <c r="B30" s="476">
        <v>0</v>
      </c>
      <c r="C30" s="479">
        <v>0</v>
      </c>
      <c r="D30" s="480">
        <v>0</v>
      </c>
      <c r="E30">
        <v>0</v>
      </c>
    </row>
    <row r="31" spans="1:5" ht="24" x14ac:dyDescent="0.3">
      <c r="A31" s="478" t="s">
        <v>214</v>
      </c>
      <c r="B31" s="476">
        <v>0</v>
      </c>
      <c r="C31" s="479">
        <v>0</v>
      </c>
      <c r="D31" s="480">
        <v>0</v>
      </c>
      <c r="E31">
        <v>0</v>
      </c>
    </row>
    <row r="32" spans="1:5" ht="24" x14ac:dyDescent="0.3">
      <c r="A32" s="478" t="s">
        <v>219</v>
      </c>
      <c r="B32" s="476">
        <v>0</v>
      </c>
      <c r="C32" s="479">
        <v>0</v>
      </c>
      <c r="D32" s="480">
        <v>0</v>
      </c>
      <c r="E32">
        <v>0</v>
      </c>
    </row>
    <row r="33" spans="1:7" ht="24" x14ac:dyDescent="0.3">
      <c r="A33" s="478" t="s">
        <v>220</v>
      </c>
      <c r="B33" s="476">
        <v>0</v>
      </c>
      <c r="C33" s="479">
        <v>0</v>
      </c>
      <c r="D33" s="480">
        <v>0</v>
      </c>
      <c r="E33">
        <v>0</v>
      </c>
    </row>
    <row r="34" spans="1:7" ht="24" x14ac:dyDescent="0.3">
      <c r="A34" s="481" t="s">
        <v>285</v>
      </c>
      <c r="B34" s="472">
        <v>0</v>
      </c>
      <c r="C34" s="472">
        <v>0</v>
      </c>
      <c r="D34" s="472">
        <v>0</v>
      </c>
      <c r="E34">
        <v>0</v>
      </c>
    </row>
    <row r="35" spans="1:7" ht="24" x14ac:dyDescent="0.3">
      <c r="A35" s="481" t="s">
        <v>224</v>
      </c>
      <c r="B35" s="472">
        <v>0</v>
      </c>
      <c r="C35" s="472">
        <v>0</v>
      </c>
      <c r="D35" s="472">
        <v>0</v>
      </c>
      <c r="E35">
        <v>0</v>
      </c>
    </row>
    <row r="36" spans="1:7" ht="24" x14ac:dyDescent="0.3">
      <c r="A36" s="481" t="s">
        <v>226</v>
      </c>
      <c r="B36" s="472">
        <v>0</v>
      </c>
      <c r="C36" s="472">
        <v>0</v>
      </c>
      <c r="D36" s="472">
        <v>0</v>
      </c>
      <c r="E36">
        <v>0</v>
      </c>
    </row>
    <row r="37" spans="1:7" ht="24" x14ac:dyDescent="0.3">
      <c r="A37" s="481" t="s">
        <v>228</v>
      </c>
      <c r="B37" s="472">
        <v>0</v>
      </c>
      <c r="C37" s="472">
        <v>0</v>
      </c>
      <c r="D37" s="472">
        <v>0</v>
      </c>
      <c r="E37">
        <v>0</v>
      </c>
    </row>
    <row r="38" spans="1:7" ht="24" x14ac:dyDescent="0.3">
      <c r="A38" s="481" t="s">
        <v>92</v>
      </c>
      <c r="B38" s="472">
        <v>468.83199548721313</v>
      </c>
      <c r="C38" s="472">
        <v>149936</v>
      </c>
      <c r="D38" s="472">
        <v>149467.16800451279</v>
      </c>
      <c r="E38">
        <v>0</v>
      </c>
    </row>
    <row r="39" spans="1:7" ht="24" x14ac:dyDescent="0.3">
      <c r="A39" s="481" t="s">
        <v>93</v>
      </c>
      <c r="B39" s="472">
        <v>285263</v>
      </c>
      <c r="C39" s="472">
        <v>435765</v>
      </c>
      <c r="D39" s="472">
        <v>150502</v>
      </c>
      <c r="E39">
        <v>0</v>
      </c>
    </row>
    <row r="40" spans="1:7" ht="24" x14ac:dyDescent="0.3">
      <c r="A40" s="481" t="s">
        <v>286</v>
      </c>
      <c r="B40" s="472">
        <v>0</v>
      </c>
      <c r="C40" s="472">
        <v>8100</v>
      </c>
      <c r="D40" s="472">
        <v>8100</v>
      </c>
      <c r="E40">
        <v>0</v>
      </c>
    </row>
    <row r="41" spans="1:7" ht="24" x14ac:dyDescent="0.3">
      <c r="A41" s="481" t="s">
        <v>287</v>
      </c>
      <c r="B41" s="472">
        <v>0</v>
      </c>
      <c r="C41" s="472">
        <v>2700</v>
      </c>
      <c r="D41" s="472">
        <v>2700</v>
      </c>
      <c r="E41">
        <v>0</v>
      </c>
    </row>
    <row r="42" spans="1:7" ht="24" x14ac:dyDescent="0.3">
      <c r="A42" s="481" t="s">
        <v>107</v>
      </c>
      <c r="B42" s="472">
        <v>427569</v>
      </c>
      <c r="C42" s="472">
        <v>48104</v>
      </c>
      <c r="D42" s="472">
        <v>-379465</v>
      </c>
      <c r="E42">
        <v>0</v>
      </c>
    </row>
    <row r="43" spans="1:7" ht="24" x14ac:dyDescent="0.3">
      <c r="A43" s="481" t="s">
        <v>288</v>
      </c>
      <c r="B43" s="472">
        <v>0</v>
      </c>
      <c r="C43" s="472">
        <v>0</v>
      </c>
      <c r="D43" s="472">
        <v>0</v>
      </c>
      <c r="E43">
        <v>0</v>
      </c>
    </row>
    <row r="44" spans="1:7" ht="24" x14ac:dyDescent="0.3">
      <c r="A44" s="455" t="s">
        <v>109</v>
      </c>
      <c r="B44" s="456">
        <v>342291.86738080933</v>
      </c>
      <c r="C44" s="607">
        <v>65746</v>
      </c>
      <c r="D44" s="608">
        <v>-276545.86738080933</v>
      </c>
      <c r="E44">
        <v>0</v>
      </c>
    </row>
    <row r="45" spans="1:7" ht="24" x14ac:dyDescent="0.3">
      <c r="A45" s="336" t="s">
        <v>289</v>
      </c>
      <c r="B45" s="337">
        <v>25108</v>
      </c>
      <c r="C45" s="609">
        <v>24742</v>
      </c>
      <c r="D45" s="609">
        <v>-366</v>
      </c>
      <c r="E45">
        <v>0</v>
      </c>
    </row>
    <row r="46" spans="1:7" ht="24" x14ac:dyDescent="0.3">
      <c r="A46" s="336" t="s">
        <v>290</v>
      </c>
      <c r="B46" s="337">
        <v>0.49749851226806641</v>
      </c>
      <c r="C46" s="609">
        <v>2203</v>
      </c>
      <c r="D46" s="609">
        <v>2202.5025014877319</v>
      </c>
      <c r="E46">
        <v>0</v>
      </c>
    </row>
    <row r="47" spans="1:7" ht="24" x14ac:dyDescent="0.3">
      <c r="A47" s="336" t="s">
        <v>291</v>
      </c>
      <c r="B47" s="337">
        <v>0</v>
      </c>
      <c r="C47" s="609">
        <v>0</v>
      </c>
      <c r="D47" s="609">
        <v>0</v>
      </c>
      <c r="E47">
        <v>0</v>
      </c>
    </row>
    <row r="48" spans="1:7" x14ac:dyDescent="0.2">
      <c r="A48" s="593" t="s">
        <v>221</v>
      </c>
      <c r="B48" s="594"/>
      <c r="C48" s="226">
        <v>170912</v>
      </c>
      <c r="D48" s="226">
        <v>168259</v>
      </c>
      <c r="E48" s="227"/>
      <c r="F48" s="469">
        <v>68.849999999999994</v>
      </c>
      <c r="G48" s="469">
        <v>7.7</v>
      </c>
    </row>
    <row r="49" spans="1:7" x14ac:dyDescent="0.2">
      <c r="A49" s="593" t="s">
        <v>223</v>
      </c>
      <c r="B49" s="594"/>
      <c r="C49" s="228">
        <v>178622</v>
      </c>
      <c r="D49" s="228">
        <v>177030</v>
      </c>
      <c r="E49" s="227"/>
      <c r="F49" s="469">
        <v>68.77</v>
      </c>
      <c r="G49" s="469">
        <v>7.74</v>
      </c>
    </row>
    <row r="50" spans="1:7" x14ac:dyDescent="0.2">
      <c r="A50" s="593" t="s">
        <v>225</v>
      </c>
      <c r="B50" s="594"/>
      <c r="C50" s="228">
        <v>178292</v>
      </c>
      <c r="D50" s="228">
        <v>174514</v>
      </c>
      <c r="E50" s="227"/>
      <c r="F50" s="469">
        <v>69.150000000000006</v>
      </c>
      <c r="G50" s="469">
        <v>7.37</v>
      </c>
    </row>
    <row r="51" spans="1:7" x14ac:dyDescent="0.2">
      <c r="A51" s="593" t="s">
        <v>227</v>
      </c>
      <c r="B51" s="594"/>
      <c r="C51" s="228">
        <v>77035</v>
      </c>
      <c r="D51" s="228">
        <v>75914</v>
      </c>
      <c r="E51" s="227"/>
      <c r="F51" s="469">
        <v>69.150000000000006</v>
      </c>
      <c r="G51" s="469">
        <v>7.37</v>
      </c>
    </row>
    <row r="52" spans="1:7" x14ac:dyDescent="0.2">
      <c r="A52" s="593" t="s">
        <v>221</v>
      </c>
      <c r="B52" s="594"/>
      <c r="C52" s="465">
        <v>208397</v>
      </c>
      <c r="D52" s="465">
        <v>205223</v>
      </c>
      <c r="E52" s="227"/>
      <c r="F52" s="467">
        <v>65.34</v>
      </c>
      <c r="G52" s="467">
        <v>1.1200000000000001</v>
      </c>
    </row>
    <row r="53" spans="1:7" x14ac:dyDescent="0.2">
      <c r="A53" s="593" t="s">
        <v>223</v>
      </c>
      <c r="B53" s="594"/>
      <c r="C53" s="465">
        <v>36753</v>
      </c>
      <c r="D53" s="465">
        <v>36753</v>
      </c>
      <c r="E53" s="231"/>
      <c r="F53" s="467">
        <v>65.180000000000007</v>
      </c>
      <c r="G53" s="467">
        <v>0.69</v>
      </c>
    </row>
    <row r="54" spans="1:7" x14ac:dyDescent="0.2">
      <c r="A54" s="593" t="s">
        <v>225</v>
      </c>
      <c r="B54" s="594"/>
      <c r="C54" s="465">
        <v>34138</v>
      </c>
      <c r="D54" s="466">
        <v>34138</v>
      </c>
      <c r="E54" s="231"/>
      <c r="F54" s="467">
        <v>65.55</v>
      </c>
      <c r="G54" s="467">
        <v>0.71</v>
      </c>
    </row>
    <row r="55" spans="1:7" x14ac:dyDescent="0.2">
      <c r="A55" s="593" t="s">
        <v>227</v>
      </c>
      <c r="B55" s="594"/>
      <c r="C55" s="228"/>
      <c r="D55" s="228"/>
      <c r="E55" s="231"/>
      <c r="F55" s="467"/>
      <c r="G55" s="467"/>
    </row>
    <row r="56" spans="1:7" x14ac:dyDescent="0.2">
      <c r="A56" s="593" t="s">
        <v>221</v>
      </c>
      <c r="B56" s="594"/>
      <c r="C56" s="466">
        <v>167380</v>
      </c>
      <c r="D56" s="466">
        <v>171545</v>
      </c>
      <c r="E56" s="231"/>
      <c r="F56" s="467">
        <v>64.069999999999993</v>
      </c>
      <c r="G56" s="467">
        <v>1.19</v>
      </c>
    </row>
    <row r="57" spans="1:7" x14ac:dyDescent="0.2">
      <c r="A57" s="593" t="s">
        <v>223</v>
      </c>
      <c r="B57" s="594"/>
      <c r="C57" s="466">
        <v>96781</v>
      </c>
      <c r="D57" s="466">
        <v>100086</v>
      </c>
      <c r="E57" s="231"/>
      <c r="F57" s="467">
        <v>64.069999999999993</v>
      </c>
      <c r="G57" s="467">
        <v>1.19</v>
      </c>
    </row>
    <row r="58" spans="1:7" x14ac:dyDescent="0.2">
      <c r="A58" s="593" t="s">
        <v>225</v>
      </c>
      <c r="B58" s="594"/>
      <c r="C58" s="466"/>
      <c r="D58" s="466"/>
      <c r="E58" s="231"/>
      <c r="F58" s="467"/>
      <c r="G58" s="467"/>
    </row>
    <row r="59" spans="1:7" x14ac:dyDescent="0.2">
      <c r="A59" s="593" t="s">
        <v>227</v>
      </c>
      <c r="B59" s="594"/>
      <c r="C59" s="466"/>
      <c r="D59" s="466"/>
      <c r="E59" s="237"/>
      <c r="F59" s="467"/>
      <c r="G59" s="467"/>
    </row>
    <row r="60" spans="1:7" ht="15.75" customHeight="1" x14ac:dyDescent="0.2">
      <c r="A60" s="593" t="s">
        <v>221</v>
      </c>
      <c r="B60" s="594"/>
      <c r="C60" s="228"/>
      <c r="D60" s="228"/>
      <c r="E60" s="231"/>
      <c r="F60" s="467"/>
      <c r="G60" s="467"/>
    </row>
    <row r="61" spans="1:7" ht="15.75" customHeight="1" x14ac:dyDescent="0.2">
      <c r="A61" s="593" t="s">
        <v>223</v>
      </c>
      <c r="B61" s="594"/>
      <c r="C61" s="228"/>
      <c r="D61" s="228"/>
      <c r="E61" s="231"/>
      <c r="F61" s="467"/>
      <c r="G61" s="467"/>
    </row>
    <row r="62" spans="1:7" ht="15.75" customHeight="1" x14ac:dyDescent="0.3">
      <c r="A62" s="338"/>
      <c r="B62" s="338"/>
      <c r="C62" s="339"/>
      <c r="D62" s="340"/>
    </row>
    <row r="63" spans="1:7" ht="15.75" customHeight="1" x14ac:dyDescent="0.3">
      <c r="A63" s="338"/>
      <c r="B63" s="338"/>
      <c r="C63" s="339"/>
      <c r="D63" s="340"/>
    </row>
    <row r="64" spans="1:7" ht="15.75" customHeight="1" x14ac:dyDescent="0.3">
      <c r="A64" s="338"/>
      <c r="B64" s="338"/>
      <c r="C64" s="339"/>
      <c r="D64" s="34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0">
        <v>61.97</v>
      </c>
      <c r="D1" s="310">
        <v>62.357095530999999</v>
      </c>
      <c r="E1" s="463">
        <v>9.6968121743781464E-3</v>
      </c>
      <c r="F1" s="464">
        <f t="shared" ref="F1:F27" si="0">D1*B1</f>
        <v>50550590.134447053</v>
      </c>
      <c r="G1" s="303"/>
      <c r="H1" s="307" t="s">
        <v>170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0">
        <v>63.47</v>
      </c>
      <c r="D2" s="310">
        <v>63.643644746</v>
      </c>
      <c r="E2" s="463">
        <v>9.6713366074297497E-3</v>
      </c>
      <c r="F2" s="464">
        <f t="shared" si="0"/>
        <v>26732494.677241363</v>
      </c>
      <c r="G2" s="303"/>
      <c r="H2" s="307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0">
        <v>64.069999999999993</v>
      </c>
      <c r="D3" s="310">
        <v>63.819986141000001</v>
      </c>
      <c r="E3" s="463">
        <v>1.1899999999999999E-2</v>
      </c>
      <c r="F3" s="464">
        <f t="shared" si="0"/>
        <v>17129220.46025826</v>
      </c>
      <c r="G3" s="304"/>
      <c r="H3" s="307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0">
        <v>60.37</v>
      </c>
      <c r="D4" s="310">
        <v>60.973700000000001</v>
      </c>
      <c r="E4" s="463">
        <v>9.7242039710222702E-3</v>
      </c>
      <c r="F4" s="464">
        <f t="shared" si="0"/>
        <v>23818095.4573</v>
      </c>
      <c r="G4" s="304"/>
      <c r="H4" s="307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0">
        <v>62.49</v>
      </c>
      <c r="D5" s="310">
        <v>61.865099999999998</v>
      </c>
      <c r="E5" s="463">
        <v>9.7242039710222702E-3</v>
      </c>
      <c r="F5" s="464">
        <f t="shared" si="0"/>
        <v>14938998.752699999</v>
      </c>
      <c r="G5" s="303"/>
      <c r="H5" s="308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0">
        <v>57</v>
      </c>
      <c r="D6" s="310">
        <v>56.928320501000002</v>
      </c>
      <c r="E6" s="463">
        <v>8.6E-3</v>
      </c>
      <c r="F6" s="464">
        <f t="shared" si="0"/>
        <v>-229959.44582907311</v>
      </c>
      <c r="G6" s="303"/>
      <c r="H6" s="308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0">
        <v>66.599999999999994</v>
      </c>
      <c r="D7" s="310">
        <v>64.602000000000004</v>
      </c>
      <c r="E7" s="463">
        <v>7.6E-3</v>
      </c>
      <c r="F7" s="464">
        <f t="shared" si="0"/>
        <v>15098911.486488001</v>
      </c>
      <c r="G7" s="303"/>
      <c r="H7" s="308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0">
        <v>5.82</v>
      </c>
      <c r="D8" s="310">
        <v>5.82</v>
      </c>
      <c r="E8" s="463">
        <v>0</v>
      </c>
      <c r="F8" s="464">
        <f t="shared" si="0"/>
        <v>114566.70000000001</v>
      </c>
      <c r="G8" s="303"/>
      <c r="H8" s="308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0">
        <v>69.08</v>
      </c>
      <c r="D9" s="310">
        <v>69.08</v>
      </c>
      <c r="E9" s="463">
        <v>1.0652299051322256E-2</v>
      </c>
      <c r="F9" s="464">
        <f t="shared" si="0"/>
        <v>14766609.879999999</v>
      </c>
      <c r="G9" s="303"/>
      <c r="H9" s="308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0">
        <v>68.5</v>
      </c>
      <c r="D10" s="310">
        <v>70.403359141999999</v>
      </c>
      <c r="E10" s="463">
        <v>7.6449041795111791E-2</v>
      </c>
      <c r="F10" s="464">
        <f t="shared" si="0"/>
        <v>14387560.070899978</v>
      </c>
      <c r="G10" s="303"/>
      <c r="H10" s="308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7">
        <v>9145</v>
      </c>
      <c r="B11" s="307">
        <v>13717.5</v>
      </c>
      <c r="C11" s="311">
        <v>60</v>
      </c>
      <c r="D11" s="311">
        <v>60.269302815000003</v>
      </c>
      <c r="E11" s="463">
        <v>0</v>
      </c>
      <c r="F11" s="464">
        <f t="shared" si="0"/>
        <v>826744.16136476258</v>
      </c>
      <c r="G11" s="303"/>
      <c r="H11" s="308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0">
        <v>69.08</v>
      </c>
      <c r="D12" s="310">
        <v>70.460993224999996</v>
      </c>
      <c r="E12" s="463">
        <v>7.6449041795111791E-2</v>
      </c>
      <c r="F12" s="464">
        <f t="shared" si="0"/>
        <v>14227695.134971675</v>
      </c>
      <c r="G12" s="303"/>
      <c r="H12" s="308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63">
        <v>7.6449041795111791E-2</v>
      </c>
      <c r="F13" s="464">
        <f t="shared" si="0"/>
        <v>14227695.134971675</v>
      </c>
      <c r="G13" s="303"/>
      <c r="H13" s="308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63">
        <v>7.6449041795111791E-2</v>
      </c>
      <c r="F14" s="464">
        <f t="shared" si="0"/>
        <v>0</v>
      </c>
      <c r="G14" s="303"/>
      <c r="H14" s="308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63">
        <v>7.6449041795111791E-2</v>
      </c>
      <c r="F15" s="464">
        <f t="shared" si="0"/>
        <v>-159864.93601312523</v>
      </c>
      <c r="G15" s="303"/>
      <c r="H15" s="308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63">
        <v>7.5731611822392159E-2</v>
      </c>
      <c r="F16" s="464">
        <f t="shared" si="0"/>
        <v>37964007.899999999</v>
      </c>
      <c r="G16" s="303"/>
      <c r="H16" s="308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63">
        <v>0</v>
      </c>
      <c r="F17" s="464">
        <f t="shared" si="0"/>
        <v>0</v>
      </c>
      <c r="G17" s="303"/>
      <c r="H17" s="308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63">
        <v>1</v>
      </c>
      <c r="F18" s="464">
        <f t="shared" si="0"/>
        <v>0</v>
      </c>
      <c r="G18" s="303"/>
      <c r="H18" s="308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63">
        <v>0</v>
      </c>
      <c r="F19" s="464">
        <f t="shared" si="0"/>
        <v>0</v>
      </c>
      <c r="G19" s="303"/>
      <c r="H19" s="308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63">
        <v>0</v>
      </c>
      <c r="F20" s="464">
        <f t="shared" si="0"/>
        <v>0</v>
      </c>
      <c r="G20" s="303"/>
      <c r="H20" s="308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63">
        <v>0</v>
      </c>
      <c r="F21" s="464">
        <f t="shared" si="0"/>
        <v>0</v>
      </c>
      <c r="G21" s="303"/>
      <c r="H21" s="308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63">
        <v>0</v>
      </c>
      <c r="F22" s="464">
        <f t="shared" si="0"/>
        <v>0</v>
      </c>
      <c r="G22" s="303"/>
      <c r="H22" s="308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63">
        <v>0</v>
      </c>
      <c r="F23" s="464">
        <f t="shared" si="0"/>
        <v>0</v>
      </c>
      <c r="G23" s="303"/>
      <c r="H23" s="308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65.34</v>
      </c>
      <c r="D24" s="158">
        <v>65.34</v>
      </c>
      <c r="E24" s="463">
        <v>5.0000000000000001E-3</v>
      </c>
      <c r="F24" s="464">
        <f t="shared" si="0"/>
        <v>-17858728.800000001</v>
      </c>
      <c r="G24" s="303"/>
      <c r="H24" s="308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59">
        <v>65.34</v>
      </c>
      <c r="D25" s="459">
        <v>65.34</v>
      </c>
      <c r="E25" s="463">
        <v>1.0120722237916222E-2</v>
      </c>
      <c r="F25" s="464">
        <f t="shared" si="0"/>
        <v>17858728.800000001</v>
      </c>
      <c r="G25" s="303"/>
      <c r="H25" s="308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7">
        <v>0</v>
      </c>
      <c r="B26" s="307">
        <v>0</v>
      </c>
      <c r="C26" s="312">
        <v>0</v>
      </c>
      <c r="D26" s="312">
        <v>0</v>
      </c>
      <c r="E26" s="463">
        <v>0.01</v>
      </c>
      <c r="F26" s="464">
        <f t="shared" si="0"/>
        <v>0</v>
      </c>
      <c r="G26" s="303"/>
      <c r="H26" s="308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7">
        <v>0</v>
      </c>
      <c r="B27" s="307">
        <v>0</v>
      </c>
      <c r="C27" s="310">
        <v>69.08</v>
      </c>
      <c r="D27" s="310">
        <v>69.08</v>
      </c>
      <c r="E27" s="463">
        <v>0.01</v>
      </c>
      <c r="F27" s="464">
        <f t="shared" si="0"/>
        <v>0</v>
      </c>
      <c r="G27" s="303"/>
      <c r="H27" s="309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0">
        <v>148018</v>
      </c>
      <c r="B28" s="300">
        <v>149152</v>
      </c>
      <c r="C28" s="301">
        <v>60.37</v>
      </c>
      <c r="D28" s="301">
        <v>59.530523926000001</v>
      </c>
      <c r="E28" s="463">
        <v>9.6968121743781464E-3</v>
      </c>
      <c r="F28" s="464"/>
      <c r="G28" s="303"/>
      <c r="H28" s="303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0">
        <v>-350455</v>
      </c>
      <c r="B29" s="300">
        <v>-348679</v>
      </c>
      <c r="C29" s="301">
        <v>69.08</v>
      </c>
      <c r="D29" s="301">
        <v>68.074970862000001</v>
      </c>
      <c r="E29" s="463">
        <v>7.6449041795111791E-2</v>
      </c>
      <c r="F29" s="464"/>
      <c r="G29" s="303"/>
      <c r="H29" s="303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0">
        <v>149046</v>
      </c>
      <c r="B30" s="300">
        <v>151635</v>
      </c>
      <c r="C30" s="301">
        <v>63.47</v>
      </c>
      <c r="D30" s="301">
        <v>63.331514603999999</v>
      </c>
      <c r="E30" s="463">
        <v>9.6713366074297497E-3</v>
      </c>
      <c r="F30" s="464"/>
      <c r="G30" s="303"/>
      <c r="H30" s="303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0">
        <v>-364</v>
      </c>
      <c r="B31" s="300">
        <v>-254.80000003000001</v>
      </c>
      <c r="C31" s="301">
        <v>0</v>
      </c>
      <c r="D31" s="301">
        <v>0</v>
      </c>
      <c r="E31" s="463">
        <v>5.0000000000000001E-3</v>
      </c>
      <c r="F31" s="464"/>
      <c r="G31" s="303"/>
      <c r="H31" s="303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0">
        <v>0</v>
      </c>
      <c r="B32" s="300">
        <v>0</v>
      </c>
      <c r="C32" s="301">
        <v>0</v>
      </c>
      <c r="D32" s="301">
        <v>0</v>
      </c>
      <c r="E32" s="463">
        <v>0</v>
      </c>
      <c r="F32" s="464"/>
      <c r="G32" s="303"/>
      <c r="H32" s="303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0"/>
      <c r="B33" s="300"/>
      <c r="C33" s="301"/>
      <c r="D33" s="301"/>
      <c r="E33" s="302"/>
      <c r="F33" s="303"/>
      <c r="G33" s="303"/>
      <c r="H33" s="303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0"/>
      <c r="B34" s="300"/>
      <c r="C34" s="301"/>
      <c r="D34" s="301"/>
      <c r="E34" s="302"/>
      <c r="F34" s="303"/>
      <c r="G34" s="303"/>
      <c r="H34" s="303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0"/>
      <c r="B35" s="300"/>
      <c r="C35" s="301"/>
      <c r="D35" s="301"/>
      <c r="E35" s="302"/>
      <c r="F35" s="303"/>
      <c r="G35" s="303"/>
      <c r="H35" s="303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7"/>
      <c r="B36" s="307"/>
      <c r="C36" s="307"/>
      <c r="D36" s="307"/>
      <c r="E36" s="307"/>
      <c r="F36" s="307"/>
      <c r="G36" s="307"/>
      <c r="H36" s="307"/>
      <c r="I36" s="307"/>
      <c r="J36" s="307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7"/>
      <c r="B37" s="307"/>
      <c r="C37" s="307"/>
      <c r="D37" s="307"/>
      <c r="E37" s="307"/>
      <c r="F37" s="307"/>
      <c r="G37" s="307"/>
      <c r="H37" s="307"/>
      <c r="I37" s="307"/>
      <c r="J37" s="307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7"/>
      <c r="B38" s="307"/>
      <c r="C38" s="307"/>
      <c r="D38" s="307"/>
      <c r="E38" s="307"/>
      <c r="F38" s="307"/>
      <c r="G38" s="307"/>
      <c r="H38" s="307"/>
      <c r="I38" s="307"/>
      <c r="J38" s="307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7"/>
      <c r="B39" s="307"/>
      <c r="C39" s="307"/>
      <c r="D39" s="307"/>
      <c r="E39" s="307"/>
      <c r="F39" s="307"/>
      <c r="G39" s="307"/>
      <c r="H39" s="307"/>
      <c r="I39" s="307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8"/>
      <c r="B41" s="308"/>
      <c r="C41" s="308"/>
      <c r="D41" s="308"/>
      <c r="E41" s="308"/>
      <c r="F41" s="308"/>
      <c r="G41" s="308"/>
      <c r="H41" s="308"/>
      <c r="I41" s="308"/>
      <c r="J41" s="308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8"/>
      <c r="B43" s="308"/>
      <c r="C43" s="308"/>
      <c r="D43" s="308"/>
      <c r="E43" s="308"/>
      <c r="F43" s="308"/>
      <c r="G43" s="307"/>
      <c r="H43" s="308"/>
      <c r="I43" s="308"/>
      <c r="J43" s="308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3"/>
      <c r="B63" s="302"/>
      <c r="C63" s="302"/>
      <c r="D63" s="303"/>
      <c r="E63" s="302"/>
      <c r="F63" s="303"/>
      <c r="G63" s="303"/>
      <c r="H63" s="303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3"/>
      <c r="B64" s="303"/>
      <c r="C64" s="303"/>
      <c r="D64" s="303"/>
      <c r="E64" s="302"/>
      <c r="F64" s="303"/>
      <c r="G64" s="303"/>
      <c r="H64" s="303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3"/>
      <c r="B65" s="303"/>
      <c r="C65" s="303"/>
      <c r="D65" s="303"/>
      <c r="E65" s="302"/>
      <c r="F65" s="303"/>
      <c r="G65" s="303"/>
      <c r="H65" s="303"/>
      <c r="I65" s="88"/>
      <c r="J65" s="88"/>
      <c r="K65" s="568"/>
      <c r="L65" s="569"/>
      <c r="M65" s="88"/>
      <c r="N65" s="570" t="s">
        <v>46</v>
      </c>
      <c r="O65" s="571"/>
      <c r="P65" s="569"/>
      <c r="Q65" s="93"/>
      <c r="R65" s="572"/>
      <c r="S65" s="573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3"/>
      <c r="B66" s="303"/>
      <c r="C66" s="303"/>
      <c r="D66" s="303"/>
      <c r="E66" s="302"/>
      <c r="F66" s="303"/>
      <c r="G66" s="303"/>
      <c r="H66" s="303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3"/>
      <c r="B67" s="303"/>
      <c r="C67" s="303"/>
      <c r="D67" s="303"/>
      <c r="E67" s="302"/>
      <c r="F67" s="303"/>
      <c r="G67" s="303"/>
      <c r="H67" s="303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3"/>
      <c r="B68" s="303"/>
      <c r="C68" s="303"/>
      <c r="D68" s="303"/>
      <c r="E68" s="302"/>
      <c r="F68" s="303"/>
      <c r="G68" s="303"/>
      <c r="H68" s="303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3"/>
      <c r="B69" s="303"/>
      <c r="C69" s="303"/>
      <c r="D69" s="303"/>
      <c r="E69" s="302"/>
      <c r="F69" s="303"/>
      <c r="G69" s="303"/>
      <c r="H69" s="303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3"/>
      <c r="B70" s="303"/>
      <c r="C70" s="303"/>
      <c r="D70" s="305"/>
      <c r="E70" s="302"/>
      <c r="F70" s="306"/>
      <c r="G70" s="303"/>
      <c r="H70" s="303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3"/>
      <c r="B71" s="303"/>
      <c r="C71" s="303"/>
      <c r="D71" s="303"/>
      <c r="E71" s="302"/>
      <c r="F71" s="303"/>
      <c r="G71" s="303"/>
      <c r="H71" s="303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3"/>
      <c r="B72" s="303"/>
      <c r="C72" s="303"/>
      <c r="D72" s="305"/>
      <c r="E72" s="302"/>
      <c r="F72" s="306"/>
      <c r="G72" s="303"/>
      <c r="H72" s="303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4"/>
      <c r="L129" s="569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5" t="s">
        <v>133</v>
      </c>
      <c r="C2" s="576"/>
      <c r="D2" s="577"/>
      <c r="F2" s="575" t="s">
        <v>134</v>
      </c>
      <c r="G2" s="576"/>
      <c r="H2" s="577"/>
      <c r="J2" s="578" t="s">
        <v>135</v>
      </c>
      <c r="K2" s="551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170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170</v>
      </c>
      <c r="R4" s="124">
        <f>Utilidad!E1</f>
        <v>9.6968121743781464E-3</v>
      </c>
    </row>
    <row r="5" spans="2:18" ht="24" x14ac:dyDescent="0.3">
      <c r="B5" s="118" t="s">
        <v>171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171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171</v>
      </c>
      <c r="R5" s="124">
        <f>Utilidad!E2</f>
        <v>9.6713366074297497E-3</v>
      </c>
    </row>
    <row r="6" spans="2:18" ht="24" x14ac:dyDescent="0.3">
      <c r="B6" s="118" t="s">
        <v>172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172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172</v>
      </c>
      <c r="R6" s="124">
        <f>Utilidad!E3</f>
        <v>1.1899999999999999E-2</v>
      </c>
    </row>
    <row r="7" spans="2:18" ht="24" x14ac:dyDescent="0.3">
      <c r="B7" s="118" t="s">
        <v>173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173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173</v>
      </c>
      <c r="R7" s="124">
        <f>Utilidad!E4</f>
        <v>9.7242039710222702E-3</v>
      </c>
    </row>
    <row r="8" spans="2:18" ht="24" x14ac:dyDescent="0.3">
      <c r="B8" s="118" t="s">
        <v>138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138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138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139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140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1.0652299051322256E-2</v>
      </c>
    </row>
    <row r="13" spans="2:18" ht="24" x14ac:dyDescent="0.3">
      <c r="B13" s="118" t="s">
        <v>141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141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141</v>
      </c>
      <c r="R13" s="124">
        <f>Utilidad!E10</f>
        <v>7.6449041795111791E-2</v>
      </c>
    </row>
    <row r="14" spans="2:18" ht="24" x14ac:dyDescent="0.3">
      <c r="B14" s="118" t="s">
        <v>197</v>
      </c>
      <c r="C14" s="123">
        <f>Utilidad!A11</f>
        <v>9145</v>
      </c>
      <c r="D14" s="124">
        <f>IF(Utilidad!C11&gt;1,Utilidad!C11/100,Utilidad!C11)</f>
        <v>0.6</v>
      </c>
      <c r="F14" s="118" t="s">
        <v>197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197</v>
      </c>
      <c r="R14" s="124">
        <f>Utilidad!E11</f>
        <v>0</v>
      </c>
    </row>
    <row r="15" spans="2:18" ht="24" x14ac:dyDescent="0.3">
      <c r="B15" s="118" t="s">
        <v>259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259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259</v>
      </c>
      <c r="R15" s="124">
        <f>Utilidad!E12</f>
        <v>7.6449041795111791E-2</v>
      </c>
    </row>
    <row r="16" spans="2:18" ht="24" x14ac:dyDescent="0.3">
      <c r="B16" s="118" t="s">
        <v>174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174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174</v>
      </c>
      <c r="R16" s="124">
        <f>Utilidad!E13</f>
        <v>7.6449041795111791E-2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176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7.6449041795111791E-2</v>
      </c>
    </row>
    <row r="18" spans="2:18" ht="24" x14ac:dyDescent="0.3">
      <c r="B18" s="118" t="s">
        <v>142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142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142</v>
      </c>
      <c r="R18" s="124">
        <f>Utilidad!E15</f>
        <v>7.6449041795111791E-2</v>
      </c>
    </row>
    <row r="19" spans="2:18" ht="24" x14ac:dyDescent="0.3">
      <c r="B19" s="118" t="s">
        <v>182</v>
      </c>
      <c r="C19" s="123">
        <f>Utilidad!A16</f>
        <v>550602</v>
      </c>
      <c r="D19" s="124">
        <f>IF(Utilidad!C16&gt;1,Utilidad!C16/100,Utilidad!C16)</f>
        <v>0.6895</v>
      </c>
      <c r="F19" s="118" t="s">
        <v>182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7.5731611822392159E-2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1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200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1.0120722237916222E-2</v>
      </c>
    </row>
    <row r="29" spans="2:18" ht="24" x14ac:dyDescent="0.3">
      <c r="B29" s="313" t="s">
        <v>260</v>
      </c>
      <c r="C29" s="314">
        <f>Utilidad!A26</f>
        <v>0</v>
      </c>
      <c r="D29" s="315">
        <f>IF(Utilidad!C26&gt;1,Utilidad!C26/100,Utilidad!C26)</f>
        <v>0</v>
      </c>
      <c r="E29" s="316"/>
      <c r="F29" s="313" t="s">
        <v>260</v>
      </c>
      <c r="G29" s="314">
        <f>Utilidad!B26</f>
        <v>0</v>
      </c>
      <c r="H29" s="315">
        <f>IF(Utilidad!D26&gt;1,Utilidad!D26/100,Utilidad!D26)</f>
        <v>0</v>
      </c>
      <c r="I29" s="316"/>
      <c r="J29" s="317">
        <f t="shared" si="0"/>
        <v>0</v>
      </c>
      <c r="K29" s="317">
        <f t="shared" si="1"/>
        <v>0</v>
      </c>
      <c r="L29" s="318"/>
      <c r="M29" s="319">
        <f t="shared" si="2"/>
        <v>0</v>
      </c>
      <c r="N29" s="319">
        <f t="shared" si="3"/>
        <v>0</v>
      </c>
      <c r="O29" s="316"/>
      <c r="P29" s="316"/>
      <c r="Q29" s="313" t="s">
        <v>260</v>
      </c>
      <c r="R29" s="315">
        <f>Utilidad!E26</f>
        <v>0.01</v>
      </c>
    </row>
    <row r="30" spans="2:18" ht="24" x14ac:dyDescent="0.3">
      <c r="B30" s="325" t="s">
        <v>261</v>
      </c>
      <c r="C30" s="326">
        <f>Utilidad!A27</f>
        <v>0</v>
      </c>
      <c r="D30" s="327">
        <f>IF(Utilidad!C27&gt;1,Utilidad!C27/100,Utilidad!C27)</f>
        <v>0.69079999999999997</v>
      </c>
      <c r="E30" s="328"/>
      <c r="F30" s="325" t="s">
        <v>261</v>
      </c>
      <c r="G30" s="326">
        <f>Utilidad!B27</f>
        <v>0</v>
      </c>
      <c r="H30" s="327">
        <f>IF(Utilidad!D27&gt;1,Utilidad!D27/100,Utilidad!D27)</f>
        <v>0.69079999999999997</v>
      </c>
      <c r="I30" s="328"/>
      <c r="J30" s="329">
        <f t="shared" si="0"/>
        <v>0</v>
      </c>
      <c r="K30" s="329">
        <f t="shared" si="1"/>
        <v>0</v>
      </c>
      <c r="L30" s="330"/>
      <c r="M30" s="331">
        <f t="shared" si="2"/>
        <v>0</v>
      </c>
      <c r="N30" s="331">
        <f t="shared" si="3"/>
        <v>0</v>
      </c>
      <c r="O30" s="328"/>
      <c r="P30" s="328"/>
      <c r="Q30" s="325" t="s">
        <v>261</v>
      </c>
      <c r="R30" s="327">
        <f>Utilidad!E27</f>
        <v>0.01</v>
      </c>
    </row>
    <row r="31" spans="2:18" ht="15.75" customHeight="1" x14ac:dyDescent="0.3">
      <c r="B31" s="313" t="s">
        <v>269</v>
      </c>
      <c r="C31" s="326">
        <f>Utilidad!A28</f>
        <v>148018</v>
      </c>
      <c r="D31" s="327">
        <f>IF(Utilidad!C28&gt;1,Utilidad!C28/100,Utilidad!C28)</f>
        <v>0.60370000000000001</v>
      </c>
      <c r="E31" s="316"/>
      <c r="F31" s="313" t="s">
        <v>269</v>
      </c>
      <c r="G31" s="326">
        <f>Utilidad!B28</f>
        <v>149152</v>
      </c>
      <c r="H31" s="327">
        <f>IF(Utilidad!D28&gt;1,Utilidad!D28/100,Utilidad!D28)</f>
        <v>0.59530523926000001</v>
      </c>
      <c r="I31" s="316"/>
      <c r="J31" s="329">
        <f t="shared" ref="J31" si="4">+IF(C31&lt;&gt;0,(G31-C31)/C31,ABS(G31-C31))</f>
        <v>7.6612303908984046E-3</v>
      </c>
      <c r="K31" s="329">
        <f t="shared" ref="K31" si="5">+IF(D31&lt;&gt;0,(H31-D31)/D31,0)</f>
        <v>-1.3905517210535045E-2</v>
      </c>
      <c r="L31" s="318"/>
      <c r="M31" s="331">
        <f t="shared" ref="M31" si="6">+IF(J31&lt;&gt;"",ABS(J31),0)</f>
        <v>7.6612303908984046E-3</v>
      </c>
      <c r="N31" s="331">
        <f t="shared" ref="N31" si="7">+IF(J31&lt;&gt;"",ABS(K31),0)</f>
        <v>1.3905517210535045E-2</v>
      </c>
      <c r="O31" s="316"/>
      <c r="P31" s="316"/>
      <c r="Q31" s="118" t="s">
        <v>269</v>
      </c>
      <c r="R31" s="327">
        <f>Utilidad!E28</f>
        <v>9.6968121743781464E-3</v>
      </c>
    </row>
    <row r="32" spans="2:18" ht="24" x14ac:dyDescent="0.3">
      <c r="B32" s="313" t="s">
        <v>9</v>
      </c>
      <c r="C32" s="326">
        <f>Utilidad!A29</f>
        <v>-350455</v>
      </c>
      <c r="D32" s="327">
        <f>IF(Utilidad!C29&gt;1,Utilidad!C29/100,Utilidad!C29)</f>
        <v>0.69079999999999997</v>
      </c>
      <c r="E32" s="316"/>
      <c r="F32" s="313" t="s">
        <v>9</v>
      </c>
      <c r="G32" s="326">
        <f>Utilidad!B29</f>
        <v>-348679</v>
      </c>
      <c r="H32" s="327">
        <f>IF(Utilidad!D29&gt;1,Utilidad!D29/100,Utilidad!D29)</f>
        <v>0.68074970862000006</v>
      </c>
      <c r="I32" s="316"/>
      <c r="J32" s="329">
        <f t="shared" ref="J32" si="8">+IF(C32&lt;&gt;0,(G32-C32)/C32,ABS(G32-C32))</f>
        <v>-5.0676977072662685E-3</v>
      </c>
      <c r="K32" s="329">
        <f t="shared" ref="K32" si="9">+IF(D32&lt;&gt;0,(H32-D32)/D32,0)</f>
        <v>-1.4548771540243066E-2</v>
      </c>
      <c r="L32" s="318"/>
      <c r="M32" s="331">
        <f t="shared" ref="M32" si="10">+IF(J32&lt;&gt;"",ABS(J32),0)</f>
        <v>5.0676977072662685E-3</v>
      </c>
      <c r="N32" s="331">
        <f t="shared" ref="N32" si="11">+IF(J32&lt;&gt;"",ABS(K32),0)</f>
        <v>1.4548771540243066E-2</v>
      </c>
      <c r="O32" s="316"/>
      <c r="P32" s="316"/>
      <c r="Q32" s="313" t="s">
        <v>9</v>
      </c>
      <c r="R32" s="327">
        <f>Utilidad!E29</f>
        <v>7.6449041795111791E-2</v>
      </c>
    </row>
    <row r="33" spans="2:18" ht="24" x14ac:dyDescent="0.3">
      <c r="B33" s="313" t="s">
        <v>271</v>
      </c>
      <c r="C33" s="326">
        <f>Utilidad!A30</f>
        <v>149046</v>
      </c>
      <c r="D33" s="327">
        <f>IF(Utilidad!C30&gt;1,Utilidad!C30/100,Utilidad!C30)</f>
        <v>0.63470000000000004</v>
      </c>
      <c r="E33" s="316"/>
      <c r="F33" s="313" t="s">
        <v>271</v>
      </c>
      <c r="G33" s="326">
        <f>Utilidad!B30</f>
        <v>151635</v>
      </c>
      <c r="H33" s="327">
        <f>IF(Utilidad!D30&gt;1,Utilidad!D30/100,Utilidad!D30)</f>
        <v>0.63331514603999994</v>
      </c>
      <c r="I33" s="316"/>
      <c r="J33" s="329">
        <f t="shared" ref="J33" si="12">+IF(C33&lt;&gt;0,(G33-C33)/C33,ABS(G33-C33))</f>
        <v>1.7370476228815265E-2</v>
      </c>
      <c r="K33" s="329">
        <f t="shared" ref="K33" si="13">+IF(D33&lt;&gt;0,(H33-D33)/D33,0)</f>
        <v>-2.1819031983615861E-3</v>
      </c>
      <c r="L33" s="318"/>
      <c r="M33" s="331">
        <f t="shared" ref="M33" si="14">+IF(J33&lt;&gt;"",ABS(J33),0)</f>
        <v>1.7370476228815265E-2</v>
      </c>
      <c r="N33" s="331">
        <f t="shared" ref="N33" si="15">+IF(J33&lt;&gt;"",ABS(K33),0)</f>
        <v>2.1819031983615861E-3</v>
      </c>
      <c r="O33" s="316"/>
      <c r="P33" s="316"/>
      <c r="Q33" s="313" t="s">
        <v>271</v>
      </c>
      <c r="R33" s="327">
        <f>Utilidad!E30</f>
        <v>9.6713366074297497E-3</v>
      </c>
    </row>
    <row r="34" spans="2:18" ht="24" x14ac:dyDescent="0.3">
      <c r="B34" s="313" t="s">
        <v>272</v>
      </c>
      <c r="C34" s="326">
        <f>Utilidad!A31</f>
        <v>-364</v>
      </c>
      <c r="D34" s="327">
        <f>IF(Utilidad!C31&gt;1,Utilidad!C31/100,Utilidad!C31)</f>
        <v>0</v>
      </c>
      <c r="E34" s="316"/>
      <c r="F34" s="313" t="s">
        <v>272</v>
      </c>
      <c r="G34" s="326">
        <f>Utilidad!B31</f>
        <v>-254.80000003000001</v>
      </c>
      <c r="H34" s="327">
        <f>IF(Utilidad!D31&gt;1,Utilidad!D31/100,Utilidad!D31)</f>
        <v>0</v>
      </c>
      <c r="I34" s="316"/>
      <c r="J34" s="329">
        <f t="shared" ref="J34:J35" si="16">+IF(C34&lt;&gt;0,(G34-C34)/C34,ABS(G34-C34))</f>
        <v>-0.29999999991758242</v>
      </c>
      <c r="K34" s="329">
        <f t="shared" ref="K34:K35" si="17">+IF(D34&lt;&gt;0,(H34-D34)/D34,0)</f>
        <v>0</v>
      </c>
      <c r="L34" s="318"/>
      <c r="M34" s="331">
        <f t="shared" ref="M34:M35" si="18">+IF(J34&lt;&gt;"",ABS(J34),0)</f>
        <v>0.29999999991758242</v>
      </c>
      <c r="N34" s="331">
        <f t="shared" ref="N34:N35" si="19">+IF(J34&lt;&gt;"",ABS(K34),0)</f>
        <v>0</v>
      </c>
      <c r="O34" s="316"/>
      <c r="P34" s="316"/>
      <c r="Q34" s="313" t="s">
        <v>272</v>
      </c>
      <c r="R34" s="327">
        <f>Utilidad!E31</f>
        <v>5.0000000000000001E-3</v>
      </c>
    </row>
    <row r="35" spans="2:18" ht="24" x14ac:dyDescent="0.3">
      <c r="B35" s="313" t="s">
        <v>273</v>
      </c>
      <c r="C35" s="326">
        <f>Utilidad!A32</f>
        <v>0</v>
      </c>
      <c r="D35" s="327">
        <f>IF(Utilidad!C32&gt;1,Utilidad!C32/100,Utilidad!C32)</f>
        <v>0</v>
      </c>
      <c r="E35" s="316"/>
      <c r="F35" s="313" t="s">
        <v>273</v>
      </c>
      <c r="G35" s="326">
        <f>Utilidad!B32</f>
        <v>0</v>
      </c>
      <c r="H35" s="327">
        <f>IF(Utilidad!D32&gt;1,Utilidad!D32/100,Utilidad!D32)</f>
        <v>0</v>
      </c>
      <c r="I35" s="316"/>
      <c r="J35" s="329">
        <f t="shared" si="16"/>
        <v>0</v>
      </c>
      <c r="K35" s="329">
        <f t="shared" si="17"/>
        <v>0</v>
      </c>
      <c r="L35" s="318"/>
      <c r="M35" s="331">
        <f t="shared" si="18"/>
        <v>0</v>
      </c>
      <c r="N35" s="331">
        <f t="shared" si="19"/>
        <v>0</v>
      </c>
      <c r="O35" s="316"/>
      <c r="P35" s="316"/>
      <c r="Q35" s="313" t="s">
        <v>273</v>
      </c>
      <c r="R35" s="327">
        <f>Utilidad!E32</f>
        <v>0</v>
      </c>
    </row>
    <row r="36" spans="2:18" ht="15.75" customHeight="1" x14ac:dyDescent="0.3">
      <c r="B36" s="320"/>
      <c r="C36" s="321"/>
      <c r="D36" s="322"/>
      <c r="E36" s="316"/>
      <c r="F36" s="320"/>
      <c r="G36" s="321"/>
      <c r="H36" s="322"/>
      <c r="I36" s="316"/>
      <c r="J36" s="323"/>
      <c r="K36" s="323"/>
      <c r="L36" s="318"/>
      <c r="M36" s="324"/>
      <c r="N36" s="324"/>
      <c r="O36" s="316"/>
      <c r="P36" s="316"/>
      <c r="Q36" s="320"/>
      <c r="R36" s="322"/>
    </row>
    <row r="37" spans="2:18" ht="15.75" customHeight="1" x14ac:dyDescent="0.3">
      <c r="B37" s="320"/>
      <c r="C37" s="321"/>
      <c r="D37" s="322"/>
      <c r="E37" s="316"/>
      <c r="F37" s="320"/>
      <c r="G37" s="321"/>
      <c r="H37" s="322"/>
      <c r="I37" s="316"/>
      <c r="J37" s="323"/>
      <c r="K37" s="323"/>
      <c r="L37" s="318"/>
      <c r="M37" s="324"/>
      <c r="N37" s="324"/>
      <c r="O37" s="316"/>
      <c r="P37" s="316"/>
      <c r="Q37" s="320"/>
      <c r="R37" s="322"/>
    </row>
    <row r="38" spans="2:18" ht="15.75" customHeight="1" x14ac:dyDescent="0.3">
      <c r="B38" s="320"/>
      <c r="C38" s="321"/>
      <c r="D38" s="322"/>
      <c r="E38" s="316"/>
      <c r="F38" s="320"/>
      <c r="G38" s="321"/>
      <c r="H38" s="322"/>
      <c r="I38" s="316"/>
      <c r="J38" s="323"/>
      <c r="K38" s="323"/>
      <c r="L38" s="318"/>
      <c r="M38" s="324"/>
      <c r="N38" s="324"/>
      <c r="O38" s="316"/>
      <c r="P38" s="316"/>
      <c r="Q38" s="320"/>
      <c r="R38" s="322"/>
    </row>
    <row r="39" spans="2:18" ht="15.75" customHeight="1" x14ac:dyDescent="0.3">
      <c r="B39" s="320"/>
      <c r="C39" s="321"/>
      <c r="D39" s="322"/>
      <c r="E39" s="316"/>
      <c r="F39" s="320"/>
      <c r="G39" s="321"/>
      <c r="H39" s="322"/>
      <c r="I39" s="316"/>
      <c r="J39" s="323"/>
      <c r="K39" s="323"/>
      <c r="L39" s="318"/>
      <c r="M39" s="324"/>
      <c r="N39" s="324"/>
      <c r="O39" s="316"/>
      <c r="P39" s="316"/>
      <c r="Q39" s="320"/>
      <c r="R39" s="322"/>
    </row>
    <row r="40" spans="2:18" ht="15.75" customHeight="1" x14ac:dyDescent="0.3">
      <c r="B40" s="320"/>
      <c r="C40" s="321"/>
      <c r="D40" s="322"/>
      <c r="E40" s="316"/>
      <c r="F40" s="320"/>
      <c r="G40" s="321"/>
      <c r="H40" s="322"/>
      <c r="I40" s="316"/>
      <c r="J40" s="323"/>
      <c r="K40" s="323"/>
      <c r="L40" s="318"/>
      <c r="M40" s="324"/>
      <c r="N40" s="324"/>
      <c r="O40" s="316"/>
      <c r="P40" s="316"/>
      <c r="Q40" s="320"/>
      <c r="R40" s="322"/>
    </row>
    <row r="41" spans="2:18" ht="15.75" customHeight="1" x14ac:dyDescent="0.3">
      <c r="B41" s="320"/>
      <c r="C41" s="321"/>
      <c r="D41" s="322"/>
      <c r="E41" s="316"/>
      <c r="F41" s="320"/>
      <c r="G41" s="321"/>
      <c r="H41" s="322"/>
      <c r="I41" s="316"/>
      <c r="J41" s="323"/>
      <c r="K41" s="323"/>
      <c r="L41" s="318"/>
      <c r="M41" s="324"/>
      <c r="N41" s="324"/>
      <c r="O41" s="316"/>
      <c r="P41" s="316"/>
      <c r="Q41" s="320"/>
      <c r="R41" s="322"/>
    </row>
    <row r="42" spans="2:18" ht="15.75" customHeight="1" x14ac:dyDescent="0.3">
      <c r="B42" s="320"/>
      <c r="C42" s="321"/>
      <c r="D42" s="322"/>
      <c r="E42" s="316"/>
      <c r="F42" s="320"/>
      <c r="G42" s="321"/>
      <c r="H42" s="322"/>
      <c r="I42" s="316"/>
      <c r="J42" s="323"/>
      <c r="K42" s="323"/>
      <c r="L42" s="318"/>
      <c r="M42" s="324"/>
      <c r="N42" s="324"/>
      <c r="O42" s="316"/>
      <c r="P42" s="316"/>
      <c r="Q42" s="320"/>
      <c r="R42" s="322"/>
    </row>
    <row r="43" spans="2:18" ht="15.75" customHeight="1" x14ac:dyDescent="0.3">
      <c r="B43" s="320"/>
      <c r="C43" s="321"/>
      <c r="D43" s="322"/>
      <c r="E43" s="316"/>
      <c r="F43" s="320"/>
      <c r="G43" s="321"/>
      <c r="H43" s="322"/>
      <c r="I43" s="316"/>
      <c r="J43" s="323"/>
      <c r="K43" s="323"/>
      <c r="L43" s="318"/>
      <c r="M43" s="324"/>
      <c r="N43" s="324"/>
      <c r="O43" s="316"/>
      <c r="P43" s="316"/>
      <c r="Q43" s="320"/>
      <c r="R43" s="322"/>
    </row>
    <row r="44" spans="2:18" ht="15.75" customHeight="1" x14ac:dyDescent="0.3">
      <c r="B44" s="320"/>
      <c r="C44" s="321"/>
      <c r="D44" s="322"/>
      <c r="E44" s="316"/>
      <c r="F44" s="320"/>
      <c r="G44" s="321"/>
      <c r="H44" s="322"/>
      <c r="I44" s="316"/>
      <c r="J44" s="323"/>
      <c r="K44" s="323"/>
      <c r="L44" s="318"/>
      <c r="M44" s="324"/>
      <c r="N44" s="324"/>
      <c r="O44" s="316"/>
      <c r="P44" s="316"/>
      <c r="Q44" s="320"/>
      <c r="R44" s="322"/>
    </row>
    <row r="45" spans="2:18" ht="15.75" customHeight="1" x14ac:dyDescent="0.3">
      <c r="B45" s="320"/>
      <c r="C45" s="321"/>
      <c r="D45" s="322"/>
      <c r="E45" s="316"/>
      <c r="F45" s="320"/>
      <c r="G45" s="321"/>
      <c r="H45" s="322"/>
      <c r="I45" s="316"/>
      <c r="J45" s="323"/>
      <c r="K45" s="323"/>
      <c r="L45" s="318"/>
      <c r="M45" s="324"/>
      <c r="N45" s="324"/>
      <c r="O45" s="316"/>
      <c r="P45" s="316"/>
      <c r="Q45" s="320"/>
      <c r="R45" s="322"/>
    </row>
    <row r="46" spans="2:18" ht="15.75" customHeight="1" x14ac:dyDescent="0.3">
      <c r="B46" s="320"/>
      <c r="C46" s="321"/>
      <c r="D46" s="322"/>
      <c r="E46" s="316"/>
      <c r="F46" s="320"/>
      <c r="G46" s="321"/>
      <c r="H46" s="322"/>
      <c r="I46" s="316"/>
      <c r="J46" s="323"/>
      <c r="K46" s="323"/>
      <c r="L46" s="318"/>
      <c r="M46" s="324"/>
      <c r="N46" s="324"/>
      <c r="O46" s="316"/>
      <c r="P46" s="316"/>
      <c r="Q46" s="320"/>
      <c r="R46" s="322"/>
    </row>
    <row r="47" spans="2:18" ht="15.75" customHeight="1" x14ac:dyDescent="0.3">
      <c r="B47" s="320"/>
      <c r="C47" s="321"/>
      <c r="D47" s="322"/>
      <c r="E47" s="316"/>
      <c r="F47" s="320"/>
      <c r="G47" s="321"/>
      <c r="H47" s="322"/>
      <c r="I47" s="316"/>
      <c r="J47" s="323"/>
      <c r="K47" s="323"/>
      <c r="L47" s="318"/>
      <c r="M47" s="324"/>
      <c r="N47" s="324"/>
      <c r="O47" s="316"/>
      <c r="P47" s="316"/>
      <c r="Q47" s="320"/>
      <c r="R47" s="322"/>
    </row>
    <row r="48" spans="2:18" ht="15.75" customHeight="1" x14ac:dyDescent="0.3">
      <c r="B48" s="320"/>
      <c r="C48" s="321"/>
      <c r="D48" s="322"/>
      <c r="E48" s="316"/>
      <c r="F48" s="320"/>
      <c r="G48" s="321"/>
      <c r="H48" s="322"/>
      <c r="I48" s="316"/>
      <c r="J48" s="323"/>
      <c r="K48" s="323"/>
      <c r="L48" s="318"/>
      <c r="M48" s="324"/>
      <c r="N48" s="324"/>
      <c r="O48" s="316"/>
      <c r="P48" s="316"/>
      <c r="Q48" s="320"/>
      <c r="R48" s="322"/>
    </row>
    <row r="49" spans="2:18" ht="15.75" customHeight="1" x14ac:dyDescent="0.3">
      <c r="B49" s="320"/>
      <c r="C49" s="321"/>
      <c r="D49" s="322"/>
      <c r="E49" s="316"/>
      <c r="F49" s="320"/>
      <c r="G49" s="321"/>
      <c r="H49" s="322"/>
      <c r="I49" s="316"/>
      <c r="J49" s="323"/>
      <c r="K49" s="323"/>
      <c r="L49" s="318"/>
      <c r="M49" s="324"/>
      <c r="N49" s="324"/>
      <c r="O49" s="316"/>
      <c r="P49" s="316"/>
      <c r="Q49" s="320"/>
      <c r="R49" s="322"/>
    </row>
    <row r="50" spans="2:18" ht="15.75" customHeight="1" x14ac:dyDescent="0.3">
      <c r="B50" s="320"/>
      <c r="C50" s="321"/>
      <c r="D50" s="322"/>
      <c r="E50" s="316"/>
      <c r="F50" s="320"/>
      <c r="G50" s="321"/>
      <c r="H50" s="322"/>
      <c r="I50" s="316"/>
      <c r="J50" s="323"/>
      <c r="K50" s="323"/>
      <c r="L50" s="318"/>
      <c r="M50" s="324"/>
      <c r="N50" s="324"/>
      <c r="O50" s="316"/>
      <c r="P50" s="316"/>
      <c r="Q50" s="320"/>
      <c r="R50" s="322"/>
    </row>
    <row r="51" spans="2:18" ht="15.75" customHeight="1" x14ac:dyDescent="0.3">
      <c r="B51" s="320"/>
      <c r="C51" s="321"/>
      <c r="D51" s="322"/>
      <c r="E51" s="316"/>
      <c r="F51" s="320"/>
      <c r="G51" s="321"/>
      <c r="H51" s="322"/>
      <c r="I51" s="316"/>
      <c r="J51" s="323"/>
      <c r="K51" s="323"/>
      <c r="L51" s="318"/>
      <c r="M51" s="324"/>
      <c r="N51" s="324"/>
      <c r="O51" s="316"/>
      <c r="P51" s="316"/>
      <c r="Q51" s="320"/>
      <c r="R51" s="322"/>
    </row>
    <row r="52" spans="2:18" ht="15.75" customHeight="1" x14ac:dyDescent="0.3">
      <c r="B52" s="320"/>
      <c r="C52" s="321"/>
      <c r="D52" s="322"/>
      <c r="E52" s="316"/>
      <c r="F52" s="320"/>
      <c r="G52" s="321"/>
      <c r="H52" s="322"/>
      <c r="I52" s="316"/>
      <c r="J52" s="323"/>
      <c r="K52" s="323"/>
      <c r="L52" s="318"/>
      <c r="M52" s="324"/>
      <c r="N52" s="324"/>
      <c r="O52" s="316"/>
      <c r="P52" s="316"/>
      <c r="Q52" s="320"/>
      <c r="R52" s="322"/>
    </row>
    <row r="53" spans="2:18" ht="15.75" customHeight="1" x14ac:dyDescent="0.3">
      <c r="B53" s="320"/>
      <c r="C53" s="321"/>
      <c r="D53" s="322"/>
      <c r="E53" s="316"/>
      <c r="F53" s="320"/>
      <c r="G53" s="321"/>
      <c r="H53" s="322"/>
      <c r="I53" s="316"/>
      <c r="J53" s="323"/>
      <c r="K53" s="323"/>
      <c r="L53" s="318"/>
      <c r="M53" s="324"/>
      <c r="N53" s="324"/>
      <c r="O53" s="316"/>
      <c r="P53" s="316"/>
      <c r="Q53" s="320"/>
      <c r="R53" s="322"/>
    </row>
    <row r="54" spans="2:18" ht="15.75" customHeight="1" x14ac:dyDescent="0.3">
      <c r="B54" s="320"/>
      <c r="C54" s="321"/>
      <c r="D54" s="322"/>
      <c r="E54" s="316"/>
      <c r="F54" s="320"/>
      <c r="G54" s="321"/>
      <c r="H54" s="322"/>
      <c r="I54" s="316"/>
      <c r="J54" s="323"/>
      <c r="K54" s="323"/>
      <c r="L54" s="318"/>
      <c r="M54" s="324"/>
      <c r="N54" s="324"/>
      <c r="O54" s="316"/>
      <c r="P54" s="316"/>
      <c r="Q54" s="320"/>
      <c r="R54" s="322"/>
    </row>
    <row r="55" spans="2:18" ht="15.75" customHeight="1" x14ac:dyDescent="0.3">
      <c r="B55" s="320"/>
      <c r="C55" s="321"/>
      <c r="D55" s="322"/>
      <c r="E55" s="316"/>
      <c r="F55" s="320"/>
      <c r="G55" s="321"/>
      <c r="H55" s="322"/>
      <c r="I55" s="316"/>
      <c r="J55" s="323"/>
      <c r="K55" s="323"/>
      <c r="L55" s="318"/>
      <c r="M55" s="324"/>
      <c r="N55" s="324"/>
      <c r="O55" s="316"/>
      <c r="P55" s="316"/>
      <c r="Q55" s="320"/>
      <c r="R55" s="322"/>
    </row>
    <row r="56" spans="2:18" ht="15.75" customHeight="1" x14ac:dyDescent="0.3">
      <c r="B56" s="320"/>
      <c r="C56" s="321"/>
      <c r="D56" s="322"/>
      <c r="E56" s="316"/>
      <c r="F56" s="320"/>
      <c r="G56" s="321"/>
      <c r="H56" s="322"/>
      <c r="I56" s="316"/>
      <c r="J56" s="323"/>
      <c r="K56" s="323"/>
      <c r="L56" s="318"/>
      <c r="M56" s="324"/>
      <c r="N56" s="324"/>
      <c r="O56" s="316"/>
      <c r="P56" s="316"/>
      <c r="Q56" s="320"/>
      <c r="R56" s="322"/>
    </row>
    <row r="57" spans="2:18" ht="15.75" customHeight="1" x14ac:dyDescent="0.3">
      <c r="B57" s="320"/>
      <c r="C57" s="321"/>
      <c r="D57" s="322"/>
      <c r="E57" s="316"/>
      <c r="F57" s="320"/>
      <c r="G57" s="321"/>
      <c r="H57" s="322"/>
      <c r="I57" s="316"/>
      <c r="J57" s="323"/>
      <c r="K57" s="323"/>
      <c r="L57" s="318"/>
      <c r="M57" s="324"/>
      <c r="N57" s="324"/>
      <c r="O57" s="316"/>
      <c r="P57" s="316"/>
      <c r="Q57" s="320"/>
      <c r="R57" s="322"/>
    </row>
    <row r="58" spans="2:18" ht="15.75" customHeight="1" x14ac:dyDescent="0.3">
      <c r="B58" s="320"/>
      <c r="C58" s="321"/>
      <c r="D58" s="322"/>
      <c r="E58" s="316"/>
      <c r="F58" s="320"/>
      <c r="G58" s="321"/>
      <c r="H58" s="322"/>
      <c r="I58" s="316"/>
      <c r="J58" s="323"/>
      <c r="K58" s="323"/>
      <c r="L58" s="318"/>
      <c r="M58" s="324"/>
      <c r="N58" s="324"/>
      <c r="O58" s="316"/>
      <c r="P58" s="316"/>
      <c r="Q58" s="320"/>
      <c r="R58" s="322"/>
    </row>
    <row r="59" spans="2:18" ht="15.75" customHeight="1" x14ac:dyDescent="0.3">
      <c r="B59" s="320"/>
      <c r="C59" s="321"/>
      <c r="D59" s="322"/>
      <c r="E59" s="316"/>
      <c r="F59" s="320"/>
      <c r="G59" s="321"/>
      <c r="H59" s="322"/>
      <c r="I59" s="316"/>
      <c r="J59" s="323"/>
      <c r="K59" s="323"/>
      <c r="L59" s="318"/>
      <c r="M59" s="324"/>
      <c r="N59" s="324"/>
      <c r="O59" s="316"/>
      <c r="P59" s="316"/>
      <c r="Q59" s="320"/>
      <c r="R59" s="322"/>
    </row>
    <row r="60" spans="2:18" ht="15.75" customHeight="1" x14ac:dyDescent="0.3">
      <c r="B60" s="320"/>
      <c r="C60" s="321"/>
      <c r="D60" s="322"/>
      <c r="E60" s="316"/>
      <c r="F60" s="320"/>
      <c r="G60" s="321"/>
      <c r="H60" s="322"/>
      <c r="I60" s="316"/>
      <c r="J60" s="323"/>
      <c r="K60" s="323"/>
      <c r="L60" s="318"/>
      <c r="M60" s="324"/>
      <c r="N60" s="324"/>
      <c r="O60" s="316"/>
      <c r="P60" s="316"/>
      <c r="Q60" s="320"/>
      <c r="R60" s="322"/>
    </row>
    <row r="61" spans="2:18" ht="15.75" customHeight="1" x14ac:dyDescent="0.3">
      <c r="B61" s="320"/>
      <c r="C61" s="321"/>
      <c r="D61" s="322"/>
      <c r="E61" s="316"/>
      <c r="F61" s="320"/>
      <c r="G61" s="321"/>
      <c r="H61" s="322"/>
      <c r="I61" s="316"/>
      <c r="J61" s="323"/>
      <c r="K61" s="323"/>
      <c r="L61" s="318"/>
      <c r="M61" s="324"/>
      <c r="N61" s="324"/>
      <c r="O61" s="316"/>
      <c r="P61" s="316"/>
      <c r="Q61" s="320"/>
      <c r="R61" s="322"/>
    </row>
    <row r="62" spans="2:18" ht="15.75" customHeight="1" x14ac:dyDescent="0.3">
      <c r="B62" s="320"/>
      <c r="C62" s="321"/>
      <c r="D62" s="322"/>
      <c r="E62" s="316"/>
      <c r="F62" s="320"/>
      <c r="G62" s="321"/>
      <c r="H62" s="322"/>
      <c r="I62" s="316"/>
      <c r="J62" s="323"/>
      <c r="K62" s="323"/>
      <c r="L62" s="318"/>
      <c r="M62" s="324"/>
      <c r="N62" s="324"/>
      <c r="O62" s="316"/>
      <c r="P62" s="316"/>
      <c r="Q62" s="320"/>
      <c r="R62" s="322"/>
    </row>
    <row r="63" spans="2:18" ht="15.75" customHeight="1" x14ac:dyDescent="0.3">
      <c r="B63" s="320"/>
      <c r="C63" s="321"/>
      <c r="D63" s="322"/>
      <c r="E63" s="316"/>
      <c r="F63" s="320"/>
      <c r="G63" s="321"/>
      <c r="H63" s="322"/>
      <c r="I63" s="316"/>
      <c r="J63" s="323"/>
      <c r="K63" s="323"/>
      <c r="L63" s="318"/>
      <c r="M63" s="324"/>
      <c r="N63" s="324"/>
      <c r="O63" s="316"/>
      <c r="P63" s="316"/>
      <c r="Q63" s="320"/>
      <c r="R63" s="322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D53" zoomScaleNormal="70" workbookViewId="0">
      <selection activeCell="J70" sqref="J70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45245</v>
      </c>
      <c r="D4" s="140"/>
      <c r="E4" s="133"/>
      <c r="H4" s="141">
        <f>+AF7</f>
        <v>420034</v>
      </c>
      <c r="I4" s="142" t="s">
        <v>162</v>
      </c>
      <c r="J4" s="142" t="s">
        <v>163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7265.5645013072171</v>
      </c>
      <c r="Y4" s="137"/>
      <c r="AD4" s="581" t="s">
        <v>262</v>
      </c>
      <c r="AE4" s="581"/>
      <c r="AF4" s="581"/>
      <c r="AG4" s="581"/>
      <c r="AH4" s="144"/>
      <c r="AI4" s="144"/>
      <c r="AL4" s="582"/>
      <c r="AM4" s="582"/>
      <c r="AN4" s="582"/>
      <c r="AO4" s="582"/>
      <c r="AP4" s="582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79" t="s">
        <v>165</v>
      </c>
      <c r="AB5" s="583"/>
      <c r="AC5" s="580"/>
      <c r="AD5" s="148" t="s">
        <v>264</v>
      </c>
      <c r="AE5" s="148" t="s">
        <v>166</v>
      </c>
      <c r="AF5" s="148" t="s">
        <v>263</v>
      </c>
      <c r="AG5" s="148" t="s">
        <v>167</v>
      </c>
      <c r="AH5" s="148" t="s">
        <v>168</v>
      </c>
      <c r="AI5" s="148" t="s">
        <v>265</v>
      </c>
      <c r="AL5" s="144"/>
      <c r="AM5" s="144"/>
      <c r="AN5" s="144"/>
      <c r="AO5" s="144"/>
      <c r="AP5" s="144"/>
      <c r="AQ5" s="144"/>
      <c r="AR5" s="144"/>
      <c r="AU5" s="584"/>
      <c r="AV5" s="584"/>
      <c r="AW5" s="584"/>
      <c r="AX5" s="584"/>
    </row>
    <row r="6" spans="2:50" ht="16" x14ac:dyDescent="0.2">
      <c r="B6" s="138"/>
      <c r="C6" s="140"/>
      <c r="D6" s="140"/>
      <c r="F6" s="149" t="s">
        <v>169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585" t="s">
        <v>170</v>
      </c>
      <c r="AB6" s="586"/>
      <c r="AC6" s="587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2">
        <f>Flujos!H4</f>
        <v>0.62357095530999995</v>
      </c>
      <c r="AH6" s="161"/>
      <c r="AI6" s="161">
        <f t="shared" ref="AI6:AI28" si="1">+AF6/(1-AE6)</f>
        <v>818600.81838163896</v>
      </c>
      <c r="AL6" s="350"/>
      <c r="AM6" s="350"/>
      <c r="AN6" s="350"/>
      <c r="AO6" s="351"/>
      <c r="AP6" s="350"/>
      <c r="AQ6" s="350"/>
      <c r="AR6" s="350"/>
      <c r="AS6" s="341"/>
      <c r="AU6" s="342"/>
      <c r="AV6" s="342"/>
      <c r="AW6" s="342"/>
      <c r="AX6" s="342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588" t="s">
        <v>171</v>
      </c>
      <c r="AB7" s="589"/>
      <c r="AC7" s="590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2">
        <f>Flujos!H5</f>
        <v>0.63643644745999994</v>
      </c>
      <c r="AH7" s="161"/>
      <c r="AI7" s="161">
        <f t="shared" si="1"/>
        <v>424135.96165245684</v>
      </c>
      <c r="AL7" s="350"/>
      <c r="AM7" s="350"/>
      <c r="AN7" s="350"/>
      <c r="AO7" s="351"/>
      <c r="AP7" s="350"/>
      <c r="AQ7" s="350"/>
      <c r="AR7" s="350"/>
      <c r="AS7" s="341"/>
      <c r="AT7" s="343"/>
      <c r="AU7" s="344"/>
      <c r="AV7" s="344"/>
      <c r="AW7" s="344"/>
      <c r="AX7" s="344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585" t="s">
        <v>172</v>
      </c>
      <c r="AB8" s="586"/>
      <c r="AC8" s="587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2">
        <f>Flujos!H6</f>
        <v>0.63819986140999996</v>
      </c>
      <c r="AH8" s="161"/>
      <c r="AI8" s="161">
        <f t="shared" si="1"/>
        <v>271631.41382451169</v>
      </c>
      <c r="AL8" s="350"/>
      <c r="AM8" s="350"/>
      <c r="AN8" s="350"/>
      <c r="AO8" s="351"/>
      <c r="AP8" s="350"/>
      <c r="AQ8" s="350"/>
      <c r="AR8" s="350"/>
      <c r="AS8" s="341"/>
      <c r="AT8" s="343"/>
      <c r="AU8" s="344"/>
      <c r="AV8" s="344"/>
      <c r="AW8" s="344"/>
      <c r="AX8" s="344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88" t="s">
        <v>173</v>
      </c>
      <c r="AB9" s="589"/>
      <c r="AC9" s="590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2">
        <f>Flujos!H7</f>
        <v>0.60973699999999997</v>
      </c>
      <c r="AH9" s="157"/>
      <c r="AI9" s="161">
        <f t="shared" si="1"/>
        <v>394464.85672620567</v>
      </c>
      <c r="AL9" s="350"/>
      <c r="AM9" s="350"/>
      <c r="AN9" s="350"/>
      <c r="AO9" s="351"/>
      <c r="AP9" s="350"/>
      <c r="AQ9" s="350"/>
      <c r="AR9" s="350"/>
      <c r="AS9" s="341"/>
      <c r="AT9" s="343"/>
      <c r="AU9" s="345"/>
      <c r="AV9" s="345"/>
      <c r="AW9" s="345"/>
      <c r="AX9" s="34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7265.5645013072171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138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2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0"/>
      <c r="AM10" s="350"/>
      <c r="AN10" s="350"/>
      <c r="AO10" s="351"/>
      <c r="AP10" s="350"/>
      <c r="AQ10" s="350"/>
      <c r="AR10" s="350"/>
      <c r="AS10" s="341"/>
      <c r="AT10" s="346"/>
      <c r="AU10" s="347"/>
      <c r="AV10" s="347"/>
      <c r="AW10" s="347"/>
      <c r="AX10" s="34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2">
        <f>Flujos!H9</f>
        <v>0.56928320501000007</v>
      </c>
      <c r="AH11" s="157"/>
      <c r="AI11" s="161">
        <f t="shared" si="1"/>
        <v>-4074.49667157555</v>
      </c>
      <c r="AL11" s="350"/>
      <c r="AM11" s="350"/>
      <c r="AN11" s="350"/>
      <c r="AO11" s="351"/>
      <c r="AP11" s="350"/>
      <c r="AQ11" s="350"/>
      <c r="AR11" s="350"/>
      <c r="AS11" s="341"/>
      <c r="AT11" s="346"/>
      <c r="AU11" s="345"/>
      <c r="AV11" s="345"/>
      <c r="AW11" s="345"/>
      <c r="AX11" s="34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139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2">
        <f>Flujos!H10</f>
        <v>0.64602000000000004</v>
      </c>
      <c r="AH12" s="157"/>
      <c r="AI12" s="161">
        <f t="shared" si="1"/>
        <v>235511.9347037485</v>
      </c>
      <c r="AL12" s="350"/>
      <c r="AM12" s="350"/>
      <c r="AN12" s="350"/>
      <c r="AO12" s="351"/>
      <c r="AP12" s="350"/>
      <c r="AQ12" s="350"/>
      <c r="AR12" s="350"/>
      <c r="AS12" s="341"/>
      <c r="AT12" s="346"/>
      <c r="AU12" s="34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24345</v>
      </c>
      <c r="W13" s="133"/>
      <c r="X13" s="170">
        <f>+AF42</f>
        <v>0</v>
      </c>
      <c r="Y13" s="137"/>
      <c r="AA13" s="154" t="s">
        <v>277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2">
        <f>Flujos!H11</f>
        <v>5.8200000000000002E-2</v>
      </c>
      <c r="AH13" s="161"/>
      <c r="AI13" s="161">
        <f t="shared" si="1"/>
        <v>19685</v>
      </c>
      <c r="AL13" s="350"/>
      <c r="AM13" s="350"/>
      <c r="AN13" s="350"/>
      <c r="AO13" s="351"/>
      <c r="AP13" s="350"/>
      <c r="AQ13" s="350"/>
      <c r="AR13" s="350"/>
      <c r="AS13" s="341"/>
      <c r="AT13" s="346"/>
      <c r="AU13" s="346"/>
    </row>
    <row r="14" spans="2:50" x14ac:dyDescent="0.2">
      <c r="B14" s="132"/>
      <c r="C14" s="133"/>
      <c r="D14" s="133"/>
      <c r="E14" s="171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140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2">
        <f>Flujos!H12</f>
        <v>0.69079999999999997</v>
      </c>
      <c r="AH14" s="157"/>
      <c r="AI14" s="161">
        <f t="shared" si="1"/>
        <v>216062.56303524663</v>
      </c>
      <c r="AL14" s="350"/>
      <c r="AM14" s="350"/>
      <c r="AN14" s="350"/>
      <c r="AO14" s="351"/>
      <c r="AP14" s="350"/>
      <c r="AQ14" s="350"/>
      <c r="AR14" s="350"/>
      <c r="AS14" s="341"/>
      <c r="AT14" s="346"/>
      <c r="AU14" s="584"/>
      <c r="AV14" s="584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31909.439999999999</v>
      </c>
      <c r="T15" s="177"/>
      <c r="W15" s="133"/>
      <c r="X15" s="133"/>
      <c r="Y15" s="137"/>
      <c r="Z15" s="178">
        <f>+AD15-J29</f>
        <v>205387.42975921027</v>
      </c>
      <c r="AA15" s="154" t="s">
        <v>141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2">
        <f>Flujos!H13</f>
        <v>0.70403359141999999</v>
      </c>
      <c r="AH15" s="157"/>
      <c r="AI15" s="161">
        <f t="shared" si="1"/>
        <v>221275.28338795065</v>
      </c>
      <c r="AL15" s="350"/>
      <c r="AM15" s="350"/>
      <c r="AN15" s="352"/>
      <c r="AO15" s="351"/>
      <c r="AP15" s="350"/>
      <c r="AQ15" s="350"/>
      <c r="AR15" s="350"/>
      <c r="AS15" s="341"/>
      <c r="AT15" s="346"/>
      <c r="AU15" s="342"/>
      <c r="AV15" s="342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174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2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53"/>
      <c r="AS16" s="341"/>
      <c r="AT16" s="343"/>
      <c r="AU16" s="344"/>
      <c r="AV16" s="34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175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176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2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41"/>
      <c r="AT17" s="343"/>
      <c r="AU17" s="344"/>
      <c r="AV17" s="34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177</v>
      </c>
      <c r="M18" s="180" t="s">
        <v>178</v>
      </c>
      <c r="N18" s="133"/>
      <c r="O18" s="180" t="s">
        <v>179</v>
      </c>
      <c r="P18" s="133"/>
      <c r="Q18" s="133"/>
      <c r="R18" s="181"/>
      <c r="S18" s="133"/>
      <c r="T18" s="182">
        <f>-S19+S15</f>
        <v>31909.439999999999</v>
      </c>
      <c r="U18" s="166"/>
      <c r="W18" s="133"/>
      <c r="X18" s="133"/>
      <c r="Y18" s="137"/>
      <c r="AA18" s="154" t="s">
        <v>142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2">
        <f>Flujos!H18</f>
        <v>0.65626000000000007</v>
      </c>
      <c r="AH18" s="157"/>
      <c r="AI18" s="161">
        <f t="shared" si="1"/>
        <v>-2637.645468892013</v>
      </c>
      <c r="AK18" s="183" t="s">
        <v>180</v>
      </c>
      <c r="AM18" s="184"/>
      <c r="AN18" s="183" t="s">
        <v>180</v>
      </c>
      <c r="AO18" s="184"/>
      <c r="AQ18" s="185">
        <f>+AQ17-M72</f>
        <v>-50490.061389346258</v>
      </c>
      <c r="AR18" s="185"/>
      <c r="AS18" s="341"/>
      <c r="AT18" s="343"/>
      <c r="AU18" s="345"/>
      <c r="AV18" s="34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182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2">
        <f>Flujos!H19</f>
        <v>0.6895</v>
      </c>
      <c r="AH19" s="161"/>
      <c r="AI19" s="161">
        <f t="shared" si="1"/>
        <v>595716.57652992895</v>
      </c>
      <c r="AK19" s="179" t="s">
        <v>183</v>
      </c>
      <c r="AL19" s="163">
        <v>812104</v>
      </c>
      <c r="AN19" s="131" t="s">
        <v>184</v>
      </c>
      <c r="AQ19" s="189">
        <f>+AL10-L72</f>
        <v>-427569</v>
      </c>
      <c r="AS19" s="341"/>
      <c r="AT19" s="346"/>
      <c r="AU19" s="347"/>
      <c r="AV19" s="347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185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186</v>
      </c>
      <c r="P20" s="190"/>
      <c r="Q20" s="133"/>
      <c r="S20" s="191"/>
      <c r="T20" s="133"/>
      <c r="U20" s="133"/>
      <c r="W20" s="170">
        <f>+X13-W28</f>
        <v>0</v>
      </c>
      <c r="X20" s="170">
        <f>+W28+W27</f>
        <v>0</v>
      </c>
      <c r="Y20" s="137"/>
      <c r="AA20" s="154" t="s">
        <v>187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2">
        <f>Flujos!H20</f>
        <v>0</v>
      </c>
      <c r="AH20" s="161"/>
      <c r="AI20" s="161">
        <f t="shared" si="1"/>
        <v>0</v>
      </c>
      <c r="AK20" s="179" t="s">
        <v>188</v>
      </c>
      <c r="AL20" s="163">
        <f>783793+13399</f>
        <v>797192</v>
      </c>
      <c r="AN20" s="131" t="s">
        <v>189</v>
      </c>
      <c r="AT20" s="346"/>
      <c r="AU20" s="345"/>
      <c r="AV20" s="34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190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24345</v>
      </c>
      <c r="W21" s="133"/>
      <c r="X21" s="133"/>
      <c r="Y21" s="137"/>
      <c r="AA21" s="154" t="s">
        <v>191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2">
        <f>Flujos!H21</f>
        <v>0</v>
      </c>
      <c r="AH21" s="157"/>
      <c r="AI21" s="161" t="e">
        <f t="shared" si="1"/>
        <v>#DIV/0!</v>
      </c>
      <c r="AK21" s="184" t="s">
        <v>192</v>
      </c>
      <c r="AL21" s="185">
        <f>+AL19-AL20</f>
        <v>14912</v>
      </c>
      <c r="AT21" s="346"/>
      <c r="AU21" s="348"/>
      <c r="AX21" s="34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193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143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2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194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144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2">
        <f>Flujos!H23</f>
        <v>0</v>
      </c>
      <c r="AH23" s="157"/>
      <c r="AI23" s="161">
        <f t="shared" si="1"/>
        <v>0</v>
      </c>
      <c r="AK23" s="183" t="s">
        <v>195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145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2">
        <f>Flujos!H24</f>
        <v>0</v>
      </c>
      <c r="AH24" s="157"/>
      <c r="AI24" s="161">
        <f t="shared" si="1"/>
        <v>0</v>
      </c>
      <c r="AK24" s="179" t="s">
        <v>183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54" t="s">
        <v>146</v>
      </c>
      <c r="AB25" s="355"/>
      <c r="AC25" s="356"/>
      <c r="AD25" s="157">
        <f>Flujos!C25/(1-AE25)</f>
        <v>0</v>
      </c>
      <c r="AE25" s="158">
        <f>Flujos!R25</f>
        <v>0</v>
      </c>
      <c r="AF25" s="159">
        <f>Flujos!G25</f>
        <v>0</v>
      </c>
      <c r="AG25" s="332">
        <f>Flujos!H25</f>
        <v>0</v>
      </c>
      <c r="AH25" s="161"/>
      <c r="AI25" s="161">
        <f t="shared" si="1"/>
        <v>0</v>
      </c>
      <c r="AK25" s="179" t="s">
        <v>188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54" t="s">
        <v>147</v>
      </c>
      <c r="AB26" s="355"/>
      <c r="AC26" s="356"/>
      <c r="AD26" s="157">
        <f>Flujos!C26/(1-AE26)</f>
        <v>0</v>
      </c>
      <c r="AE26" s="158">
        <f>Flujos!R26</f>
        <v>0</v>
      </c>
      <c r="AF26" s="159">
        <f>Flujos!G26</f>
        <v>0</v>
      </c>
      <c r="AG26" s="332">
        <f>Flujos!H26</f>
        <v>0</v>
      </c>
      <c r="AH26" s="161"/>
      <c r="AI26" s="161">
        <f t="shared" si="1"/>
        <v>0</v>
      </c>
      <c r="AK26" s="184" t="s">
        <v>192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196</v>
      </c>
      <c r="S27" s="175">
        <f>+AF34</f>
        <v>7265.5645013072171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2">
        <f>Flujos!H27</f>
        <v>0.65339999999999998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197</v>
      </c>
      <c r="K28" s="202" t="s">
        <v>198</v>
      </c>
      <c r="L28" s="133"/>
      <c r="M28" s="133"/>
      <c r="N28" s="133"/>
      <c r="O28" s="133"/>
      <c r="P28" s="133"/>
      <c r="Q28" s="133"/>
      <c r="R28" s="183" t="s">
        <v>199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200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2">
        <f>Flujos!H28</f>
        <v>0.65339999999999998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1" t="s">
        <v>159</v>
      </c>
      <c r="AB29" s="592"/>
      <c r="AC29" s="592"/>
      <c r="AD29" s="592"/>
      <c r="AE29" s="592"/>
      <c r="AF29" s="592"/>
      <c r="AG29" s="592"/>
      <c r="AH29" s="592"/>
      <c r="AI29" s="211"/>
      <c r="AK29" s="179" t="s">
        <v>183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201</v>
      </c>
      <c r="AB30" s="215"/>
      <c r="AC30" s="216"/>
      <c r="AD30" s="217">
        <f>'Datos Extra'!B22</f>
        <v>3960</v>
      </c>
      <c r="AE30" s="610">
        <f>'Datos Extra'!C22</f>
        <v>0.04</v>
      </c>
      <c r="AF30" s="217">
        <f>'Datos Extra'!D22</f>
        <v>3801.6</v>
      </c>
      <c r="AG30" s="610">
        <f>'Datos Extra'!E22</f>
        <v>0.57999999999999996</v>
      </c>
      <c r="AH30" s="217">
        <f>'Datos Extra'!F22</f>
        <v>0</v>
      </c>
      <c r="AI30" s="217">
        <f>'Datos Extra'!G22</f>
        <v>0</v>
      </c>
      <c r="AK30" s="179" t="s">
        <v>188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8">
        <f>+J29*J30</f>
        <v>4882.9071999999996</v>
      </c>
      <c r="W31" s="133"/>
      <c r="Y31" s="137"/>
      <c r="AA31" s="154" t="s">
        <v>202</v>
      </c>
      <c r="AB31" s="155"/>
      <c r="AC31" s="156"/>
      <c r="AD31" s="217">
        <f>'Datos Extra'!B23</f>
        <v>33239</v>
      </c>
      <c r="AE31" s="610">
        <f>'Datos Extra'!C23</f>
        <v>0.04</v>
      </c>
      <c r="AF31" s="217">
        <f>'Datos Extra'!D23</f>
        <v>31909.439999999999</v>
      </c>
      <c r="AG31" s="610">
        <f>'Datos Extra'!E23</f>
        <v>0.57999999999999996</v>
      </c>
      <c r="AH31" s="217">
        <f>'Datos Extra'!F23</f>
        <v>0</v>
      </c>
      <c r="AI31" s="217">
        <f>'Datos Extra'!G23</f>
        <v>0</v>
      </c>
      <c r="AK31" s="184" t="s">
        <v>192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203</v>
      </c>
      <c r="AB32" s="155"/>
      <c r="AC32" s="156"/>
      <c r="AD32" s="217">
        <f>'Datos Extra'!B24</f>
        <v>7520</v>
      </c>
      <c r="AE32" s="610">
        <f>'Datos Extra'!C24</f>
        <v>3.3834507804891299E-2</v>
      </c>
      <c r="AF32" s="217">
        <f>'Datos Extra'!D24</f>
        <v>7265.5645013072171</v>
      </c>
      <c r="AG32" s="610">
        <f>'Datos Extra'!E24</f>
        <v>0.62560000000000004</v>
      </c>
      <c r="AH32" s="217">
        <f>'Datos Extra'!F24</f>
        <v>0</v>
      </c>
      <c r="AI32" s="217">
        <f>'Datos Extra'!G24</f>
        <v>0</v>
      </c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57"/>
      <c r="U33" s="457"/>
      <c r="Y33" s="137"/>
      <c r="AA33" s="154" t="s">
        <v>204</v>
      </c>
      <c r="AB33" s="155"/>
      <c r="AC33" s="156"/>
      <c r="AD33" s="217">
        <f>'Datos Extra'!B25</f>
        <v>0</v>
      </c>
      <c r="AE33" s="610">
        <f>'Datos Extra'!C25</f>
        <v>0</v>
      </c>
      <c r="AF33" s="217">
        <f>'Datos Extra'!D25</f>
        <v>0</v>
      </c>
      <c r="AG33" s="610">
        <f>'Datos Extra'!E25</f>
        <v>0</v>
      </c>
      <c r="AH33" s="217">
        <f>'Datos Extra'!F25</f>
        <v>0</v>
      </c>
      <c r="AI33" s="217">
        <f>'Datos Extra'!G25</f>
        <v>0</v>
      </c>
      <c r="AK33" s="183" t="s">
        <v>205</v>
      </c>
      <c r="AN33" s="219" t="s">
        <v>206</v>
      </c>
      <c r="AO33" s="219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20">
        <f>Flujos!G9</f>
        <v>-4039.4560001999998</v>
      </c>
      <c r="H34" s="133"/>
      <c r="I34" s="145">
        <f>+AG15</f>
        <v>0.70403359141999999</v>
      </c>
      <c r="S34" s="173"/>
      <c r="T34" s="458"/>
      <c r="U34" s="458"/>
      <c r="V34" s="133"/>
      <c r="Y34" s="137"/>
      <c r="AA34" s="154" t="s">
        <v>208</v>
      </c>
      <c r="AB34" s="155"/>
      <c r="AC34" s="156"/>
      <c r="AD34" s="217">
        <f>'Datos Extra'!B26</f>
        <v>7520</v>
      </c>
      <c r="AE34" s="610">
        <f>'Datos Extra'!C26</f>
        <v>3.3834507804891299E-2</v>
      </c>
      <c r="AF34" s="217">
        <f>'Datos Extra'!D26</f>
        <v>7265.5645013072171</v>
      </c>
      <c r="AG34" s="610">
        <f>'Datos Extra'!E26</f>
        <v>0.62503473099999995</v>
      </c>
      <c r="AH34" s="217">
        <f>'Datos Extra'!F26</f>
        <v>0</v>
      </c>
      <c r="AI34" s="217">
        <f>'Datos Extra'!G26</f>
        <v>0</v>
      </c>
      <c r="AK34" s="179" t="s">
        <v>183</v>
      </c>
      <c r="AL34" s="163">
        <v>278637</v>
      </c>
      <c r="AN34" s="219">
        <v>39050</v>
      </c>
      <c r="AO34" s="219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21">
        <f>+G34*I34</f>
        <v>-2843.9127152038741</v>
      </c>
      <c r="H35" s="133"/>
      <c r="I35" s="150">
        <f>+I33*I34</f>
        <v>143875.60070899979</v>
      </c>
      <c r="J35" s="183" t="s">
        <v>209</v>
      </c>
      <c r="K35" s="208">
        <f>+AF20</f>
        <v>0</v>
      </c>
      <c r="O35" s="141">
        <f>+AF23</f>
        <v>0</v>
      </c>
      <c r="V35" s="133"/>
      <c r="Y35" s="137"/>
      <c r="AA35" s="154" t="s">
        <v>210</v>
      </c>
      <c r="AB35" s="155"/>
      <c r="AC35" s="156"/>
      <c r="AD35" s="217">
        <f>'Datos Extra'!B27</f>
        <v>0</v>
      </c>
      <c r="AE35" s="610">
        <f>'Datos Extra'!C27</f>
        <v>0</v>
      </c>
      <c r="AF35" s="217">
        <f>'Datos Extra'!D27</f>
        <v>0</v>
      </c>
      <c r="AG35" s="610">
        <f>'Datos Extra'!E27</f>
        <v>0</v>
      </c>
      <c r="AH35" s="217">
        <f>'Datos Extra'!F27</f>
        <v>0</v>
      </c>
      <c r="AI35" s="217">
        <f>'Datos Extra'!G27</f>
        <v>0</v>
      </c>
      <c r="AK35" s="179" t="s">
        <v>188</v>
      </c>
      <c r="AL35" s="163">
        <v>272690</v>
      </c>
      <c r="AN35" s="219">
        <v>39050</v>
      </c>
      <c r="AO35" s="219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2">
        <v>8100</v>
      </c>
      <c r="R36" s="165">
        <f>+AF25</f>
        <v>0</v>
      </c>
      <c r="V36" s="133"/>
      <c r="W36" s="166"/>
      <c r="X36" s="166"/>
      <c r="Y36" s="137"/>
      <c r="AA36" s="154" t="s">
        <v>211</v>
      </c>
      <c r="AB36" s="155"/>
      <c r="AC36" s="156"/>
      <c r="AD36" s="217">
        <f>'Datos Extra'!B28</f>
        <v>24345</v>
      </c>
      <c r="AE36" s="610">
        <f>'Datos Extra'!C28</f>
        <v>0</v>
      </c>
      <c r="AF36" s="217">
        <f>'Datos Extra'!D28</f>
        <v>24345</v>
      </c>
      <c r="AG36" s="610">
        <f>'Datos Extra'!E28</f>
        <v>0.65</v>
      </c>
      <c r="AH36" s="217">
        <f>'Datos Extra'!F28</f>
        <v>0</v>
      </c>
      <c r="AI36" s="217">
        <f>'Datos Extra'!G28</f>
        <v>0</v>
      </c>
      <c r="AK36" s="184" t="s">
        <v>192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2">
        <f>+I33-J39-H40-J36</f>
        <v>-3227.9999997999985</v>
      </c>
      <c r="H37" s="133"/>
      <c r="I37" s="141"/>
      <c r="J37" s="222">
        <f>+J36*I34</f>
        <v>5702.6720905020002</v>
      </c>
      <c r="Q37" s="222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212</v>
      </c>
      <c r="AB37" s="155"/>
      <c r="AC37" s="156"/>
      <c r="AD37" s="217">
        <f>'Datos Extra'!B29</f>
        <v>24345</v>
      </c>
      <c r="AE37" s="610">
        <f>'Datos Extra'!C29</f>
        <v>0</v>
      </c>
      <c r="AF37" s="217">
        <f>'Datos Extra'!D29</f>
        <v>24345</v>
      </c>
      <c r="AG37" s="610">
        <f>'Datos Extra'!E29</f>
        <v>0.65</v>
      </c>
      <c r="AH37" s="217">
        <f>'Datos Extra'!F29</f>
        <v>0</v>
      </c>
      <c r="AI37" s="217">
        <f>'Datos Extra'!G29</f>
        <v>0</v>
      </c>
    </row>
    <row r="38" spans="2:43" ht="15.75" customHeight="1" x14ac:dyDescent="0.2">
      <c r="B38" s="132"/>
      <c r="G38" s="222">
        <f>+I35-J41-H42-J37</f>
        <v>-4104.0227312189336</v>
      </c>
      <c r="H38" s="133"/>
      <c r="I38" s="145"/>
      <c r="J38" s="133"/>
      <c r="Q38" s="222">
        <f>+M41-P43</f>
        <v>0</v>
      </c>
      <c r="R38" s="168">
        <f>+R36*R37</f>
        <v>0</v>
      </c>
      <c r="V38" s="233">
        <f>Flujos!H35</f>
        <v>0</v>
      </c>
      <c r="W38" s="133"/>
      <c r="X38" s="133"/>
      <c r="Y38" s="137"/>
      <c r="AA38" s="154" t="s">
        <v>213</v>
      </c>
      <c r="AB38" s="155"/>
      <c r="AC38" s="156"/>
      <c r="AD38" s="217">
        <f>'Datos Extra'!B30</f>
        <v>0</v>
      </c>
      <c r="AE38" s="610">
        <f>'Datos Extra'!C30</f>
        <v>0</v>
      </c>
      <c r="AF38" s="217">
        <f>'Datos Extra'!D30</f>
        <v>0</v>
      </c>
      <c r="AG38" s="610">
        <f>'Datos Extra'!E30</f>
        <v>0</v>
      </c>
      <c r="AH38" s="217">
        <f>'Datos Extra'!F30</f>
        <v>0</v>
      </c>
      <c r="AI38" s="217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18">
        <f>V38*V37</f>
        <v>0</v>
      </c>
      <c r="W39" s="133"/>
      <c r="X39" s="133"/>
      <c r="Y39" s="137"/>
      <c r="AA39" s="154" t="s">
        <v>214</v>
      </c>
      <c r="AB39" s="155"/>
      <c r="AC39" s="156"/>
      <c r="AD39" s="217">
        <f>'Datos Extra'!B31</f>
        <v>0</v>
      </c>
      <c r="AE39" s="610">
        <f>'Datos Extra'!C31</f>
        <v>0</v>
      </c>
      <c r="AF39" s="217">
        <f>'Datos Extra'!D31</f>
        <v>0</v>
      </c>
      <c r="AG39" s="610">
        <f>'Datos Extra'!E31</f>
        <v>0</v>
      </c>
      <c r="AH39" s="217">
        <f>'Datos Extra'!F31</f>
        <v>0</v>
      </c>
      <c r="AI39" s="217">
        <f>'Datos Extra'!G31</f>
        <v>0</v>
      </c>
      <c r="AK39" s="581" t="s">
        <v>215</v>
      </c>
      <c r="AL39" s="581"/>
      <c r="AM39" s="144" t="s">
        <v>183</v>
      </c>
      <c r="AN39" s="144" t="s">
        <v>216</v>
      </c>
      <c r="AP39" s="162" t="s">
        <v>217</v>
      </c>
      <c r="AQ39" s="162" t="s">
        <v>218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219</v>
      </c>
      <c r="AB40" s="155"/>
      <c r="AC40" s="156"/>
      <c r="AD40" s="217">
        <f>'Datos Extra'!B32</f>
        <v>0</v>
      </c>
      <c r="AE40" s="610">
        <f>'Datos Extra'!C32</f>
        <v>0</v>
      </c>
      <c r="AF40" s="217">
        <f>'Datos Extra'!D32</f>
        <v>0</v>
      </c>
      <c r="AG40" s="610">
        <f>'Datos Extra'!E32</f>
        <v>0</v>
      </c>
      <c r="AH40" s="217">
        <f>'Datos Extra'!F32</f>
        <v>0</v>
      </c>
      <c r="AI40" s="217">
        <f>'Datos Extra'!G32</f>
        <v>0</v>
      </c>
      <c r="AK40" s="579" t="s">
        <v>107</v>
      </c>
      <c r="AL40" s="580"/>
      <c r="AM40" s="223">
        <f>+SUM(AM41:AM44)</f>
        <v>604861</v>
      </c>
      <c r="AN40" s="223">
        <f>+SUM(AN41:AN44)</f>
        <v>595717</v>
      </c>
      <c r="AO40" s="224">
        <f>+AN40-AM40</f>
        <v>-9144</v>
      </c>
      <c r="AP40" s="468">
        <f>IF(AN40=0,0,SUMPRODUCT(AN41:AN44,AP41:AP44)/AN40)</f>
        <v>68.952340540894426</v>
      </c>
      <c r="AQ40" s="468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220</v>
      </c>
      <c r="AB41" s="155"/>
      <c r="AC41" s="156"/>
      <c r="AD41" s="217">
        <f>'Datos Extra'!B33</f>
        <v>0</v>
      </c>
      <c r="AE41" s="610">
        <f>'Datos Extra'!C33</f>
        <v>0</v>
      </c>
      <c r="AF41" s="217">
        <f>'Datos Extra'!D33</f>
        <v>0</v>
      </c>
      <c r="AG41" s="610">
        <f>'Datos Extra'!E33</f>
        <v>0</v>
      </c>
      <c r="AH41" s="217">
        <f>'Datos Extra'!F33</f>
        <v>0</v>
      </c>
      <c r="AI41" s="217">
        <f>'Datos Extra'!G33</f>
        <v>0</v>
      </c>
      <c r="AK41" s="593" t="s">
        <v>221</v>
      </c>
      <c r="AL41" s="594"/>
      <c r="AM41" s="226">
        <v>170912</v>
      </c>
      <c r="AN41" s="226">
        <v>168259</v>
      </c>
      <c r="AO41" s="227"/>
      <c r="AP41" s="469">
        <v>68.849999999999994</v>
      </c>
      <c r="AQ41" s="469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222</v>
      </c>
      <c r="AB42" s="155"/>
      <c r="AC42" s="156"/>
      <c r="AD42" s="217">
        <f>'Datos Extra'!B34</f>
        <v>0</v>
      </c>
      <c r="AE42" s="610">
        <f>'Datos Extra'!C34</f>
        <v>0</v>
      </c>
      <c r="AF42" s="217">
        <f>'Datos Extra'!D34</f>
        <v>0</v>
      </c>
      <c r="AG42" s="610">
        <f>'Datos Extra'!E34</f>
        <v>0</v>
      </c>
      <c r="AH42" s="217">
        <f>'Datos Extra'!F34</f>
        <v>0</v>
      </c>
      <c r="AI42" s="217">
        <f>'Datos Extra'!G34</f>
        <v>0</v>
      </c>
      <c r="AK42" s="593" t="s">
        <v>223</v>
      </c>
      <c r="AL42" s="594"/>
      <c r="AM42" s="228">
        <v>178622</v>
      </c>
      <c r="AN42" s="228">
        <v>177030</v>
      </c>
      <c r="AO42" s="227"/>
      <c r="AP42" s="469">
        <v>68.77</v>
      </c>
      <c r="AQ42" s="469">
        <v>7.74</v>
      </c>
    </row>
    <row r="43" spans="2:43" ht="15.75" customHeight="1" x14ac:dyDescent="0.2">
      <c r="B43" s="132"/>
      <c r="C43" s="150">
        <f>+C41*C42</f>
        <v>379640.07900000003</v>
      </c>
      <c r="E43" s="229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224</v>
      </c>
      <c r="AB43" s="155"/>
      <c r="AC43" s="156"/>
      <c r="AD43" s="217">
        <f>'Datos Extra'!B35</f>
        <v>0</v>
      </c>
      <c r="AE43" s="610">
        <f>'Datos Extra'!C35</f>
        <v>0</v>
      </c>
      <c r="AF43" s="217">
        <f>'Datos Extra'!D35</f>
        <v>0</v>
      </c>
      <c r="AG43" s="610">
        <f>'Datos Extra'!E35</f>
        <v>0</v>
      </c>
      <c r="AH43" s="217">
        <f>'Datos Extra'!F35</f>
        <v>0</v>
      </c>
      <c r="AI43" s="217">
        <f>'Datos Extra'!G35</f>
        <v>0</v>
      </c>
      <c r="AK43" s="593" t="s">
        <v>225</v>
      </c>
      <c r="AL43" s="594"/>
      <c r="AM43" s="228">
        <v>178292</v>
      </c>
      <c r="AN43" s="228">
        <v>174514</v>
      </c>
      <c r="AO43" s="227"/>
      <c r="AP43" s="469">
        <v>69.150000000000006</v>
      </c>
      <c r="AQ43" s="469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274</v>
      </c>
      <c r="U44" s="133"/>
      <c r="V44" s="133"/>
      <c r="W44" s="133"/>
      <c r="X44" s="133"/>
      <c r="Y44" s="137"/>
      <c r="AA44" s="154" t="s">
        <v>226</v>
      </c>
      <c r="AB44" s="155"/>
      <c r="AC44" s="156"/>
      <c r="AD44" s="217">
        <f>'Datos Extra'!B36</f>
        <v>0</v>
      </c>
      <c r="AE44" s="610">
        <f>'Datos Extra'!C36</f>
        <v>0</v>
      </c>
      <c r="AF44" s="217">
        <f>'Datos Extra'!D36</f>
        <v>0</v>
      </c>
      <c r="AG44" s="610">
        <f>'Datos Extra'!E36</f>
        <v>0</v>
      </c>
      <c r="AH44" s="217">
        <f>'Datos Extra'!F36</f>
        <v>0</v>
      </c>
      <c r="AI44" s="217">
        <f>'Datos Extra'!G36</f>
        <v>0</v>
      </c>
      <c r="AK44" s="593" t="s">
        <v>227</v>
      </c>
      <c r="AL44" s="594"/>
      <c r="AM44" s="228">
        <v>77035</v>
      </c>
      <c r="AN44" s="228">
        <v>75914</v>
      </c>
      <c r="AO44" s="227"/>
      <c r="AP44" s="469">
        <v>69.150000000000006</v>
      </c>
      <c r="AQ44" s="469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0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228</v>
      </c>
      <c r="AB45" s="155"/>
      <c r="AC45" s="156"/>
      <c r="AD45" s="217">
        <f>'Datos Extra'!B37</f>
        <v>0</v>
      </c>
      <c r="AE45" s="610">
        <f>'Datos Extra'!C37</f>
        <v>0</v>
      </c>
      <c r="AF45" s="217">
        <f>'Datos Extra'!D37</f>
        <v>0</v>
      </c>
      <c r="AG45" s="610">
        <f>'Datos Extra'!E37</f>
        <v>0</v>
      </c>
      <c r="AH45" s="217">
        <f>'Datos Extra'!F37</f>
        <v>0</v>
      </c>
      <c r="AI45" s="217">
        <f>'Datos Extra'!G37</f>
        <v>0</v>
      </c>
      <c r="AK45" s="579" t="s">
        <v>109</v>
      </c>
      <c r="AL45" s="580"/>
      <c r="AM45" s="223">
        <f>+SUM(AM46:AM49)</f>
        <v>279288</v>
      </c>
      <c r="AN45" s="162">
        <f>+SUM(AN46:AN49)</f>
        <v>276114</v>
      </c>
      <c r="AO45" s="224">
        <f>+AN45-AM45</f>
        <v>-3174</v>
      </c>
      <c r="AP45" s="467">
        <f>+SUMPRODUCT(AN46:AN49,AP46:AP49)/AN45</f>
        <v>65.344666550772502</v>
      </c>
      <c r="AQ45" s="467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593" t="s">
        <v>221</v>
      </c>
      <c r="AL46" s="594"/>
      <c r="AM46" s="465">
        <v>208397</v>
      </c>
      <c r="AN46" s="465">
        <v>205223</v>
      </c>
      <c r="AO46" s="227"/>
      <c r="AP46" s="467">
        <v>65.34</v>
      </c>
      <c r="AQ46" s="467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148</v>
      </c>
      <c r="AC47" s="582" t="s">
        <v>229</v>
      </c>
      <c r="AD47" s="582"/>
      <c r="AE47" s="582"/>
      <c r="AF47" s="582"/>
      <c r="AK47" s="593" t="s">
        <v>223</v>
      </c>
      <c r="AL47" s="594"/>
      <c r="AM47" s="465">
        <v>36753</v>
      </c>
      <c r="AN47" s="465">
        <v>36753</v>
      </c>
      <c r="AO47" s="231"/>
      <c r="AP47" s="467">
        <v>65.180000000000007</v>
      </c>
      <c r="AQ47" s="467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93" t="s">
        <v>225</v>
      </c>
      <c r="AL48" s="594"/>
      <c r="AM48" s="465">
        <v>34138</v>
      </c>
      <c r="AN48" s="466">
        <v>34138</v>
      </c>
      <c r="AO48" s="231"/>
      <c r="AP48" s="467">
        <v>65.55</v>
      </c>
      <c r="AQ48" s="467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2">
        <f>+AF26</f>
        <v>0</v>
      </c>
      <c r="U49" s="133"/>
      <c r="V49" s="133"/>
      <c r="W49" s="133"/>
      <c r="X49" s="133"/>
      <c r="Y49" s="137"/>
      <c r="AA49" s="131" t="s">
        <v>234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65.28</v>
      </c>
      <c r="AG49" s="162"/>
      <c r="AH49" s="162"/>
      <c r="AK49" s="593" t="s">
        <v>227</v>
      </c>
      <c r="AL49" s="594"/>
      <c r="AM49" s="228"/>
      <c r="AN49" s="228"/>
      <c r="AO49" s="231"/>
      <c r="AP49" s="467"/>
      <c r="AQ49" s="467"/>
    </row>
    <row r="50" spans="2:43" ht="15.75" customHeight="1" x14ac:dyDescent="0.2">
      <c r="B50" s="132"/>
      <c r="E50" s="133"/>
      <c r="F50" s="133"/>
      <c r="G50" s="233"/>
      <c r="H50" s="133"/>
      <c r="P50" s="234">
        <f>+AG27</f>
        <v>0.65339999999999998</v>
      </c>
      <c r="U50" s="133"/>
      <c r="V50" s="133"/>
      <c r="W50" s="133"/>
      <c r="X50" s="133"/>
      <c r="Y50" s="137"/>
      <c r="AA50" s="131" t="s">
        <v>235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5">
        <f>+AC50+AF41-AF42</f>
        <v>18126</v>
      </c>
      <c r="AH50" s="236">
        <f>17644+2400-1290</f>
        <v>18754</v>
      </c>
      <c r="AK50" s="579" t="s">
        <v>93</v>
      </c>
      <c r="AL50" s="580"/>
      <c r="AM50" s="223">
        <f>+SUM(AM51:AM54)</f>
        <v>264161</v>
      </c>
      <c r="AN50" s="162">
        <f>+SUM(AN51:AN54)</f>
        <v>271631</v>
      </c>
      <c r="AO50" s="237">
        <f>+AN50-AM50</f>
        <v>7470</v>
      </c>
      <c r="AP50" s="467">
        <f>+SUMPRODUCT(AN51:AN54,AP51:AP54)/AN50</f>
        <v>64.069999999999993</v>
      </c>
      <c r="AQ50" s="467">
        <f>+SUMPRODUCT(AN51:AN54,AQ51:AQ54)/AN50</f>
        <v>1.19</v>
      </c>
    </row>
    <row r="51" spans="2:43" ht="15.75" customHeight="1" x14ac:dyDescent="0.2">
      <c r="B51" s="132"/>
      <c r="F51" s="133"/>
      <c r="G51" s="218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93" t="s">
        <v>221</v>
      </c>
      <c r="AL51" s="594"/>
      <c r="AM51" s="466">
        <v>167380</v>
      </c>
      <c r="AN51" s="466">
        <v>171545</v>
      </c>
      <c r="AO51" s="231"/>
      <c r="AP51" s="467">
        <v>64.069999999999993</v>
      </c>
      <c r="AQ51" s="467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93" t="s">
        <v>223</v>
      </c>
      <c r="AL52" s="594"/>
      <c r="AM52" s="466">
        <v>96781</v>
      </c>
      <c r="AN52" s="466">
        <v>100086</v>
      </c>
      <c r="AO52" s="231"/>
      <c r="AP52" s="467">
        <v>64.069999999999993</v>
      </c>
      <c r="AQ52" s="467">
        <v>1.19</v>
      </c>
    </row>
    <row r="53" spans="2:43" ht="15.75" customHeight="1" x14ac:dyDescent="0.2">
      <c r="B53" s="132"/>
      <c r="C53" s="133"/>
      <c r="D53" s="133"/>
      <c r="E53" s="133"/>
      <c r="F53" s="229"/>
      <c r="H53" s="133"/>
      <c r="M53" s="166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93" t="s">
        <v>225</v>
      </c>
      <c r="AL53" s="594"/>
      <c r="AM53" s="466"/>
      <c r="AN53" s="466"/>
      <c r="AO53" s="231"/>
      <c r="AP53" s="467"/>
      <c r="AQ53" s="46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93" t="s">
        <v>227</v>
      </c>
      <c r="AL54" s="594"/>
      <c r="AM54" s="466"/>
      <c r="AN54" s="466"/>
      <c r="AO54" s="237"/>
      <c r="AP54" s="467"/>
      <c r="AQ54" s="467"/>
    </row>
    <row r="55" spans="2:43" ht="15.75" customHeight="1" x14ac:dyDescent="0.2">
      <c r="B55" s="132"/>
      <c r="C55" s="133"/>
      <c r="D55" s="133"/>
      <c r="H55" s="133"/>
      <c r="R55" s="238"/>
      <c r="U55" s="133"/>
      <c r="V55" s="133"/>
      <c r="W55" s="133"/>
      <c r="X55" s="133"/>
      <c r="Y55" s="137"/>
      <c r="AK55" s="579" t="s">
        <v>236</v>
      </c>
      <c r="AL55" s="580"/>
      <c r="AM55" s="162">
        <f>+SUM(AM56:AM57)</f>
        <v>0</v>
      </c>
      <c r="AN55" s="162">
        <f>+SUM(AN56:AN57)</f>
        <v>0</v>
      </c>
      <c r="AO55" s="237">
        <f>+AN55-AM55</f>
        <v>0</v>
      </c>
      <c r="AP55" s="467" t="e">
        <f>+SUMPRODUCT(AN56:AN57,AP56:AP57)/AN55</f>
        <v>#DIV/0!</v>
      </c>
      <c r="AQ55" s="46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93" t="s">
        <v>221</v>
      </c>
      <c r="AL56" s="594"/>
      <c r="AM56" s="228"/>
      <c r="AN56" s="228"/>
      <c r="AO56" s="231"/>
      <c r="AP56" s="467"/>
      <c r="AQ56" s="46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29"/>
      <c r="T57" s="133"/>
      <c r="U57" s="133"/>
      <c r="V57" s="133"/>
      <c r="W57" s="133"/>
      <c r="X57" s="133"/>
      <c r="Y57" s="137"/>
      <c r="AK57" s="593" t="s">
        <v>223</v>
      </c>
      <c r="AL57" s="594"/>
      <c r="AM57" s="228"/>
      <c r="AN57" s="228"/>
      <c r="AO57" s="231"/>
      <c r="AP57" s="467"/>
      <c r="AQ57" s="46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37">
        <f>+AN58-AM58</f>
        <v>-179362</v>
      </c>
      <c r="AP58" s="225"/>
      <c r="AQ58" s="225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9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1"/>
    </row>
    <row r="67" spans="2:26" ht="15.75" customHeight="1" x14ac:dyDescent="0.2">
      <c r="B67" s="242"/>
      <c r="C67" s="242"/>
      <c r="D67" s="242"/>
      <c r="J67" s="189"/>
      <c r="K67" s="133"/>
      <c r="P67" s="133"/>
      <c r="Q67" s="133"/>
    </row>
    <row r="68" spans="2:26" ht="15.75" customHeight="1" thickBot="1" x14ac:dyDescent="0.25">
      <c r="E68" s="243"/>
      <c r="F68" s="133"/>
      <c r="G68" s="596" t="s">
        <v>237</v>
      </c>
      <c r="H68" s="597"/>
      <c r="I68" s="598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4" t="s">
        <v>238</v>
      </c>
      <c r="C69" s="599" t="s">
        <v>68</v>
      </c>
      <c r="D69" s="600"/>
      <c r="E69" s="245" t="s">
        <v>149</v>
      </c>
      <c r="F69" s="245" t="s">
        <v>150</v>
      </c>
      <c r="G69" s="245" t="s">
        <v>239</v>
      </c>
      <c r="H69" s="470" t="s">
        <v>279</v>
      </c>
      <c r="I69" s="244" t="s">
        <v>240</v>
      </c>
      <c r="J69" s="246" t="s">
        <v>151</v>
      </c>
      <c r="K69" s="247" t="s">
        <v>152</v>
      </c>
      <c r="L69" s="248" t="s">
        <v>153</v>
      </c>
      <c r="M69" s="245" t="s">
        <v>154</v>
      </c>
      <c r="N69" s="245" t="s">
        <v>241</v>
      </c>
      <c r="O69" s="245" t="s">
        <v>242</v>
      </c>
      <c r="P69" s="244" t="s">
        <v>155</v>
      </c>
      <c r="Q69" s="249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0">
        <f>+AD26</f>
        <v>0</v>
      </c>
      <c r="C70" s="595" t="s">
        <v>157</v>
      </c>
      <c r="D70" s="501"/>
      <c r="E70" s="251">
        <f>+AI26</f>
        <v>0</v>
      </c>
      <c r="F70" s="252">
        <f>+AI28</f>
        <v>276114.47793706832</v>
      </c>
      <c r="G70" s="253"/>
      <c r="H70" s="252"/>
      <c r="I70" s="254"/>
      <c r="J70" s="255">
        <f>+E70+G70</f>
        <v>0</v>
      </c>
      <c r="K70" s="256">
        <f>+F70+I70</f>
        <v>276114.47793706832</v>
      </c>
      <c r="L70" s="257">
        <f>'Datos Extra'!B1</f>
        <v>342867</v>
      </c>
      <c r="M70" s="258">
        <f>+L70+J70-K70</f>
        <v>66752.522062931675</v>
      </c>
      <c r="N70" s="253">
        <f>'Datos Extra'!C44</f>
        <v>65746</v>
      </c>
      <c r="O70" s="259">
        <f t="shared" ref="O70:O80" si="2">N70-M70</f>
        <v>-1006.5220629316755</v>
      </c>
      <c r="P70" s="260">
        <v>97.84</v>
      </c>
      <c r="Q70" s="261">
        <f>+O70*P70</f>
        <v>-98478.118637235137</v>
      </c>
      <c r="R70" s="133"/>
      <c r="S70" s="262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0">
        <f>+AD25</f>
        <v>0</v>
      </c>
      <c r="C71" s="595" t="s">
        <v>88</v>
      </c>
      <c r="D71" s="501"/>
      <c r="E71" s="263">
        <f>+AI25</f>
        <v>0</v>
      </c>
      <c r="F71" s="252">
        <v>0</v>
      </c>
      <c r="G71" s="264"/>
      <c r="H71" s="252"/>
      <c r="I71" s="265"/>
      <c r="J71" s="255">
        <f>+E71+G71</f>
        <v>0</v>
      </c>
      <c r="K71" s="266">
        <f>+F71+I71</f>
        <v>0</v>
      </c>
      <c r="L71" s="257">
        <f>'Datos Extra'!B2</f>
        <v>24736</v>
      </c>
      <c r="M71" s="258">
        <f>+L71+J71-K71</f>
        <v>24736</v>
      </c>
      <c r="N71" s="253">
        <f>'Datos Extra'!C45</f>
        <v>24742</v>
      </c>
      <c r="O71" s="259">
        <f t="shared" si="2"/>
        <v>6</v>
      </c>
      <c r="P71" s="260">
        <v>33.365380000000002</v>
      </c>
      <c r="Q71" s="261">
        <f t="shared" ref="Q71:Q80" si="3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0">
        <f>+AD16+AD17</f>
        <v>218637.63791927518</v>
      </c>
      <c r="C72" s="595" t="s">
        <v>89</v>
      </c>
      <c r="D72" s="501"/>
      <c r="E72" s="263">
        <f>+AI16+AI17</f>
        <v>218637.63791927518</v>
      </c>
      <c r="F72" s="252">
        <f>+AI19</f>
        <v>595716.57652992895</v>
      </c>
      <c r="G72" s="264"/>
      <c r="H72" s="252"/>
      <c r="I72" s="265"/>
      <c r="J72" s="255">
        <f>+E72+G72</f>
        <v>218637.63791927518</v>
      </c>
      <c r="K72" s="267">
        <f>+F72+I72</f>
        <v>595716.57652992895</v>
      </c>
      <c r="L72" s="257">
        <f>'Datos Extra'!B3</f>
        <v>427569</v>
      </c>
      <c r="M72" s="258">
        <f>+L72+J72-K72</f>
        <v>50490.061389346258</v>
      </c>
      <c r="N72" s="253">
        <f>'Datos Extra'!C42</f>
        <v>48104</v>
      </c>
      <c r="O72" s="259">
        <f>N72-M72</f>
        <v>-2386.0613893462578</v>
      </c>
      <c r="P72" s="260">
        <v>43.87</v>
      </c>
      <c r="Q72" s="261">
        <f t="shared" si="3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0">
        <f>+AD10</f>
        <v>243848.22992577092</v>
      </c>
      <c r="C73" s="595" t="s">
        <v>158</v>
      </c>
      <c r="D73" s="501"/>
      <c r="E73" s="263">
        <f>+AI10</f>
        <v>243848.22992577092</v>
      </c>
      <c r="F73" s="252">
        <v>0</v>
      </c>
      <c r="G73" s="264"/>
      <c r="H73" s="252"/>
      <c r="I73" s="268"/>
      <c r="J73" s="269"/>
      <c r="K73" s="270">
        <f>+E73+I73</f>
        <v>243848.22992577092</v>
      </c>
      <c r="L73" s="257">
        <f>'Datos Extra'!B4</f>
        <v>0</v>
      </c>
      <c r="M73" s="258"/>
      <c r="N73" s="271"/>
      <c r="O73" s="272"/>
      <c r="P73" s="273"/>
      <c r="Q73" s="274"/>
      <c r="R73" s="133"/>
      <c r="S73" s="262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0"/>
      <c r="C74" s="595" t="s">
        <v>90</v>
      </c>
      <c r="D74" s="501"/>
      <c r="E74" s="263">
        <f>+AI15</f>
        <v>221275.28338795065</v>
      </c>
      <c r="F74" s="252"/>
      <c r="G74" s="264"/>
      <c r="H74" s="252"/>
      <c r="J74" s="269"/>
      <c r="K74" s="270">
        <f>+E74/E73*K73</f>
        <v>221275.28338795065</v>
      </c>
      <c r="L74" s="257">
        <f>'Datos Extra'!B5</f>
        <v>0</v>
      </c>
      <c r="M74" s="258"/>
      <c r="N74" s="271"/>
      <c r="O74" s="272"/>
      <c r="P74" s="273"/>
      <c r="Q74" s="274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0"/>
      <c r="C75" s="595" t="s">
        <v>91</v>
      </c>
      <c r="D75" s="501"/>
      <c r="E75" s="263">
        <f>+AI13</f>
        <v>19685</v>
      </c>
      <c r="F75" s="252"/>
      <c r="G75" s="264"/>
      <c r="H75" s="252"/>
      <c r="I75" s="265"/>
      <c r="J75" s="269"/>
      <c r="K75" s="270">
        <f>+E75+G75</f>
        <v>19685</v>
      </c>
      <c r="L75" s="257">
        <f>'Datos Extra'!B6</f>
        <v>0</v>
      </c>
      <c r="M75" s="258"/>
      <c r="N75" s="271"/>
      <c r="O75" s="272"/>
      <c r="P75" s="273"/>
      <c r="Q75" s="274"/>
      <c r="R75" s="133"/>
      <c r="S75" s="133"/>
      <c r="T75" s="198"/>
      <c r="U75" s="177"/>
      <c r="V75" s="177"/>
      <c r="W75" s="198"/>
      <c r="X75" s="198"/>
      <c r="Y75" s="275"/>
      <c r="Z75" s="185"/>
    </row>
    <row r="76" spans="2:26" ht="14.25" customHeight="1" x14ac:dyDescent="0.2">
      <c r="B76" s="250">
        <f>+AD9</f>
        <v>394464.85672620567</v>
      </c>
      <c r="C76" s="595" t="s">
        <v>92</v>
      </c>
      <c r="D76" s="501"/>
      <c r="E76" s="263">
        <f>+AI9</f>
        <v>394464.85672620567</v>
      </c>
      <c r="F76" s="252"/>
      <c r="G76" s="264"/>
      <c r="H76" s="252"/>
      <c r="I76" s="268">
        <f>I73</f>
        <v>0</v>
      </c>
      <c r="J76" s="255">
        <f>+E76+G76</f>
        <v>394464.85672620567</v>
      </c>
      <c r="K76" s="256">
        <f>+E73+I76</f>
        <v>243848.22992577092</v>
      </c>
      <c r="L76" s="257">
        <f>'Datos Extra'!B7</f>
        <v>0</v>
      </c>
      <c r="M76" s="258">
        <f>+L76+J76-K76</f>
        <v>150616.62680043475</v>
      </c>
      <c r="N76" s="253">
        <f>'Datos Extra'!C38</f>
        <v>149936</v>
      </c>
      <c r="O76" s="259">
        <f t="shared" si="2"/>
        <v>-680.6268004347512</v>
      </c>
      <c r="P76" s="260">
        <v>20.14</v>
      </c>
      <c r="Q76" s="261">
        <f t="shared" si="3"/>
        <v>-13707.823760755889</v>
      </c>
      <c r="R76" s="262"/>
      <c r="S76" s="133"/>
      <c r="T76" s="177"/>
      <c r="U76" s="177"/>
      <c r="V76" s="177"/>
      <c r="W76" s="198"/>
      <c r="X76" s="198"/>
      <c r="Y76" s="275"/>
      <c r="Z76" s="185"/>
    </row>
    <row r="77" spans="2:26" ht="14.25" customHeight="1" x14ac:dyDescent="0.2">
      <c r="B77" s="250">
        <f>+AD7</f>
        <v>424135.96165245684</v>
      </c>
      <c r="C77" s="595" t="s">
        <v>93</v>
      </c>
      <c r="D77" s="501"/>
      <c r="E77" s="263">
        <f>+AI7</f>
        <v>424135.96165245684</v>
      </c>
      <c r="F77" s="252">
        <f>+AI8</f>
        <v>271631.41382451169</v>
      </c>
      <c r="G77" s="264"/>
      <c r="H77" s="252">
        <v>0</v>
      </c>
      <c r="I77" s="265"/>
      <c r="J77" s="255">
        <f>+E77+G77</f>
        <v>424135.96165245684</v>
      </c>
      <c r="K77" s="256">
        <f>+F77+I77</f>
        <v>271631.41382451169</v>
      </c>
      <c r="L77" s="257">
        <f>'Datos Extra'!B8</f>
        <v>283306</v>
      </c>
      <c r="M77" s="258">
        <f>+L77+J77-K77+AD34</f>
        <v>443330.54782794509</v>
      </c>
      <c r="N77" s="253">
        <f>'Datos Extra'!C39</f>
        <v>435765</v>
      </c>
      <c r="O77" s="259">
        <f t="shared" si="2"/>
        <v>-7565.5478279450908</v>
      </c>
      <c r="P77" s="260">
        <v>21.37</v>
      </c>
      <c r="Q77" s="261">
        <f t="shared" si="3"/>
        <v>-161675.75708318659</v>
      </c>
      <c r="R77" s="262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0">
        <f>'Datos Extra'!C46</f>
        <v>2203</v>
      </c>
      <c r="C78" s="595" t="s">
        <v>94</v>
      </c>
      <c r="D78" s="501"/>
      <c r="E78" s="263">
        <f>'Datos Extra'!C46</f>
        <v>2203</v>
      </c>
      <c r="F78" s="252">
        <v>0</v>
      </c>
      <c r="G78" s="264"/>
      <c r="H78" s="252">
        <v>0</v>
      </c>
      <c r="I78" s="265"/>
      <c r="J78" s="276">
        <f>+E78+G78</f>
        <v>2203</v>
      </c>
      <c r="K78" s="266">
        <f>+F78+I78</f>
        <v>0</v>
      </c>
      <c r="L78" s="257">
        <f>'Datos Extra'!B9</f>
        <v>0</v>
      </c>
      <c r="M78" s="264">
        <f>J78+L78-K78+H78</f>
        <v>2203</v>
      </c>
      <c r="N78" s="253">
        <f>'Datos Extra'!C46</f>
        <v>2203</v>
      </c>
      <c r="O78" s="259">
        <f t="shared" si="2"/>
        <v>0</v>
      </c>
      <c r="P78" s="260">
        <v>8.5485399999999991</v>
      </c>
      <c r="Q78" s="261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0"/>
      <c r="C79" s="595" t="s">
        <v>95</v>
      </c>
      <c r="D79" s="501"/>
      <c r="E79" s="263">
        <v>0</v>
      </c>
      <c r="F79" s="263">
        <v>0</v>
      </c>
      <c r="G79" s="264"/>
      <c r="H79" s="263"/>
      <c r="I79" s="265"/>
      <c r="J79" s="276">
        <f>+E79+G79</f>
        <v>0</v>
      </c>
      <c r="K79" s="266">
        <f>+F79+I79</f>
        <v>0</v>
      </c>
      <c r="L79" s="257">
        <f>'Datos Extra'!B10</f>
        <v>27</v>
      </c>
      <c r="M79" s="277">
        <f>+L79+E79-F79</f>
        <v>27</v>
      </c>
      <c r="N79" s="278">
        <v>1318</v>
      </c>
      <c r="O79" s="259">
        <f t="shared" si="2"/>
        <v>1291</v>
      </c>
      <c r="P79" s="260">
        <v>40.32</v>
      </c>
      <c r="Q79" s="261">
        <f t="shared" si="3"/>
        <v>52053.120000000003</v>
      </c>
      <c r="R79" s="133"/>
      <c r="S79" s="133"/>
      <c r="T79" s="275"/>
      <c r="U79" s="262"/>
      <c r="V79" s="262"/>
      <c r="W79" s="275"/>
      <c r="X79" s="275"/>
      <c r="Y79" s="275"/>
    </row>
    <row r="80" spans="2:26" ht="14.25" customHeight="1" x14ac:dyDescent="0.2">
      <c r="B80" s="250"/>
      <c r="C80" s="595" t="s">
        <v>96</v>
      </c>
      <c r="D80" s="501"/>
      <c r="E80" s="263">
        <v>0</v>
      </c>
      <c r="F80" s="263">
        <v>0</v>
      </c>
      <c r="G80" s="264"/>
      <c r="H80" s="263"/>
      <c r="I80" s="265"/>
      <c r="J80" s="276">
        <f>+E80+G80</f>
        <v>0</v>
      </c>
      <c r="K80" s="266">
        <f>+F80+I80</f>
        <v>0</v>
      </c>
      <c r="L80" s="257">
        <f>'Datos Extra'!B11</f>
        <v>25122</v>
      </c>
      <c r="M80" s="277">
        <f>+L80+E80-F80</f>
        <v>25122</v>
      </c>
      <c r="N80" s="278">
        <v>31676</v>
      </c>
      <c r="O80" s="259">
        <f t="shared" si="2"/>
        <v>6554</v>
      </c>
      <c r="P80" s="260">
        <v>29.61</v>
      </c>
      <c r="Q80" s="261">
        <f t="shared" si="3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9"/>
      <c r="D81" s="279"/>
      <c r="E81" s="259">
        <f>+E70+E71+E72+E77+E78</f>
        <v>644976.59957173199</v>
      </c>
      <c r="F81" s="259">
        <f>+F70+F71+F72+F77+F78</f>
        <v>1143462.468291509</v>
      </c>
      <c r="G81" s="198"/>
      <c r="I81" s="198"/>
      <c r="J81" s="280">
        <f>+J70+J71+J72+J77+J78</f>
        <v>644976.59957173199</v>
      </c>
      <c r="K81" s="281">
        <f>+K70+K71+K72+K77+K78</f>
        <v>1143462.468291509</v>
      </c>
      <c r="L81" s="282"/>
      <c r="M81" s="282"/>
      <c r="N81" s="282"/>
      <c r="O81" s="259">
        <f>SUM(O70:O80)</f>
        <v>-3787.7580806577753</v>
      </c>
      <c r="P81" s="283"/>
      <c r="Q81" s="284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2"/>
      <c r="D82" s="282"/>
      <c r="E82" s="198"/>
      <c r="F82" s="198"/>
      <c r="G82" s="198"/>
      <c r="I82" s="198"/>
      <c r="J82" s="198"/>
      <c r="K82" s="285">
        <f>+K81-K72</f>
        <v>547745.89176158002</v>
      </c>
      <c r="O82" s="259">
        <f>SUM(O70:O80)-O76</f>
        <v>-3107.1312802230241</v>
      </c>
      <c r="P82" s="283"/>
      <c r="Q82" s="284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3"/>
      <c r="G83" s="134"/>
      <c r="H83" s="134"/>
      <c r="I83" s="133"/>
      <c r="J83" s="198"/>
      <c r="K83" s="262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4"/>
      <c r="D84" s="606"/>
      <c r="E84" s="286" t="s">
        <v>243</v>
      </c>
      <c r="F84" s="286" t="s">
        <v>179</v>
      </c>
      <c r="G84" s="286" t="s">
        <v>244</v>
      </c>
      <c r="H84" s="287" t="s">
        <v>245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4" t="s">
        <v>246</v>
      </c>
      <c r="D85" s="605"/>
      <c r="E85" s="605"/>
      <c r="F85" s="605"/>
      <c r="G85" s="605"/>
      <c r="H85" s="606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2" t="s">
        <v>247</v>
      </c>
      <c r="D86" s="603"/>
      <c r="E86" s="163">
        <f>'Datos Extra'!B13</f>
        <v>841140</v>
      </c>
      <c r="F86" s="334">
        <f>'Datos Extra'!C13</f>
        <v>1</v>
      </c>
      <c r="G86" s="335">
        <f>'Datos Extra'!D13</f>
        <v>1.7937498607364257</v>
      </c>
      <c r="H86" s="290">
        <f>+E86*G86</f>
        <v>1508794.757859837</v>
      </c>
      <c r="I86" s="262"/>
      <c r="J86" s="262"/>
      <c r="K86" s="262"/>
      <c r="L86" s="262"/>
      <c r="M86" s="262"/>
      <c r="N86" s="262"/>
      <c r="O86" s="133"/>
      <c r="P86" s="133"/>
      <c r="Q86" s="133"/>
      <c r="R86" s="601"/>
      <c r="S86" s="503"/>
      <c r="T86" s="198"/>
      <c r="U86" s="198"/>
      <c r="V86" s="198"/>
    </row>
    <row r="87" spans="3:26" ht="14.25" customHeight="1" x14ac:dyDescent="0.2">
      <c r="C87" s="288" t="s">
        <v>248</v>
      </c>
      <c r="D87" s="289"/>
      <c r="E87" s="163">
        <f>'Datos Extra'!B14</f>
        <v>799464</v>
      </c>
      <c r="F87" s="334">
        <f>'Datos Extra'!C14</f>
        <v>0.85</v>
      </c>
      <c r="G87" s="335">
        <f>'Datos Extra'!D14</f>
        <v>0.93275003802393297</v>
      </c>
      <c r="H87" s="290">
        <f t="shared" ref="H87:H90" si="4">+E87*G87</f>
        <v>745700.07639876555</v>
      </c>
      <c r="I87" s="262"/>
      <c r="J87" s="262"/>
      <c r="K87" s="262"/>
      <c r="L87" s="291"/>
      <c r="M87" s="262"/>
      <c r="N87" s="262"/>
      <c r="O87" s="133"/>
      <c r="P87" s="133"/>
      <c r="Q87" s="133"/>
      <c r="R87" s="282"/>
      <c r="T87" s="198"/>
      <c r="U87" s="198"/>
      <c r="V87" s="198"/>
    </row>
    <row r="88" spans="3:26" ht="15.75" customHeight="1" x14ac:dyDescent="0.2">
      <c r="C88" s="602" t="s">
        <v>249</v>
      </c>
      <c r="D88" s="603"/>
      <c r="E88" s="163">
        <f>'Datos Extra'!B15</f>
        <v>309440</v>
      </c>
      <c r="F88" s="334">
        <f>'Datos Extra'!C15</f>
        <v>0.15</v>
      </c>
      <c r="G88" s="335">
        <f>'Datos Extra'!D15</f>
        <v>1.1554858656662388</v>
      </c>
      <c r="H88" s="290">
        <f t="shared" si="4"/>
        <v>357553.54627176095</v>
      </c>
      <c r="I88" s="262"/>
      <c r="J88" s="262"/>
      <c r="K88" s="262"/>
      <c r="L88" s="262" t="s">
        <v>266</v>
      </c>
      <c r="M88" s="262"/>
      <c r="N88" s="262"/>
      <c r="O88" s="133"/>
      <c r="P88" s="601"/>
      <c r="Q88" s="503"/>
      <c r="R88" s="198"/>
      <c r="S88" s="198"/>
      <c r="T88" s="198"/>
    </row>
    <row r="89" spans="3:26" ht="15.75" customHeight="1" x14ac:dyDescent="0.2">
      <c r="C89" s="602" t="s">
        <v>250</v>
      </c>
      <c r="D89" s="603"/>
      <c r="E89" s="163">
        <f>'Datos Extra'!B16</f>
        <v>719345</v>
      </c>
      <c r="F89" s="334">
        <f>'Datos Extra'!C16</f>
        <v>1</v>
      </c>
      <c r="G89" s="335">
        <f>'Datos Extra'!D16</f>
        <v>6.7708475606506466</v>
      </c>
      <c r="H89" s="290">
        <f t="shared" si="4"/>
        <v>4870575.3385162391</v>
      </c>
      <c r="I89" s="133"/>
      <c r="J89" s="133"/>
      <c r="K89" s="133"/>
      <c r="L89" s="133" t="s">
        <v>267</v>
      </c>
      <c r="M89" s="133"/>
      <c r="N89" s="198"/>
      <c r="O89" s="133"/>
      <c r="P89" s="601"/>
      <c r="Q89" s="503"/>
      <c r="R89" s="198"/>
      <c r="S89" s="198"/>
      <c r="T89" s="198"/>
    </row>
    <row r="90" spans="3:26" ht="14.25" customHeight="1" x14ac:dyDescent="0.2">
      <c r="C90" s="602" t="s">
        <v>251</v>
      </c>
      <c r="D90" s="603"/>
      <c r="E90" s="163">
        <f>'Datos Extra'!B17</f>
        <v>0</v>
      </c>
      <c r="F90" s="334">
        <f>'Datos Extra'!C17</f>
        <v>0</v>
      </c>
      <c r="G90" s="335">
        <f>'Datos Extra'!D17</f>
        <v>12.73464883638535</v>
      </c>
      <c r="H90" s="290">
        <f t="shared" si="4"/>
        <v>0</v>
      </c>
      <c r="I90" s="133"/>
      <c r="J90" s="133"/>
      <c r="K90" s="133"/>
      <c r="L90" s="133" t="s">
        <v>268</v>
      </c>
      <c r="M90" s="133"/>
      <c r="N90" s="198"/>
      <c r="O90" s="133"/>
      <c r="P90" s="601"/>
      <c r="Q90" s="503"/>
      <c r="R90" s="198"/>
      <c r="S90" s="198"/>
      <c r="T90" s="198"/>
    </row>
    <row r="91" spans="3:26" ht="14.25" customHeight="1" x14ac:dyDescent="0.2">
      <c r="G91" s="292">
        <f>SUM(G86:G90)</f>
        <v>23.387482161462593</v>
      </c>
      <c r="H91" s="136">
        <f>SUM(H86:H90)</f>
        <v>7482623.719046602</v>
      </c>
      <c r="I91" s="262"/>
      <c r="J91" s="262"/>
      <c r="K91" s="133"/>
      <c r="L91" s="133"/>
      <c r="M91" s="133"/>
      <c r="N91" s="198"/>
      <c r="O91" s="133"/>
      <c r="P91" s="601"/>
      <c r="Q91" s="503"/>
      <c r="R91" s="198"/>
      <c r="S91" s="198"/>
      <c r="T91" s="198"/>
    </row>
    <row r="92" spans="3:26" ht="14.25" customHeight="1" x14ac:dyDescent="0.2">
      <c r="C92" s="604" t="s">
        <v>252</v>
      </c>
      <c r="D92" s="605"/>
      <c r="E92" s="605"/>
      <c r="F92" s="605"/>
      <c r="G92" s="605"/>
      <c r="H92" s="606"/>
      <c r="I92" s="262"/>
      <c r="J92" s="262"/>
      <c r="K92" s="133"/>
      <c r="L92" s="198"/>
      <c r="M92" s="133"/>
      <c r="N92" s="198"/>
      <c r="O92" s="133"/>
      <c r="P92" s="601"/>
      <c r="Q92" s="503"/>
      <c r="R92" s="198"/>
      <c r="S92" s="198"/>
      <c r="T92" s="198"/>
    </row>
    <row r="93" spans="3:26" ht="14.25" customHeight="1" x14ac:dyDescent="0.2">
      <c r="C93" s="602" t="s">
        <v>253</v>
      </c>
      <c r="D93" s="603"/>
      <c r="E93" s="164">
        <f>+AF10/(1-AE10)</f>
        <v>243848.22992577092</v>
      </c>
      <c r="F93" s="293" t="e">
        <f>+O19</f>
        <v>#DIV/0!</v>
      </c>
      <c r="G93" s="294">
        <f>'Datos Extra'!D18</f>
        <v>20.331616421326252</v>
      </c>
      <c r="H93" s="290">
        <f>+E93*G93</f>
        <v>4957828.6758701438</v>
      </c>
      <c r="I93" s="133"/>
      <c r="J93" s="133"/>
      <c r="K93" s="133"/>
      <c r="L93" s="198"/>
      <c r="M93" s="133"/>
      <c r="N93" s="133"/>
      <c r="O93" s="133"/>
      <c r="P93" s="601"/>
      <c r="Q93" s="503"/>
      <c r="R93" s="198"/>
      <c r="S93" s="198"/>
    </row>
    <row r="94" spans="3:26" ht="14.25" customHeight="1" x14ac:dyDescent="0.2">
      <c r="C94" s="602" t="s">
        <v>254</v>
      </c>
      <c r="D94" s="603"/>
      <c r="E94" s="164">
        <f>+AF18/(1-AE18)</f>
        <v>-2637.645468892013</v>
      </c>
      <c r="F94" s="295">
        <f>+P49/J39</f>
        <v>0</v>
      </c>
      <c r="G94" s="294">
        <f>'Datos Extra'!D19</f>
        <v>8.225477491060424</v>
      </c>
      <c r="H94" s="290">
        <f t="shared" ref="H94:H96" si="5">+E94*G94</f>
        <v>-21695.893433768772</v>
      </c>
      <c r="I94" s="133"/>
      <c r="J94" s="133"/>
      <c r="K94" s="133"/>
      <c r="L94" s="133"/>
      <c r="M94" s="133"/>
      <c r="N94" s="133"/>
      <c r="O94" s="133"/>
      <c r="P94" s="601"/>
      <c r="Q94" s="503"/>
      <c r="R94" s="198"/>
      <c r="S94" s="198"/>
    </row>
    <row r="95" spans="3:26" ht="14.25" customHeight="1" x14ac:dyDescent="0.2">
      <c r="C95" s="602" t="s">
        <v>255</v>
      </c>
      <c r="D95" s="603"/>
      <c r="E95" s="164">
        <f>+AF26/(1-AE26)+AF25/(1-AE25)+AF17/(1-AE17)+AF16/(1-AE16)</f>
        <v>218637.63791927518</v>
      </c>
      <c r="F95" s="293">
        <f>+P19</f>
        <v>0.86394503720838589</v>
      </c>
      <c r="G95" s="294">
        <f>'Datos Extra'!D20</f>
        <v>2.7579753151123789</v>
      </c>
      <c r="H95" s="290">
        <f t="shared" si="5"/>
        <v>602997.20833583921</v>
      </c>
      <c r="I95" s="133"/>
      <c r="J95" s="133"/>
      <c r="K95" s="133"/>
      <c r="L95" s="133"/>
      <c r="M95" s="133"/>
      <c r="N95" s="133"/>
      <c r="O95" s="133"/>
      <c r="P95" s="601"/>
      <c r="Q95" s="503"/>
      <c r="R95" s="198"/>
      <c r="S95" s="198"/>
    </row>
    <row r="96" spans="3:26" ht="14.25" customHeight="1" x14ac:dyDescent="0.2">
      <c r="C96" s="602" t="s">
        <v>256</v>
      </c>
      <c r="D96" s="603"/>
      <c r="E96" s="164">
        <f>+E95</f>
        <v>218637.63791927518</v>
      </c>
      <c r="F96" s="296">
        <v>1</v>
      </c>
      <c r="G96" s="294">
        <f>'Datos Extra'!D21</f>
        <v>2.7579753151123789</v>
      </c>
      <c r="H96" s="290">
        <f t="shared" si="5"/>
        <v>602997.20833583921</v>
      </c>
      <c r="I96" s="133"/>
      <c r="J96" s="133"/>
      <c r="K96" s="133"/>
      <c r="L96" s="133"/>
      <c r="M96" s="133"/>
      <c r="N96" s="133"/>
      <c r="O96" s="133"/>
      <c r="P96" s="601"/>
      <c r="Q96" s="503"/>
      <c r="R96" s="198"/>
      <c r="S96" s="198"/>
    </row>
    <row r="97" spans="5:18" ht="14.25" customHeight="1" x14ac:dyDescent="0.2">
      <c r="E97" s="133"/>
      <c r="F97" s="243"/>
      <c r="G97" s="292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3"/>
      <c r="G98" s="184" t="s">
        <v>257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3"/>
      <c r="G99" s="297" t="s">
        <v>258</v>
      </c>
      <c r="H99" s="298">
        <f>+H98/E96</f>
        <v>62.316584865343039</v>
      </c>
      <c r="I99" s="299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3"/>
      <c r="G102" s="133"/>
      <c r="R102" s="198"/>
    </row>
    <row r="103" spans="5:18" ht="15.75" customHeight="1" x14ac:dyDescent="0.2">
      <c r="E103" s="133"/>
      <c r="F103" s="243"/>
      <c r="G103" s="133"/>
    </row>
    <row r="104" spans="5:18" ht="15.75" customHeight="1" x14ac:dyDescent="0.2">
      <c r="E104" s="133"/>
      <c r="F104" s="243"/>
      <c r="G104" s="133"/>
    </row>
    <row r="105" spans="5:18" ht="15.75" customHeight="1" x14ac:dyDescent="0.2">
      <c r="E105" s="133"/>
      <c r="F105" s="243"/>
      <c r="G105" s="133"/>
    </row>
    <row r="106" spans="5:18" ht="15.75" customHeight="1" x14ac:dyDescent="0.2">
      <c r="F106" s="243"/>
      <c r="G106" s="133"/>
    </row>
    <row r="107" spans="5:18" ht="15.75" customHeight="1" x14ac:dyDescent="0.2">
      <c r="F107" s="243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157</vt:i4>
      </vt:variant>
    </vt:vector>
  </HeadingPairs>
  <TitlesOfParts>
    <vt:vector size="165" baseType="lpstr">
      <vt:lpstr>Resumen Planta Pellets1</vt:lpstr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Pellets1'!ECL_DelBal_por</vt:lpstr>
      <vt:lpstr>'Resumen Planta Pellets'!ECL_DelBal_tmf</vt:lpstr>
      <vt:lpstr>'Resumen Planta Pellets1'!ECL_DelBal_tmf</vt:lpstr>
      <vt:lpstr>'Bal Los Colorados'!solver_adj</vt:lpstr>
      <vt:lpstr>'Resumen Planta Pellets'!solver_adj</vt:lpstr>
      <vt:lpstr>'Resumen Planta Pellets1'!solver_adj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'Resumen Planta Pellets1'!solver_opt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