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9A499D54-DB66-5D43-BBD6-EC234E35D9DD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D36" i="9"/>
  <c r="F15" i="9"/>
  <c r="I5" i="9"/>
  <c r="V39" i="9" l="1"/>
  <c r="V38" i="9"/>
  <c r="V37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P57" i="9"/>
  <c r="J5" i="9"/>
  <c r="C33" i="7"/>
  <c r="D33" i="7"/>
  <c r="G33" i="7"/>
  <c r="J33" i="7" s="1"/>
  <c r="H33" i="7"/>
  <c r="K33" i="7"/>
  <c r="R33" i="7"/>
  <c r="M33" i="7" l="1"/>
  <c r="N33" i="7"/>
  <c r="G34" i="9" l="1"/>
  <c r="E36" i="9"/>
  <c r="K36" i="10" l="1"/>
  <c r="D36" i="10"/>
  <c r="I20" i="10"/>
  <c r="H20" i="10"/>
  <c r="I19" i="10"/>
  <c r="H19" i="10"/>
  <c r="I18" i="10"/>
  <c r="I17" i="10"/>
  <c r="P16" i="10"/>
  <c r="I16" i="10"/>
  <c r="P13" i="10"/>
  <c r="P12" i="10"/>
  <c r="O12" i="10"/>
  <c r="P11" i="10"/>
  <c r="O11" i="10"/>
  <c r="P10" i="10"/>
  <c r="Q10" i="10" s="1"/>
  <c r="O10" i="10"/>
  <c r="I10" i="10"/>
  <c r="P17" i="10"/>
  <c r="Q11" i="10"/>
  <c r="J11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D7" i="9" s="1"/>
  <c r="AE8" i="9"/>
  <c r="AD8" i="9" s="1"/>
  <c r="AE9" i="9"/>
  <c r="AD9" i="9" s="1"/>
  <c r="AE10" i="9"/>
  <c r="AE11" i="9"/>
  <c r="AD11" i="9" s="1"/>
  <c r="AE12" i="9"/>
  <c r="AD12" i="9" s="1"/>
  <c r="AE13" i="9"/>
  <c r="AD13" i="9" s="1"/>
  <c r="AE14" i="9"/>
  <c r="AD14" i="9" s="1"/>
  <c r="AE15" i="9"/>
  <c r="AD15" i="9" s="1"/>
  <c r="AE16" i="9"/>
  <c r="AD16" i="9" s="1"/>
  <c r="AE17" i="9"/>
  <c r="AD17" i="9" s="1"/>
  <c r="AE18" i="9"/>
  <c r="AD18" i="9" s="1"/>
  <c r="AE19" i="9"/>
  <c r="AD19" i="9" s="1"/>
  <c r="AE20" i="9"/>
  <c r="AD20" i="9" s="1"/>
  <c r="AE21" i="9"/>
  <c r="AE22" i="9"/>
  <c r="AE23" i="9"/>
  <c r="AE24" i="9"/>
  <c r="AD24" i="9" s="1"/>
  <c r="AE25" i="9"/>
  <c r="AD25" i="9" s="1"/>
  <c r="AE26" i="9"/>
  <c r="AD26" i="9" s="1"/>
  <c r="AE27" i="9"/>
  <c r="AD27" i="9" s="1"/>
  <c r="AE28" i="9"/>
  <c r="AD28" i="9" s="1"/>
  <c r="AE6" i="9"/>
  <c r="AD6" i="9" s="1"/>
  <c r="AD10" i="9"/>
  <c r="AD21" i="9"/>
  <c r="AD22" i="9"/>
  <c r="AD23" i="9"/>
  <c r="M76" i="9"/>
  <c r="K80" i="9"/>
  <c r="K79" i="9"/>
  <c r="K78" i="9"/>
  <c r="K77" i="9"/>
  <c r="K76" i="9"/>
  <c r="K74" i="9"/>
  <c r="K73" i="9"/>
  <c r="K72" i="9"/>
  <c r="M72" i="9"/>
  <c r="M71" i="9"/>
  <c r="M70" i="9"/>
  <c r="Q12" i="10" l="1"/>
  <c r="J19" i="10"/>
  <c r="J20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17" i="10" s="1"/>
  <c r="H17" i="10" s="1"/>
  <c r="J17" i="10" s="1"/>
  <c r="J40" i="9"/>
  <c r="AI17" i="9"/>
  <c r="AH16" i="9"/>
  <c r="B72" i="9"/>
  <c r="AI13" i="9"/>
  <c r="E75" i="9" s="1"/>
  <c r="J75" i="9" s="1"/>
  <c r="O16" i="10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N16" i="10" l="1"/>
  <c r="N17" i="10" s="1"/>
  <c r="O17" i="10"/>
  <c r="Q17" i="10" s="1"/>
  <c r="Q16" i="10"/>
  <c r="AL26" i="9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G16" i="10" s="1"/>
  <c r="M52" i="9"/>
  <c r="M54" i="9" s="1"/>
  <c r="AI28" i="9"/>
  <c r="F70" i="9" s="1"/>
  <c r="R36" i="9"/>
  <c r="R38" i="9" s="1"/>
  <c r="AI25" i="9"/>
  <c r="E71" i="9" s="1"/>
  <c r="I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L71" i="9" l="1"/>
  <c r="N71" i="9" s="1"/>
  <c r="P71" i="9" s="1"/>
  <c r="N12" i="10"/>
  <c r="H16" i="10"/>
  <c r="O13" i="10"/>
  <c r="N13" i="10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F8" i="9"/>
  <c r="B76" i="9"/>
  <c r="Z6" i="9"/>
  <c r="F29" i="9"/>
  <c r="J76" i="9"/>
  <c r="G10" i="10" s="1"/>
  <c r="J73" i="9"/>
  <c r="E95" i="9"/>
  <c r="P49" i="9"/>
  <c r="AI26" i="9"/>
  <c r="E70" i="9" s="1"/>
  <c r="G47" i="9"/>
  <c r="E47" i="9"/>
  <c r="E49" i="9" s="1"/>
  <c r="F40" i="9"/>
  <c r="AI16" i="9"/>
  <c r="E72" i="9" s="1"/>
  <c r="H10" i="10" l="1"/>
  <c r="G14" i="10"/>
  <c r="O14" i="10"/>
  <c r="Q13" i="10"/>
  <c r="Q14" i="10" s="1"/>
  <c r="P14" i="10" s="1"/>
  <c r="J16" i="10"/>
  <c r="J81" i="9"/>
  <c r="J82" i="9" s="1"/>
  <c r="G18" i="10"/>
  <c r="I72" i="9"/>
  <c r="I70" i="9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L72" i="9" l="1"/>
  <c r="N10" i="10"/>
  <c r="H18" i="10"/>
  <c r="G21" i="10"/>
  <c r="L70" i="9"/>
  <c r="N70" i="9" s="1"/>
  <c r="N11" i="10"/>
  <c r="H14" i="10"/>
  <c r="J10" i="10"/>
  <c r="J14" i="10" s="1"/>
  <c r="L19" i="9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I81" i="9"/>
  <c r="J18" i="10" l="1"/>
  <c r="J21" i="10" s="1"/>
  <c r="H21" i="10"/>
  <c r="I21" i="10" s="1"/>
  <c r="N14" i="10"/>
  <c r="N72" i="9"/>
  <c r="P72" i="9" s="1"/>
  <c r="AQ18" i="9"/>
  <c r="P70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4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<sst xmlns="http://schemas.openxmlformats.org/spreadsheetml/2006/main" count="606" uniqueCount="292">
  <si>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</si>
  <si>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</si>
  <si>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</si>
  <si>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</si>
  <si>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</si>
  <si>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</si>
  <si>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</si>
  <si>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</si>
  <si>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</si>
  <si>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</si>
  <si>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</si>
  <si>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</si>
  <si>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</si>
  <si>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</si>
  <si>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</si>
  <si>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</si>
  <si>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</si>
  <si>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</si>
  <si>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</si>
  <si>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</si>
  <si>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</si>
  <si>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</si>
  <si>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</si>
  <si>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</si>
  <si>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</si>
  <si>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</si>
  <si>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</si>
  <si>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</si>
  <si>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</si>
  <si>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</si>
  <si>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</si>
  <si>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</si>
  <si>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</si>
  <si>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</si>
  <si>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</si>
  <si>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</si>
  <si>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</si>
  <si>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</si>
  <si>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</si>
  <si>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</si>
  <si>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</si>
  <si>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</si>
  <si>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</si>
  <si>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</si>
  <si>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</si>
  <si>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</si>
  <si>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</si>
  <si>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</si>
  <si>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</si>
  <si>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</si>
  <si>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</si>
  <si>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</si>
  <si>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</si>
  <si>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</si>
  <si>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</si>
  <si>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</si>
  <si>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</si>
  <si>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</si>
  <si>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</si>
  <si>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</si>
  <si>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</si>
  <si>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</si>
  <si>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</si>
  <si>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</si>
  <si>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</si>
  <si>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</si>
  <si>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</si>
  <si>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</si>
  <si>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</si>
  <si>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</si>
  <si>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</si>
  <si>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</si>
  <si>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</si>
  <si>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</si>
  <si>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</si>
  <si>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</si>
  <si>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</si>
  <si>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</si>
  <si>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</si>
  <si>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</si>
  <si>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</si>
  <si>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</si>
  <si>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</si>
  <si>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</si>
  <si>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</si>
  <si>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</si>
  <si>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</si>
  <si>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</si>
  <si>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</si>
  <si>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</si>
  <si>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</si>
  <si>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</si>
  <si>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</si>
  <si>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</si>
  <si>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</si>
  <si>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</si>
  <si>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</si>
  <si>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</si>
  <si>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</si>
  <si>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</si>
  <si>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</si>
  <si>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</si>
  <si>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</si>
  <si>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</si>
  <si>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</si>
  <si>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</si>
  <si>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</si>
  <si>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</si>
  <si>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</si>
  <si>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</si>
  <si>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</si>
  <si>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</si>
  <si>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</si>
  <si>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</si>
  <si>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</si>
  <si>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</si>
  <si>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</si>
  <si>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</si>
  <si>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</si>
  <si>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</si>
  <si>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</si>
  <si>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</si>
  <si>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</si>
  <si>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</si>
  <si>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</si>
  <si>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</si>
  <si>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</si>
  <si>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</si>
  <si>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</si>
  <si>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</si>
  <si>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</si>
  <si>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</si>
  <si>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</si>
  <si>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</si>
  <si>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</si>
  <si>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</si>
  <si>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</si>
  <si>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</si>
  <si>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</si>
  <si>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</si>
  <si>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</si>
  <si>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</si>
  <si>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</si>
  <si>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</si>
  <si>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</si>
  <si>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</si>
  <si>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</si>
  <si>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</si>
  <si>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</si>
  <si>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</si>
  <si>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</si>
  <si>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</si>
  <si>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</si>
  <si>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</si>
  <si>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</si>
  <si>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</si>
  <si>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</si>
  <si>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</si>
  <si>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</si>
  <si>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</si>
  <si>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</si>
  <si>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</si>
  <si>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</si>
  <si>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</si>
  <si>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</si>
  <si>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</si>
  <si>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</si>
  <si>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</si>
  <si>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</si>
  <si>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</si>
  <si>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</si>
  <si>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</si>
  <si>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</si>
  <si>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</si>
  <si>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</si>
  <si>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</si>
  <si>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</si>
  <si>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</si>
  <si>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</si>
  <si>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</si>
  <si>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</si>
  <si>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</si>
  <si>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</si>
  <si>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</si>
  <si>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</si>
  <si>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</si>
  <si>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</si>
  <si>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</si>
  <si>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</si>
  <si>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</si>
  <si>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</si>
  <si>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</si>
  <si>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</si>
  <si>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</si>
  <si>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</si>
  <si>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</si>
  <si>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</si>
  <si>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</si>
  <si>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</si>
  <si>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</si>
  <si>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</si>
  <si>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</si>
  <si>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</si>
  <si>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</si>
  <si>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</si>
  <si>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</si>
  <si>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</si>
  <si>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</si>
  <si>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</si>
  <si>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</si>
  <si>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</si>
  <si>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</si>
  <si>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</si>
  <si>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</si>
  <si>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</si>
  <si>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</si>
  <si>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</si>
  <si>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</si>
  <si>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</si>
  <si>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</si>
  <si>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</si>
  <si>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</si>
  <si>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</si>
  <si>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</si>
  <si>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</si>
  <si>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</si>
  <si>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</si>
  <si>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</si>
  <si>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</si>
  <si>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</si>
  <si>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</si>
  <si>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</si>
  <si>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</si>
  <si>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</si>
  <si>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</si>
  <si>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</si>
  <si>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</si>
  <si>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</si>
  <si>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</si>
  <si>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</si>
  <si>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</si>
  <si>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</si>
  <si>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</si>
  <si>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</si>
  <si>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</si>
  <si>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</si>
  <si>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</si>
  <si>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</si>
  <si>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</si>
  <si>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</si>
  <si>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</si>
  <si>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</si>
  <si>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</si>
  <si>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</si>
  <si>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</si>
  <si>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</si>
  <si>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</si>
  <si>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</si>
  <si>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</si>
  <si>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</si>
  <si>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</si>
  <si>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</si>
  <si>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</si>
  <si>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</si>
  <si>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</si>
  <si>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</si>
  <si>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</si>
  <si>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</si>
  <si>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</si>
  <si>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</si>
  <si>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</si>
  <si>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</si>
  <si>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</si>
  <si>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</si>
  <si>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</si>
  <si>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</si>
  <si>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</si>
  <si>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</si>
  <si>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</si>
  <si>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</si>
  <si>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</si>
  <si>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</si>
  <si>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Preconcentrado Inicial Final TMH</t>
  </si>
  <si>
    <t>Sinter Inicial Final TMH</t>
  </si>
  <si>
    <t>Silos Inicial Final TMH</t>
  </si>
  <si>
    <t>TK Filtrado Inicial Final TMH</t>
  </si>
  <si>
    <t>Pellet Feed Inicial Final TMH</t>
  </si>
  <si>
    <t>Pila de emergencia Inicial Final TMH</t>
  </si>
  <si>
    <t>Pellet Producto Inicial Final TMH</t>
  </si>
  <si>
    <t>Chips Inicial Final TMH</t>
  </si>
  <si>
    <t>Finos Inicial Final TMH</t>
  </si>
  <si>
    <t>Derrames Molienda Inicial Final 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</si>
</sst>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0" fontId="63" fillId="0" borderId="73" xfId="0" applyFont="1" applyBorder="1"/>
    <xf numFmtId="10" fontId="63" fillId="0" borderId="73" xfId="0" applyNumberFormat="1" applyFont="1" applyBorder="1"/>
    <xf numFmtId="10" fontId="63" fillId="0" borderId="75" xfId="0" applyNumberFormat="1" applyFont="1" applyBorder="1"/>
    <xf numFmtId="0" fontId="63" fillId="0" borderId="73" xfId="0" applyFont="1" applyBorder="1" applyAlignment="1">
      <alignment horizontal="right"/>
    </xf>
    <xf numFmtId="0" fontId="3" fillId="0" borderId="68" xfId="2" applyFont="1" applyAlignment="1">
      <alignment horizontal="center"/>
    </xf>
    <xf numFmtId="3" fontId="14" fillId="0" borderId="68" xfId="2" applyNumberFormat="1" applyFont="1" applyAlignment="1">
      <alignment horizontal="center"/>
    </xf>
    <xf numFmtId="0" fontId="63" fillId="0" borderId="73" xfId="0" applyFont="1" applyBorder="1" applyAlignment="1">
      <alignment horizontal="left"/>
    </xf>
    <xf numFmtId="0" fontId="23" fillId="0" borderId="18" xfId="2" applyFont="1" applyBorder="1" applyAlignment="1">
      <alignment horizontal="center" vertical="center"/>
    </xf>
    <xf numFmtId="0" fontId="7" fillId="0" borderId="45" xfId="2" applyFont="1" applyBorder="1"/>
    <xf numFmtId="0" fontId="7" fillId="0" borderId="32" xfId="2" applyFont="1" applyBorder="1"/>
    <xf numFmtId="0" fontId="7" fillId="0" borderId="43" xfId="2" applyFont="1" applyBorder="1"/>
    <xf numFmtId="0" fontId="7" fillId="0" borderId="70" xfId="2" applyFont="1" applyBorder="1"/>
    <xf numFmtId="0" fontId="7" fillId="0" borderId="71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23" xfId="2" applyFont="1" applyBorder="1"/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0" fontId="7" fillId="0" borderId="22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46" xfId="2" applyFont="1" applyBorder="1"/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7" fillId="0" borderId="24" xfId="2" applyFont="1" applyBorder="1"/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7" fillId="0" borderId="55" xfId="2" applyFont="1" applyBorder="1"/>
    <xf numFmtId="0" fontId="7" fillId="0" borderId="56" xfId="2" applyFont="1" applyBorder="1"/>
    <xf numFmtId="0" fontId="25" fillId="14" borderId="45" xfId="2" applyFont="1" applyFill="1" applyBorder="1" applyAlignment="1">
      <alignment horizontal="center" vertical="center"/>
    </xf>
    <xf numFmtId="0" fontId="23" fillId="0" borderId="47" xfId="2" applyFont="1" applyBorder="1" applyAlignment="1">
      <alignment horizontal="left"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 wrapText="1"/>
    </xf>
    <xf numFmtId="0" fontId="7" fillId="0" borderId="53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43" xfId="2" applyFont="1" applyBorder="1" applyAlignment="1">
      <alignment vertical="center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10" fontId="21" fillId="0" borderId="18" xfId="2" applyNumberFormat="1" applyFont="1" applyBorder="1" applyAlignment="1">
      <alignment horizontal="center" vertical="center"/>
    </xf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23" fillId="0" borderId="49" xfId="2" applyFont="1" applyBorder="1" applyAlignment="1">
      <alignment vertical="center"/>
    </xf>
    <xf numFmtId="0" fontId="24" fillId="10" borderId="58" xfId="2" applyFont="1" applyFill="1" applyBorder="1" applyAlignment="1">
      <alignment horizontal="left" vertical="center"/>
    </xf>
    <xf numFmtId="0" fontId="31" fillId="14" borderId="58" xfId="2" applyFont="1" applyFill="1" applyBorder="1" applyAlignment="1">
      <alignment horizontal="center" vertical="center"/>
    </xf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68" xfId="2" applyFont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1" fillId="0" borderId="7" xfId="2" applyFont="1" applyBorder="1" applyAlignment="1">
      <alignment horizontal="left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ADA535BE-532D-CF4B-A640-06CCFD32932F}">
    <text xml:space="preserve">Zona ingreso de datos SAP inicial
</text>
  </threadedComment>
  <threadedComment ref="A5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77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379"/>
      <c r="R1" s="38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1"/>
      <c r="C2" s="382"/>
      <c r="D2" s="498"/>
      <c r="E2" s="491"/>
      <c r="F2" s="502" t="s">
        <v>97</v>
      </c>
      <c r="G2" s="503"/>
      <c r="H2" s="490"/>
      <c r="I2" s="490"/>
      <c r="J2" s="490"/>
      <c r="K2" s="490"/>
      <c r="L2" s="490"/>
      <c r="M2" s="490"/>
      <c r="N2" s="490"/>
      <c r="O2" s="490"/>
      <c r="P2" s="490"/>
      <c r="Q2" s="504"/>
      <c r="R2" s="38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1"/>
      <c r="C3" s="382"/>
      <c r="D3" s="499"/>
      <c r="E3" s="500"/>
      <c r="F3" s="505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506"/>
      <c r="R3" s="38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1"/>
      <c r="C4" s="382"/>
      <c r="D4" s="499"/>
      <c r="E4" s="500"/>
      <c r="F4" s="507" t="s">
        <v>98</v>
      </c>
      <c r="G4" s="508"/>
      <c r="H4" s="509"/>
      <c r="I4" s="509"/>
      <c r="J4" s="509"/>
      <c r="K4" s="509"/>
      <c r="L4" s="510"/>
      <c r="M4" s="507" t="s">
        <v>99</v>
      </c>
      <c r="N4" s="508"/>
      <c r="O4" s="510"/>
      <c r="P4" s="512">
        <f ca="1">+Diagrama!C4</f>
        <v>45124</v>
      </c>
      <c r="Q4" s="513"/>
      <c r="R4" s="38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1"/>
      <c r="C5" s="382"/>
      <c r="D5" s="501"/>
      <c r="E5" s="497"/>
      <c r="F5" s="511"/>
      <c r="G5" s="496"/>
      <c r="H5" s="496"/>
      <c r="I5" s="496"/>
      <c r="J5" s="496"/>
      <c r="K5" s="496"/>
      <c r="L5" s="497"/>
      <c r="M5" s="511"/>
      <c r="N5" s="496"/>
      <c r="O5" s="497"/>
      <c r="P5" s="511"/>
      <c r="Q5" s="514"/>
      <c r="R5" s="38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1"/>
      <c r="C6" s="382"/>
      <c r="D6" s="385"/>
      <c r="E6" s="385"/>
      <c r="F6" s="385"/>
      <c r="G6" s="385"/>
      <c r="H6" s="385"/>
      <c r="I6" s="385"/>
      <c r="J6" s="385"/>
      <c r="K6" s="385"/>
      <c r="L6" s="385"/>
      <c r="M6" s="386"/>
      <c r="N6" s="386"/>
      <c r="O6" s="382"/>
      <c r="P6" s="133"/>
      <c r="Q6" s="133"/>
      <c r="R6" s="38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87"/>
      <c r="C7" s="388"/>
      <c r="D7" s="489"/>
      <c r="E7" s="490"/>
      <c r="F7" s="491"/>
      <c r="G7" s="389" t="s">
        <v>100</v>
      </c>
      <c r="H7" s="389" t="s">
        <v>100</v>
      </c>
      <c r="I7" s="389" t="s">
        <v>101</v>
      </c>
      <c r="J7" s="390" t="s">
        <v>102</v>
      </c>
      <c r="K7" s="495"/>
      <c r="L7" s="490"/>
      <c r="M7" s="491"/>
      <c r="N7" s="389" t="s">
        <v>100</v>
      </c>
      <c r="O7" s="389" t="s">
        <v>100</v>
      </c>
      <c r="P7" s="389" t="s">
        <v>101</v>
      </c>
      <c r="Q7" s="390" t="s">
        <v>102</v>
      </c>
      <c r="R7" s="38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87"/>
      <c r="C8" s="388"/>
      <c r="D8" s="492"/>
      <c r="E8" s="493"/>
      <c r="F8" s="494"/>
      <c r="G8" s="392" t="s">
        <v>277</v>
      </c>
      <c r="H8" s="392" t="s">
        <v>40</v>
      </c>
      <c r="I8" s="392" t="s">
        <v>103</v>
      </c>
      <c r="J8" s="393" t="s">
        <v>41</v>
      </c>
      <c r="K8" s="496"/>
      <c r="L8" s="496"/>
      <c r="M8" s="497"/>
      <c r="N8" s="392" t="s">
        <v>277</v>
      </c>
      <c r="O8" s="392" t="s">
        <v>40</v>
      </c>
      <c r="P8" s="392" t="s">
        <v>103</v>
      </c>
      <c r="Q8" s="393" t="s">
        <v>41</v>
      </c>
      <c r="R8" s="38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87"/>
      <c r="C9" s="388"/>
      <c r="D9" s="515" t="s">
        <v>68</v>
      </c>
      <c r="E9" s="516"/>
      <c r="F9" s="516"/>
      <c r="G9" s="516"/>
      <c r="H9" s="516"/>
      <c r="I9" s="516"/>
      <c r="J9" s="517"/>
      <c r="K9" s="521" t="s">
        <v>104</v>
      </c>
      <c r="L9" s="490"/>
      <c r="M9" s="490"/>
      <c r="N9" s="490"/>
      <c r="O9" s="490"/>
      <c r="P9" s="490"/>
      <c r="Q9" s="504"/>
      <c r="R9" s="38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87"/>
      <c r="C10" s="388" t="s">
        <v>105</v>
      </c>
      <c r="D10" s="522" t="s">
        <v>106</v>
      </c>
      <c r="E10" s="523"/>
      <c r="F10" s="524"/>
      <c r="G10" s="394">
        <f>+Diagrama!J76</f>
        <v>562148</v>
      </c>
      <c r="H10" s="394">
        <f>+G10*(1-Diagrama!AE10)</f>
        <v>557257.31239999994</v>
      </c>
      <c r="I10" s="395">
        <f>+Diagrama!I26</f>
        <v>0.60058766826488896</v>
      </c>
      <c r="J10" s="396">
        <f>I10*H10</f>
        <v>334681.86987787473</v>
      </c>
      <c r="K10" s="525" t="s">
        <v>107</v>
      </c>
      <c r="L10" s="516"/>
      <c r="M10" s="526"/>
      <c r="N10" s="397">
        <f>+Diagrama!I72</f>
        <v>201173</v>
      </c>
      <c r="O10" s="397">
        <f>+Diagrama!H40</f>
        <v>183369.18950000001</v>
      </c>
      <c r="P10" s="398">
        <f>+Diagrama!H41</f>
        <v>0.68834294588788836</v>
      </c>
      <c r="Q10" s="396">
        <f t="shared" ref="Q10:Q13" si="0">P10*O10</f>
        <v>126220.88808550446</v>
      </c>
      <c r="R10" s="38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87"/>
      <c r="C11" s="388"/>
      <c r="D11" s="522" t="s">
        <v>108</v>
      </c>
      <c r="E11" s="523"/>
      <c r="F11" s="524"/>
      <c r="G11" s="399">
        <v>0</v>
      </c>
      <c r="H11" s="399">
        <v>0</v>
      </c>
      <c r="I11" s="400">
        <v>0</v>
      </c>
      <c r="J11" s="396">
        <f t="shared" ref="J11" si="1">I11*H11</f>
        <v>0</v>
      </c>
      <c r="K11" s="522" t="s">
        <v>109</v>
      </c>
      <c r="L11" s="523"/>
      <c r="M11" s="524"/>
      <c r="N11" s="394">
        <f>+Diagrama!I70</f>
        <v>272690</v>
      </c>
      <c r="O11" s="394">
        <f>+Diagrama!P49</f>
        <v>271326.55</v>
      </c>
      <c r="P11" s="395">
        <f>+Diagrama!P50</f>
        <v>0.65535413283291699</v>
      </c>
      <c r="Q11" s="396">
        <f>P11*O11</f>
        <v>177814.97588979709</v>
      </c>
      <c r="R11" s="38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87"/>
      <c r="C12" s="388"/>
      <c r="D12" s="522" t="s">
        <v>110</v>
      </c>
      <c r="E12" s="523"/>
      <c r="F12" s="524"/>
      <c r="G12" s="399">
        <v>0</v>
      </c>
      <c r="H12" s="399">
        <v>0</v>
      </c>
      <c r="I12" s="400">
        <v>0</v>
      </c>
      <c r="J12" s="396">
        <v>0</v>
      </c>
      <c r="K12" s="522" t="s">
        <v>111</v>
      </c>
      <c r="L12" s="523"/>
      <c r="M12" s="524"/>
      <c r="N12" s="394">
        <f>+Diagrama!I71</f>
        <v>12559</v>
      </c>
      <c r="O12" s="394">
        <f>+Diagrama!R36</f>
        <v>12496.205</v>
      </c>
      <c r="P12" s="395">
        <f>+Diagrama!R37</f>
        <v>0.65535413283291699</v>
      </c>
      <c r="Q12" s="396">
        <f t="shared" si="0"/>
        <v>8189.4395914773613</v>
      </c>
      <c r="R12" s="38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87"/>
      <c r="C13" s="388"/>
      <c r="D13" s="527" t="s">
        <v>112</v>
      </c>
      <c r="E13" s="528"/>
      <c r="F13" s="529"/>
      <c r="G13" s="399">
        <v>0</v>
      </c>
      <c r="H13" s="399">
        <v>0</v>
      </c>
      <c r="I13" s="400">
        <v>0</v>
      </c>
      <c r="J13" s="396">
        <v>0</v>
      </c>
      <c r="K13" s="402" t="s">
        <v>113</v>
      </c>
      <c r="L13" s="403"/>
      <c r="M13" s="404"/>
      <c r="N13" s="405">
        <f>+Diagrama!I77</f>
        <v>239033</v>
      </c>
      <c r="O13" s="405">
        <f>+Diagrama!I77*(1-'Datos Extra'!D3)</f>
        <v>236547.05680000002</v>
      </c>
      <c r="P13" s="395">
        <f>+Diagrama!H5</f>
        <v>0.62970000000000004</v>
      </c>
      <c r="Q13" s="396">
        <f t="shared" si="0"/>
        <v>148953.68166696001</v>
      </c>
      <c r="R13" s="383"/>
      <c r="S13" s="133"/>
      <c r="T13" s="40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87"/>
      <c r="C14" s="388" t="s">
        <v>114</v>
      </c>
      <c r="D14" s="530" t="s">
        <v>115</v>
      </c>
      <c r="E14" s="519"/>
      <c r="F14" s="531"/>
      <c r="G14" s="408">
        <f>SUM(G10:G13)</f>
        <v>562148</v>
      </c>
      <c r="H14" s="408">
        <f>SUM(H10:H13)</f>
        <v>557257.31239999994</v>
      </c>
      <c r="I14" s="409">
        <f>I10</f>
        <v>0.60058766826488896</v>
      </c>
      <c r="J14" s="408">
        <f>J10</f>
        <v>334681.86987787473</v>
      </c>
      <c r="K14" s="532" t="s">
        <v>115</v>
      </c>
      <c r="L14" s="519"/>
      <c r="M14" s="531"/>
      <c r="N14" s="408">
        <f>SUM(N10:N13)</f>
        <v>725455</v>
      </c>
      <c r="O14" s="408">
        <f>SUM(O10:O13)</f>
        <v>703739.00130000012</v>
      </c>
      <c r="P14" s="409">
        <f>+Q14/O14</f>
        <v>0.65532673957506127</v>
      </c>
      <c r="Q14" s="408">
        <f>+Q10+Q11+Q12+Q13</f>
        <v>461178.9852337389</v>
      </c>
      <c r="R14" s="383"/>
      <c r="S14" s="410"/>
      <c r="T14" s="40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87"/>
      <c r="C15" s="388"/>
      <c r="D15" s="515" t="s">
        <v>116</v>
      </c>
      <c r="E15" s="516"/>
      <c r="F15" s="516"/>
      <c r="G15" s="516"/>
      <c r="H15" s="516"/>
      <c r="I15" s="516"/>
      <c r="J15" s="517"/>
      <c r="K15" s="518" t="s">
        <v>117</v>
      </c>
      <c r="L15" s="519"/>
      <c r="M15" s="519"/>
      <c r="N15" s="519"/>
      <c r="O15" s="519"/>
      <c r="P15" s="519"/>
      <c r="Q15" s="520"/>
      <c r="R15" s="38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87"/>
      <c r="C16" s="388"/>
      <c r="D16" s="522" t="s">
        <v>118</v>
      </c>
      <c r="E16" s="523"/>
      <c r="F16" s="524"/>
      <c r="G16" s="399">
        <f>+Diagrama!J77</f>
        <v>176000</v>
      </c>
      <c r="H16" s="399">
        <f>+G16*(1-Diagrama!AE7)</f>
        <v>174709.25658207256</v>
      </c>
      <c r="I16" s="400">
        <f>+Diagrama!N5</f>
        <v>0.64370000000000005</v>
      </c>
      <c r="J16" s="396">
        <f t="shared" ref="J16:J20" si="2">I16*H16</f>
        <v>112460.34846188012</v>
      </c>
      <c r="K16" s="411" t="s">
        <v>119</v>
      </c>
      <c r="L16" s="411"/>
      <c r="M16" s="412"/>
      <c r="N16" s="394">
        <f>+O16</f>
        <v>80959.563825055302</v>
      </c>
      <c r="O16" s="394">
        <f>+Diagrama!J75</f>
        <v>80959.563825055302</v>
      </c>
      <c r="P16" s="395">
        <f>+Diagrama!F28</f>
        <v>8.3799220138465219E-2</v>
      </c>
      <c r="Q16" s="396">
        <f t="shared" ref="Q16:Q17" si="3">P16*O16</f>
        <v>6784.3483112899348</v>
      </c>
      <c r="R16" s="383"/>
      <c r="S16" s="41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87"/>
      <c r="C17" s="388"/>
      <c r="D17" s="522" t="s">
        <v>107</v>
      </c>
      <c r="E17" s="523"/>
      <c r="F17" s="524"/>
      <c r="G17" s="399">
        <f>+Diagrama!J72</f>
        <v>364334</v>
      </c>
      <c r="H17" s="399">
        <f>+G17*(1-Diagrama!AE16)</f>
        <v>332090.44099999999</v>
      </c>
      <c r="I17" s="400">
        <f>+Diagrama!C42</f>
        <v>0.68740042268907109</v>
      </c>
      <c r="J17" s="396">
        <f t="shared" si="2"/>
        <v>228279.10951440001</v>
      </c>
      <c r="K17" s="532" t="s">
        <v>115</v>
      </c>
      <c r="L17" s="519"/>
      <c r="M17" s="531"/>
      <c r="N17" s="414">
        <f>N16</f>
        <v>80959.563825055302</v>
      </c>
      <c r="O17" s="414">
        <f t="shared" ref="O17:P17" si="4">O16</f>
        <v>80959.563825055302</v>
      </c>
      <c r="P17" s="415">
        <f t="shared" si="4"/>
        <v>8.3799220138465219E-2</v>
      </c>
      <c r="Q17" s="416">
        <f t="shared" si="3"/>
        <v>6784.3483112899348</v>
      </c>
      <c r="R17" s="383"/>
      <c r="S17" s="41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87"/>
      <c r="C18" s="388"/>
      <c r="D18" s="522" t="s">
        <v>109</v>
      </c>
      <c r="E18" s="523"/>
      <c r="F18" s="524"/>
      <c r="G18" s="399">
        <f>+Diagrama!J70</f>
        <v>240611</v>
      </c>
      <c r="H18" s="399">
        <f>+G18*(1-Diagrama!AE26)</f>
        <v>239407.94500000001</v>
      </c>
      <c r="I18" s="400">
        <f>+Diagrama!M53</f>
        <v>0.65506562002568458</v>
      </c>
      <c r="J18" s="396">
        <f t="shared" si="2"/>
        <v>156827.91393049998</v>
      </c>
      <c r="K18" s="133"/>
      <c r="L18" s="133"/>
      <c r="M18" s="133"/>
      <c r="N18" s="133"/>
      <c r="O18" s="417"/>
      <c r="P18" s="418"/>
      <c r="Q18" s="418"/>
      <c r="R18" s="383"/>
      <c r="S18" s="41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87"/>
      <c r="C19" s="388"/>
      <c r="D19" s="522" t="s">
        <v>94</v>
      </c>
      <c r="E19" s="523"/>
      <c r="F19" s="524"/>
      <c r="G19" s="399">
        <v>0</v>
      </c>
      <c r="H19" s="399">
        <f>Diagrama!J78*(1-'Datos Extra'!D28)</f>
        <v>0</v>
      </c>
      <c r="I19" s="400" t="e">
        <f>+Diagrama!#REF!</f>
        <v>#REF!</v>
      </c>
      <c r="J19" s="396" t="e">
        <f t="shared" si="2"/>
        <v>#REF!</v>
      </c>
      <c r="K19" s="534"/>
      <c r="L19" s="535"/>
      <c r="M19" s="535"/>
      <c r="O19" s="419"/>
      <c r="P19" s="420"/>
      <c r="Q19" s="421"/>
      <c r="R19" s="38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87"/>
      <c r="C20" s="388"/>
      <c r="D20" s="522" t="s">
        <v>111</v>
      </c>
      <c r="E20" s="523"/>
      <c r="F20" s="524"/>
      <c r="G20" s="399">
        <v>0</v>
      </c>
      <c r="H20" s="399">
        <f>+Diagrama!J71*(1-'Datos Extra'!D32)</f>
        <v>0</v>
      </c>
      <c r="I20" s="400">
        <f>+Diagrama!T49</f>
        <v>0</v>
      </c>
      <c r="J20" s="396">
        <f t="shared" si="2"/>
        <v>0</v>
      </c>
      <c r="K20" s="536"/>
      <c r="L20" s="535"/>
      <c r="M20" s="535"/>
      <c r="O20" s="423"/>
      <c r="P20" s="424"/>
      <c r="Q20" s="425"/>
      <c r="R20" s="38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87"/>
      <c r="C21" s="388"/>
      <c r="D21" s="530" t="s">
        <v>115</v>
      </c>
      <c r="E21" s="519"/>
      <c r="F21" s="531"/>
      <c r="G21" s="408">
        <f>SUM(G16:G20)</f>
        <v>780945</v>
      </c>
      <c r="H21" s="408">
        <f>SUM(H16:H20)</f>
        <v>746207.64258207264</v>
      </c>
      <c r="I21" s="409" t="e">
        <f>SUMPRODUCT(H16:H20,I16:I20)/H21</f>
        <v>#REF!</v>
      </c>
      <c r="J21" s="408" t="e">
        <f>SUM(J16:J20)</f>
        <v>#REF!</v>
      </c>
      <c r="K21" s="536"/>
      <c r="L21" s="535"/>
      <c r="M21" s="535"/>
      <c r="O21" s="423"/>
      <c r="P21" s="424"/>
      <c r="Q21" s="425"/>
      <c r="R21" s="38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87"/>
      <c r="C22" s="388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3"/>
      <c r="P22" s="424"/>
      <c r="Q22" s="425"/>
      <c r="R22" s="38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87"/>
      <c r="C23" s="388"/>
      <c r="D23" s="537" t="s">
        <v>120</v>
      </c>
      <c r="E23" s="519"/>
      <c r="F23" s="531"/>
      <c r="G23" s="407"/>
      <c r="H23" s="427" t="s">
        <v>40</v>
      </c>
      <c r="I23" s="427" t="s">
        <v>103</v>
      </c>
      <c r="J23" s="428" t="s">
        <v>41</v>
      </c>
      <c r="K23" s="426" t="s">
        <v>121</v>
      </c>
      <c r="L23" s="429" t="s">
        <v>122</v>
      </c>
      <c r="M23" s="430"/>
      <c r="N23" s="430"/>
      <c r="O23" s="431"/>
      <c r="P23" s="430"/>
      <c r="Q23" s="430"/>
      <c r="R23" s="43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87"/>
      <c r="C24" s="388"/>
      <c r="D24" s="533" t="s">
        <v>123</v>
      </c>
      <c r="E24" s="493"/>
      <c r="F24" s="494"/>
      <c r="G24" s="391"/>
      <c r="H24" s="433"/>
      <c r="I24" s="434"/>
      <c r="J24" s="435"/>
      <c r="K24" s="436"/>
      <c r="L24" s="437"/>
      <c r="M24" s="438"/>
      <c r="N24" s="438"/>
      <c r="O24" s="439">
        <v>0.76</v>
      </c>
      <c r="P24" s="420"/>
      <c r="Q24" s="421"/>
      <c r="R24" s="383"/>
      <c r="S24" s="133"/>
      <c r="T24" s="133"/>
      <c r="U24" s="44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87"/>
      <c r="C25" s="388"/>
      <c r="D25" s="545" t="s">
        <v>124</v>
      </c>
      <c r="E25" s="523"/>
      <c r="F25" s="524"/>
      <c r="G25" s="384"/>
      <c r="H25" s="399"/>
      <c r="I25" s="400"/>
      <c r="J25" s="442"/>
      <c r="K25" s="436"/>
      <c r="L25" s="443"/>
      <c r="M25" s="438"/>
      <c r="N25" s="438"/>
      <c r="O25" s="439">
        <v>8.68</v>
      </c>
      <c r="P25" s="420"/>
      <c r="Q25" s="421"/>
      <c r="R25" s="383"/>
      <c r="S25" s="133"/>
      <c r="T25" s="133"/>
      <c r="U25" s="44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87"/>
      <c r="C26" s="388"/>
      <c r="D26" s="545" t="s">
        <v>125</v>
      </c>
      <c r="E26" s="523"/>
      <c r="F26" s="524"/>
      <c r="G26" s="384"/>
      <c r="H26" s="399"/>
      <c r="I26" s="400"/>
      <c r="J26" s="442"/>
      <c r="K26" s="436"/>
      <c r="L26" s="443"/>
      <c r="M26" s="438"/>
      <c r="N26" s="438"/>
      <c r="O26" s="439">
        <v>0.76</v>
      </c>
      <c r="P26" s="420"/>
      <c r="Q26" s="421"/>
      <c r="R26" s="383"/>
      <c r="S26" s="133"/>
      <c r="T26" s="133"/>
      <c r="U26" s="44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87"/>
      <c r="C27" s="388"/>
      <c r="D27" s="545" t="s">
        <v>126</v>
      </c>
      <c r="E27" s="523"/>
      <c r="F27" s="524"/>
      <c r="G27" s="384"/>
      <c r="H27" s="399"/>
      <c r="I27" s="400"/>
      <c r="J27" s="442"/>
      <c r="K27" s="436"/>
      <c r="L27" s="443"/>
      <c r="M27" s="438"/>
      <c r="N27" s="438"/>
      <c r="O27" s="439">
        <v>8.39</v>
      </c>
      <c r="P27" s="420"/>
      <c r="Q27" s="421"/>
      <c r="R27" s="383"/>
      <c r="S27" s="133"/>
      <c r="T27" s="133"/>
      <c r="U27" s="44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87"/>
      <c r="C28" s="388"/>
      <c r="D28" s="441" t="s">
        <v>127</v>
      </c>
      <c r="E28" s="444"/>
      <c r="F28" s="445"/>
      <c r="G28" s="446"/>
      <c r="H28" s="399"/>
      <c r="I28" s="400"/>
      <c r="J28" s="447"/>
      <c r="K28" s="448"/>
      <c r="L28" s="449"/>
      <c r="M28" s="438"/>
      <c r="N28" s="438"/>
      <c r="O28" s="439"/>
      <c r="P28" s="420"/>
      <c r="Q28" s="421"/>
      <c r="R28" s="383"/>
      <c r="S28" s="133"/>
      <c r="T28" s="133"/>
      <c r="U28" s="44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87"/>
      <c r="C29" s="388"/>
      <c r="D29" s="522" t="s">
        <v>128</v>
      </c>
      <c r="E29" s="523"/>
      <c r="F29" s="524"/>
      <c r="G29" s="384"/>
      <c r="H29" s="399"/>
      <c r="I29" s="400"/>
      <c r="J29" s="442"/>
      <c r="K29" s="436"/>
      <c r="L29" s="443"/>
      <c r="M29" s="438"/>
      <c r="N29" s="438"/>
      <c r="O29" s="439">
        <v>0.05</v>
      </c>
      <c r="P29" s="420"/>
      <c r="Q29" s="421"/>
      <c r="R29" s="383"/>
      <c r="S29" s="133"/>
      <c r="T29" s="133"/>
      <c r="U29" s="44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87"/>
      <c r="C30" s="388"/>
      <c r="D30" s="546" t="s">
        <v>129</v>
      </c>
      <c r="E30" s="528"/>
      <c r="F30" s="529"/>
      <c r="G30" s="401"/>
      <c r="H30" s="450"/>
      <c r="I30" s="451"/>
      <c r="J30" s="452"/>
      <c r="K30" s="436"/>
      <c r="L30" s="449"/>
      <c r="M30" s="438"/>
      <c r="N30" s="438"/>
      <c r="O30" s="439">
        <v>0.05</v>
      </c>
      <c r="P30" s="420"/>
      <c r="Q30" s="421"/>
      <c r="R30" s="383"/>
      <c r="S30" s="133"/>
      <c r="T30" s="133"/>
      <c r="U30" s="44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87"/>
      <c r="C31" s="388"/>
      <c r="D31" s="547" t="s">
        <v>115</v>
      </c>
      <c r="E31" s="519"/>
      <c r="F31" s="531"/>
      <c r="G31" s="407"/>
      <c r="H31" s="414">
        <v>0</v>
      </c>
      <c r="I31" s="415"/>
      <c r="J31" s="453">
        <v>0</v>
      </c>
      <c r="K31" s="454">
        <v>0</v>
      </c>
      <c r="L31" s="416">
        <v>0</v>
      </c>
      <c r="M31" s="430"/>
      <c r="N31" s="430"/>
      <c r="O31" s="425"/>
      <c r="P31" s="424"/>
      <c r="Q31" s="425"/>
      <c r="R31" s="383"/>
      <c r="S31" s="133"/>
      <c r="T31" s="133"/>
      <c r="U31" s="44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87"/>
      <c r="C32" s="133"/>
      <c r="D32" s="455"/>
      <c r="E32" s="133"/>
      <c r="F32" s="133"/>
      <c r="G32" s="133"/>
      <c r="H32" s="133"/>
      <c r="I32" s="456"/>
      <c r="J32" s="456"/>
      <c r="K32" s="456"/>
      <c r="L32" s="457"/>
      <c r="M32" s="456"/>
      <c r="N32" s="456"/>
      <c r="O32" s="133"/>
      <c r="P32" s="458"/>
      <c r="Q32" s="133"/>
      <c r="R32" s="38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87"/>
      <c r="C33" s="133"/>
      <c r="D33" s="548" t="s">
        <v>130</v>
      </c>
      <c r="E33" s="519"/>
      <c r="F33" s="519"/>
      <c r="G33" s="519"/>
      <c r="H33" s="519"/>
      <c r="I33" s="519"/>
      <c r="J33" s="519"/>
      <c r="K33" s="519"/>
      <c r="L33" s="519"/>
      <c r="M33" s="519"/>
      <c r="N33" s="519"/>
      <c r="O33" s="519"/>
      <c r="P33" s="519"/>
      <c r="Q33" s="520"/>
      <c r="R33" s="38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8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87"/>
      <c r="C35" s="133"/>
      <c r="D35" s="549" t="s">
        <v>131</v>
      </c>
      <c r="E35" s="519"/>
      <c r="F35" s="520"/>
      <c r="G35" s="459"/>
      <c r="H35" s="550"/>
      <c r="I35" s="551"/>
      <c r="J35" s="133"/>
      <c r="K35" s="549" t="s">
        <v>132</v>
      </c>
      <c r="L35" s="519"/>
      <c r="M35" s="520"/>
      <c r="N35" s="459"/>
      <c r="O35" s="550"/>
      <c r="P35" s="551"/>
      <c r="Q35" s="133"/>
      <c r="R35" s="38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87"/>
      <c r="C36" s="133"/>
      <c r="D36" s="538">
        <f>+Diagrama!O19</f>
        <v>0.86635997358641803</v>
      </c>
      <c r="E36" s="490"/>
      <c r="F36" s="504"/>
      <c r="G36" s="459"/>
      <c r="H36" s="460"/>
      <c r="I36" s="461"/>
      <c r="J36" s="133"/>
      <c r="K36" s="539">
        <f>+Diagrama!O21</f>
        <v>0.99336272867831332</v>
      </c>
      <c r="L36" s="540"/>
      <c r="M36" s="541"/>
      <c r="N36" s="462"/>
      <c r="O36" s="461"/>
      <c r="P36" s="461"/>
      <c r="Q36" s="133"/>
      <c r="R36" s="38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87"/>
      <c r="C37" s="133"/>
      <c r="D37" s="501"/>
      <c r="E37" s="496"/>
      <c r="F37" s="514"/>
      <c r="G37" s="459"/>
      <c r="H37" s="463"/>
      <c r="I37" s="464"/>
      <c r="J37" s="133"/>
      <c r="K37" s="542"/>
      <c r="L37" s="543"/>
      <c r="M37" s="544"/>
      <c r="N37" s="462"/>
      <c r="O37" s="465"/>
      <c r="P37" s="464"/>
      <c r="Q37" s="133"/>
      <c r="R37" s="38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87"/>
      <c r="C38" s="133"/>
      <c r="D38" s="466"/>
      <c r="E38" s="466"/>
      <c r="F38" s="466"/>
      <c r="G38" s="466"/>
      <c r="H38" s="467"/>
      <c r="I38" s="468"/>
      <c r="J38" s="133"/>
      <c r="K38" s="466"/>
      <c r="L38" s="466"/>
      <c r="M38" s="466"/>
      <c r="N38" s="466"/>
      <c r="O38" s="469"/>
      <c r="P38" s="470"/>
      <c r="Q38" s="133"/>
      <c r="R38" s="38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1"/>
      <c r="C39" s="472"/>
      <c r="D39" s="472"/>
      <c r="E39" s="472"/>
      <c r="F39" s="472"/>
      <c r="G39" s="472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2" t="s">
        <v>45</v>
      </c>
      <c r="K44" s="553"/>
      <c r="M44" s="554" t="s">
        <v>46</v>
      </c>
      <c r="N44" s="555"/>
      <c r="O44" s="556"/>
      <c r="R44" s="557" t="s">
        <v>47</v>
      </c>
      <c r="S44" s="553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8" t="s">
        <v>59</v>
      </c>
      <c r="K71" s="553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7" t="s">
        <v>63</v>
      </c>
      <c r="Q7" s="553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7" t="s">
        <v>20</v>
      </c>
      <c r="Q10" s="553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8" t="s">
        <v>66</v>
      </c>
      <c r="Q13" s="553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6" t="s">
        <v>68</v>
      </c>
      <c r="F44" s="561"/>
      <c r="G44" s="564"/>
      <c r="H44" s="566" t="s">
        <v>69</v>
      </c>
      <c r="I44" s="561"/>
      <c r="J44" s="553"/>
      <c r="K44" s="569" t="s">
        <v>70</v>
      </c>
      <c r="L44" s="561"/>
      <c r="M44" s="561"/>
      <c r="N44" s="553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0" t="s">
        <v>72</v>
      </c>
      <c r="I45" s="553"/>
      <c r="J45" s="27">
        <f>+E7</f>
        <v>1770.5761999999995</v>
      </c>
      <c r="K45" s="560" t="s">
        <v>73</v>
      </c>
      <c r="L45" s="561"/>
      <c r="M45" s="553"/>
      <c r="N45" s="27">
        <f>+C8</f>
        <v>12961.629000000001</v>
      </c>
    </row>
    <row r="46" spans="2:20" ht="15.75" customHeight="1" x14ac:dyDescent="0.2">
      <c r="E46" s="558"/>
      <c r="F46" s="553"/>
      <c r="G46" s="16"/>
      <c r="H46" s="560" t="s">
        <v>74</v>
      </c>
      <c r="I46" s="553"/>
      <c r="J46" s="27">
        <f>+J19</f>
        <v>44584.890479986498</v>
      </c>
      <c r="K46" s="560" t="s">
        <v>75</v>
      </c>
      <c r="L46" s="561"/>
      <c r="M46" s="553"/>
      <c r="N46" s="27">
        <f>+C28</f>
        <v>16162.331</v>
      </c>
    </row>
    <row r="47" spans="2:20" ht="15.75" customHeight="1" x14ac:dyDescent="0.2">
      <c r="E47" s="558"/>
      <c r="F47" s="553"/>
      <c r="G47" s="16"/>
      <c r="H47" s="560" t="s">
        <v>76</v>
      </c>
      <c r="I47" s="553"/>
      <c r="J47" s="27">
        <f>+G27</f>
        <v>-359512.14169349719</v>
      </c>
      <c r="K47" s="560" t="s">
        <v>77</v>
      </c>
      <c r="L47" s="561"/>
      <c r="M47" s="553"/>
      <c r="N47" s="27">
        <f>+S36</f>
        <v>19130.865000000002</v>
      </c>
    </row>
    <row r="48" spans="2:20" ht="15.75" customHeight="1" x14ac:dyDescent="0.2">
      <c r="E48" s="558"/>
      <c r="F48" s="553"/>
      <c r="G48" s="16"/>
      <c r="H48" s="77" t="s">
        <v>78</v>
      </c>
      <c r="I48" s="77"/>
      <c r="J48" s="27">
        <f>+O20</f>
        <v>-14174.322317347061</v>
      </c>
      <c r="K48" s="560" t="s">
        <v>79</v>
      </c>
      <c r="L48" s="561"/>
      <c r="M48" s="553"/>
      <c r="N48" s="27">
        <f>+S28</f>
        <v>108284.65870939114</v>
      </c>
    </row>
    <row r="49" spans="5:14" ht="15.75" customHeight="1" x14ac:dyDescent="0.2">
      <c r="E49" s="558"/>
      <c r="F49" s="553"/>
      <c r="G49" s="16"/>
      <c r="H49" s="560" t="s">
        <v>80</v>
      </c>
      <c r="I49" s="553"/>
      <c r="J49" s="27">
        <f>+P40</f>
        <v>-311.60807004405433</v>
      </c>
      <c r="K49" s="560" t="s">
        <v>81</v>
      </c>
      <c r="L49" s="561"/>
      <c r="M49" s="553"/>
      <c r="N49" s="27">
        <f>+G36</f>
        <v>673884.94200000004</v>
      </c>
    </row>
    <row r="50" spans="5:14" ht="15.75" customHeight="1" x14ac:dyDescent="0.25">
      <c r="E50" s="563" t="s">
        <v>82</v>
      </c>
      <c r="F50" s="553"/>
      <c r="G50" s="78">
        <f>+G45</f>
        <v>502781.82030850503</v>
      </c>
      <c r="H50" s="559" t="s">
        <v>83</v>
      </c>
      <c r="I50" s="553"/>
      <c r="J50" s="79">
        <f>+SUM(J45:J49)</f>
        <v>-327642.60540090181</v>
      </c>
      <c r="K50" s="559" t="s">
        <v>84</v>
      </c>
      <c r="L50" s="561"/>
      <c r="M50" s="553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2" t="s">
        <v>68</v>
      </c>
      <c r="F55" s="561"/>
      <c r="G55" s="564"/>
      <c r="H55" s="562" t="s">
        <v>69</v>
      </c>
      <c r="I55" s="561"/>
      <c r="J55" s="553"/>
      <c r="K55" s="565" t="s">
        <v>70</v>
      </c>
      <c r="L55" s="561"/>
      <c r="M55" s="561"/>
      <c r="N55" s="553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0" t="s">
        <v>72</v>
      </c>
      <c r="I56" s="553"/>
      <c r="J56" s="27" t="e">
        <f>+'Bal Los Colorados'!O49*'Bal Los Colorados'!G49</f>
        <v>#REF!</v>
      </c>
      <c r="K56" s="560" t="s">
        <v>73</v>
      </c>
      <c r="L56" s="561"/>
      <c r="M56" s="553"/>
      <c r="N56" s="27">
        <f>+C10</f>
        <v>7704.8210577451482</v>
      </c>
    </row>
    <row r="57" spans="5:14" ht="15.75" customHeight="1" x14ac:dyDescent="0.2">
      <c r="E57" s="558"/>
      <c r="F57" s="553"/>
      <c r="G57" s="16"/>
      <c r="H57" s="560" t="s">
        <v>74</v>
      </c>
      <c r="I57" s="553"/>
      <c r="J57" s="27" t="e">
        <f>+'Bal Los Colorados'!O53*'Bal Los Colorados'!G53</f>
        <v>#REF!</v>
      </c>
      <c r="K57" s="560" t="s">
        <v>75</v>
      </c>
      <c r="L57" s="561"/>
      <c r="M57" s="553"/>
      <c r="N57" s="27">
        <f>+C30</f>
        <v>9675.4587302503223</v>
      </c>
    </row>
    <row r="58" spans="5:14" ht="15.75" customHeight="1" x14ac:dyDescent="0.2">
      <c r="E58" s="558"/>
      <c r="F58" s="553"/>
      <c r="G58" s="16"/>
      <c r="H58" s="560" t="s">
        <v>76</v>
      </c>
      <c r="I58" s="553"/>
      <c r="J58" s="27" t="e">
        <f>+'Bal Los Colorados'!O56*'Bal Los Colorados'!G56</f>
        <v>#REF!</v>
      </c>
      <c r="K58" s="560" t="s">
        <v>77</v>
      </c>
      <c r="L58" s="561"/>
      <c r="M58" s="553"/>
      <c r="N58" s="27">
        <f>+S38</f>
        <v>7620.3234035700007</v>
      </c>
    </row>
    <row r="59" spans="5:14" ht="15.75" customHeight="1" x14ac:dyDescent="0.2">
      <c r="E59" s="558"/>
      <c r="F59" s="553"/>
      <c r="G59" s="16"/>
      <c r="H59" s="77" t="s">
        <v>78</v>
      </c>
      <c r="I59" s="77"/>
      <c r="J59" s="27" t="e">
        <f>+'Bal Los Colorados'!O62*'Bal Los Colorados'!G62</f>
        <v>#REF!</v>
      </c>
      <c r="K59" s="560" t="s">
        <v>79</v>
      </c>
      <c r="L59" s="561"/>
      <c r="M59" s="553"/>
      <c r="N59" s="27">
        <f>+S30</f>
        <v>14049.347154701374</v>
      </c>
    </row>
    <row r="60" spans="5:14" ht="15.75" customHeight="1" x14ac:dyDescent="0.2">
      <c r="E60" s="558"/>
      <c r="F60" s="553"/>
      <c r="G60" s="16"/>
      <c r="H60" s="560" t="s">
        <v>80</v>
      </c>
      <c r="I60" s="553"/>
      <c r="J60" s="27" t="e">
        <f>+'Bal Los Colorados'!O67*'Bal Los Colorados'!G67</f>
        <v>#REF!</v>
      </c>
      <c r="K60" s="560" t="s">
        <v>81</v>
      </c>
      <c r="L60" s="561"/>
      <c r="M60" s="553"/>
      <c r="N60" s="27">
        <f>+G38</f>
        <v>410848.95586592209</v>
      </c>
    </row>
    <row r="61" spans="5:14" ht="15.75" customHeight="1" x14ac:dyDescent="0.25">
      <c r="E61" s="563" t="s">
        <v>82</v>
      </c>
      <c r="F61" s="553"/>
      <c r="G61" s="78">
        <f>+G56</f>
        <v>231983.78607040126</v>
      </c>
      <c r="H61" s="559" t="s">
        <v>83</v>
      </c>
      <c r="I61" s="553"/>
      <c r="J61" s="79" t="e">
        <f>+SUM(J56:J60)</f>
        <v>#REF!</v>
      </c>
      <c r="K61" s="559" t="s">
        <v>84</v>
      </c>
      <c r="L61" s="561"/>
      <c r="M61" s="553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21" workbookViewId="0">
      <selection activeCell="A34" sqref="A34:A43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85" t="s">
        <v>171</v>
      </c>
      <c r="B1" s="482"/>
      <c r="C1" s="483"/>
      <c r="D1" s="484">
        <v>8.2565315053515272E-3</v>
      </c>
      <c r="E1" s="324"/>
      <c r="F1" s="341"/>
    </row>
    <row r="2" spans="1:6" ht="24" x14ac:dyDescent="0.3">
      <c r="A2" s="342" t="s">
        <v>172</v>
      </c>
      <c r="B2" s="343"/>
      <c r="C2" s="342"/>
      <c r="D2" s="344">
        <v>7.3337694200423E-3</v>
      </c>
      <c r="E2" s="324"/>
      <c r="F2" s="341"/>
    </row>
    <row r="3" spans="1:6" ht="24" x14ac:dyDescent="0.3">
      <c r="A3" s="342" t="s">
        <v>173</v>
      </c>
      <c r="B3" s="343"/>
      <c r="C3" s="342"/>
      <c r="D3" s="344">
        <v>1.04E-2</v>
      </c>
      <c r="E3" s="324"/>
      <c r="F3" s="326"/>
    </row>
    <row r="4" spans="1:6" ht="24" x14ac:dyDescent="0.3">
      <c r="A4" s="342" t="s">
        <v>175</v>
      </c>
      <c r="B4" s="343"/>
      <c r="C4" s="342"/>
      <c r="D4" s="344">
        <v>8.6564242834441009E-3</v>
      </c>
      <c r="E4" s="324"/>
      <c r="F4" s="324"/>
    </row>
    <row r="5" spans="1:6" ht="24" x14ac:dyDescent="0.3">
      <c r="A5" s="342" t="s">
        <v>139</v>
      </c>
      <c r="B5" s="343"/>
      <c r="C5" s="342"/>
      <c r="D5" s="344">
        <v>8.6999999999999994E-3</v>
      </c>
      <c r="E5" s="324"/>
      <c r="F5" s="324"/>
    </row>
    <row r="6" spans="1:6" ht="24" x14ac:dyDescent="0.3">
      <c r="A6" s="342" t="s">
        <v>8</v>
      </c>
      <c r="B6" s="343"/>
      <c r="C6" s="342"/>
      <c r="D6" s="344">
        <v>8.6E-3</v>
      </c>
    </row>
    <row r="7" spans="1:6" ht="24" x14ac:dyDescent="0.3">
      <c r="A7" s="342" t="s">
        <v>140</v>
      </c>
      <c r="B7" s="343"/>
      <c r="C7" s="342"/>
      <c r="D7" s="344">
        <v>7.6E-3</v>
      </c>
    </row>
    <row r="8" spans="1:6" ht="24" x14ac:dyDescent="0.3">
      <c r="A8" s="342" t="s">
        <v>87</v>
      </c>
      <c r="B8" s="343"/>
      <c r="C8" s="342"/>
      <c r="D8" s="344">
        <v>0</v>
      </c>
    </row>
    <row r="9" spans="1:6" ht="24" x14ac:dyDescent="0.3">
      <c r="A9" s="342" t="s">
        <v>141</v>
      </c>
      <c r="B9" s="343"/>
      <c r="C9" s="342"/>
      <c r="D9" s="344">
        <v>0.11174159282958218</v>
      </c>
    </row>
    <row r="10" spans="1:6" ht="24" x14ac:dyDescent="0.3">
      <c r="A10" s="342" t="s">
        <v>142</v>
      </c>
      <c r="B10" s="343"/>
      <c r="C10" s="342"/>
      <c r="D10" s="344">
        <v>9.8900000000000002E-2</v>
      </c>
    </row>
    <row r="11" spans="1:6" ht="24" x14ac:dyDescent="0.3">
      <c r="A11" s="342" t="s">
        <v>181</v>
      </c>
      <c r="B11" s="343"/>
      <c r="C11" s="342"/>
      <c r="D11" s="344">
        <v>8.8499999999999995E-2</v>
      </c>
    </row>
    <row r="12" spans="1:6" ht="24" x14ac:dyDescent="0.3">
      <c r="A12" s="342" t="s">
        <v>183</v>
      </c>
      <c r="B12" s="343"/>
      <c r="C12" s="342"/>
      <c r="D12" s="344">
        <v>0</v>
      </c>
    </row>
    <row r="13" spans="1:6" ht="24" x14ac:dyDescent="0.3">
      <c r="A13" s="342" t="s">
        <v>143</v>
      </c>
      <c r="B13" s="343"/>
      <c r="C13" s="342"/>
      <c r="D13" s="344">
        <v>0</v>
      </c>
    </row>
    <row r="14" spans="1:6" ht="24" x14ac:dyDescent="0.3">
      <c r="A14" s="342" t="s">
        <v>189</v>
      </c>
      <c r="B14" s="343"/>
      <c r="C14" s="342"/>
      <c r="D14" s="344">
        <v>8.8099999999999998E-2</v>
      </c>
    </row>
    <row r="15" spans="1:6" ht="24" x14ac:dyDescent="0.3">
      <c r="A15" s="342" t="s">
        <v>194</v>
      </c>
      <c r="B15" s="343"/>
      <c r="C15" s="342"/>
      <c r="D15" s="344">
        <v>2E-3</v>
      </c>
    </row>
    <row r="16" spans="1:6" ht="24" x14ac:dyDescent="0.3">
      <c r="A16" s="342" t="s">
        <v>198</v>
      </c>
      <c r="B16" s="343"/>
      <c r="C16" s="342"/>
      <c r="D16" s="344">
        <v>0.17672850168632548</v>
      </c>
    </row>
    <row r="17" spans="1:4" ht="24" x14ac:dyDescent="0.3">
      <c r="A17" s="342" t="s">
        <v>144</v>
      </c>
      <c r="B17" s="343"/>
      <c r="C17" s="342"/>
      <c r="D17" s="344">
        <v>5.0000000000000001E-3</v>
      </c>
    </row>
    <row r="18" spans="1:4" ht="24" x14ac:dyDescent="0.3">
      <c r="A18" s="342" t="s">
        <v>145</v>
      </c>
      <c r="B18" s="343"/>
      <c r="C18" s="342"/>
      <c r="D18" s="344">
        <v>5.1612903225806139E-3</v>
      </c>
    </row>
    <row r="19" spans="1:4" ht="24" x14ac:dyDescent="0.3">
      <c r="A19" s="342" t="s">
        <v>146</v>
      </c>
      <c r="B19" s="343"/>
      <c r="C19" s="342"/>
      <c r="D19" s="344">
        <v>4.9999999999998934E-3</v>
      </c>
    </row>
    <row r="20" spans="1:4" ht="24" x14ac:dyDescent="0.3">
      <c r="A20" s="342" t="s">
        <v>147</v>
      </c>
      <c r="B20" s="343"/>
      <c r="C20" s="342"/>
      <c r="D20" s="344">
        <v>5.0000000000000001E-3</v>
      </c>
    </row>
    <row r="21" spans="1:4" ht="24" x14ac:dyDescent="0.3">
      <c r="A21" s="342" t="s">
        <v>148</v>
      </c>
      <c r="B21" s="343"/>
      <c r="C21" s="342"/>
      <c r="D21" s="344">
        <v>5.0000000000000001E-3</v>
      </c>
    </row>
    <row r="22" spans="1:4" ht="24" x14ac:dyDescent="0.3">
      <c r="A22" s="342" t="s">
        <v>10</v>
      </c>
      <c r="B22" s="343"/>
      <c r="C22" s="342"/>
      <c r="D22" s="344">
        <v>5.0000000000000001E-3</v>
      </c>
    </row>
    <row r="23" spans="1:4" ht="24" x14ac:dyDescent="0.3">
      <c r="A23" s="342" t="s">
        <v>207</v>
      </c>
      <c r="B23" s="343"/>
      <c r="C23" s="342"/>
      <c r="D23" s="344">
        <v>1.0609981671660898E-2</v>
      </c>
    </row>
    <row r="24" spans="1:4" ht="24" x14ac:dyDescent="0.3">
      <c r="A24" s="342" t="s">
        <v>92</v>
      </c>
      <c r="B24" s="343">
        <v>9561.2951012849808</v>
      </c>
      <c r="C24" s="342">
        <v>9482.3519670492587</v>
      </c>
      <c r="D24" s="344">
        <v>8.2565315053515272E-3</v>
      </c>
    </row>
    <row r="25" spans="1:4" ht="24" x14ac:dyDescent="0.3">
      <c r="A25" s="345" t="s">
        <v>93</v>
      </c>
      <c r="B25" s="343">
        <v>206592.68611022949</v>
      </c>
      <c r="C25" s="346">
        <v>205077.58298642989</v>
      </c>
      <c r="D25" s="347">
        <v>7.3337694200423E-3</v>
      </c>
    </row>
    <row r="26" spans="1:4" ht="24" x14ac:dyDescent="0.3">
      <c r="A26" s="345" t="s">
        <v>174</v>
      </c>
      <c r="B26" s="343">
        <v>550</v>
      </c>
      <c r="C26" s="346">
        <v>545.27</v>
      </c>
      <c r="D26" s="347">
        <v>8.6E-3</v>
      </c>
    </row>
    <row r="27" spans="1:4" ht="24" x14ac:dyDescent="0.3">
      <c r="A27" s="345" t="s">
        <v>176</v>
      </c>
      <c r="B27" s="343">
        <v>1440</v>
      </c>
      <c r="C27" s="346">
        <v>1440</v>
      </c>
      <c r="D27" s="347">
        <v>0</v>
      </c>
    </row>
    <row r="28" spans="1:4" ht="24" x14ac:dyDescent="0.3">
      <c r="A28" s="345" t="s">
        <v>107</v>
      </c>
      <c r="B28" s="343">
        <v>218541.48310889813</v>
      </c>
      <c r="C28" s="346">
        <v>199200.56185376065</v>
      </c>
      <c r="D28" s="347">
        <v>8.8499999999999995E-2</v>
      </c>
    </row>
    <row r="29" spans="1:4" ht="24" x14ac:dyDescent="0.3">
      <c r="A29" s="345" t="s">
        <v>177</v>
      </c>
      <c r="B29" s="343">
        <v>0</v>
      </c>
      <c r="C29" s="346">
        <v>0</v>
      </c>
      <c r="D29" s="347">
        <v>0</v>
      </c>
    </row>
    <row r="30" spans="1:4" ht="24" x14ac:dyDescent="0.3">
      <c r="A30" s="345" t="s">
        <v>109</v>
      </c>
      <c r="B30" s="343">
        <v>233821</v>
      </c>
      <c r="C30" s="346">
        <v>232651.89499999999</v>
      </c>
      <c r="D30" s="347">
        <v>5.0000000000000001E-3</v>
      </c>
    </row>
    <row r="31" spans="1:4" ht="24" x14ac:dyDescent="0.3">
      <c r="A31" s="345" t="s">
        <v>178</v>
      </c>
      <c r="B31" s="343">
        <v>99746</v>
      </c>
      <c r="C31" s="346">
        <v>99247.27</v>
      </c>
      <c r="D31" s="347">
        <v>5.0000000000000001E-3</v>
      </c>
    </row>
    <row r="32" spans="1:4" ht="24" x14ac:dyDescent="0.3">
      <c r="A32" s="345" t="s">
        <v>179</v>
      </c>
      <c r="B32" s="343">
        <v>0</v>
      </c>
      <c r="C32" s="346">
        <v>0</v>
      </c>
      <c r="D32" s="347">
        <v>3.5000000000000003E-2</v>
      </c>
    </row>
    <row r="33" spans="1:4" ht="24" x14ac:dyDescent="0.3">
      <c r="A33" s="345" t="s">
        <v>180</v>
      </c>
      <c r="B33" s="343">
        <v>0</v>
      </c>
      <c r="C33" s="346">
        <v>0</v>
      </c>
      <c r="D33" s="347">
        <v>0</v>
      </c>
    </row>
    <row r="34" spans="1:4" ht="24" x14ac:dyDescent="0.3">
      <c r="A34" s="488" t="s">
        <v>282</v>
      </c>
      <c r="B34" s="482">
        <v>3994</v>
      </c>
      <c r="C34" s="482">
        <v>9561.2951012849808</v>
      </c>
      <c r="D34" s="482"/>
    </row>
    <row r="35" spans="1:4" ht="24" x14ac:dyDescent="0.3">
      <c r="A35" s="488" t="s">
        <v>283</v>
      </c>
      <c r="B35" s="482">
        <v>138376</v>
      </c>
      <c r="C35" s="482">
        <v>206592.68611022949</v>
      </c>
      <c r="D35" s="482"/>
    </row>
    <row r="36" spans="1:4" ht="24" x14ac:dyDescent="0.3">
      <c r="A36" s="488" t="s">
        <v>284</v>
      </c>
      <c r="B36" s="482">
        <v>0</v>
      </c>
      <c r="C36" s="482">
        <v>550</v>
      </c>
      <c r="D36" s="482"/>
    </row>
    <row r="37" spans="1:4" ht="24" x14ac:dyDescent="0.3">
      <c r="A37" s="488" t="s">
        <v>285</v>
      </c>
      <c r="B37" s="482">
        <v>0</v>
      </c>
      <c r="C37" s="482">
        <v>1440</v>
      </c>
      <c r="D37" s="482"/>
    </row>
    <row r="38" spans="1:4" ht="24" x14ac:dyDescent="0.3">
      <c r="A38" s="488" t="s">
        <v>286</v>
      </c>
      <c r="B38" s="482">
        <v>379958.71425949404</v>
      </c>
      <c r="C38" s="482">
        <v>218541.48310889813</v>
      </c>
      <c r="D38" s="482"/>
    </row>
    <row r="39" spans="1:4" ht="24" x14ac:dyDescent="0.3">
      <c r="A39" s="488" t="s">
        <v>287</v>
      </c>
      <c r="B39" s="482">
        <v>0</v>
      </c>
      <c r="C39" s="482">
        <v>0</v>
      </c>
      <c r="D39" s="482"/>
    </row>
    <row r="40" spans="1:4" ht="24" x14ac:dyDescent="0.3">
      <c r="A40" s="488" t="s">
        <v>288</v>
      </c>
      <c r="B40" s="482">
        <v>201297</v>
      </c>
      <c r="C40" s="482">
        <v>233821</v>
      </c>
      <c r="D40" s="482"/>
    </row>
    <row r="41" spans="1:4" ht="24" x14ac:dyDescent="0.3">
      <c r="A41" s="488" t="s">
        <v>289</v>
      </c>
      <c r="B41" s="482">
        <v>86392.806834649571</v>
      </c>
      <c r="C41" s="482">
        <v>99746</v>
      </c>
      <c r="D41" s="482"/>
    </row>
    <row r="42" spans="1:4" ht="24" x14ac:dyDescent="0.3">
      <c r="A42" s="488" t="s">
        <v>290</v>
      </c>
      <c r="B42" s="482">
        <v>0</v>
      </c>
      <c r="C42" s="482">
        <v>0</v>
      </c>
      <c r="D42" s="482"/>
    </row>
    <row r="43" spans="1:4" ht="24" x14ac:dyDescent="0.3">
      <c r="A43" s="488" t="s">
        <v>291</v>
      </c>
      <c r="B43" s="482">
        <v>0</v>
      </c>
      <c r="C43" s="482">
        <v>0</v>
      </c>
      <c r="D43" s="482"/>
    </row>
    <row r="44" spans="1:4" ht="24" x14ac:dyDescent="0.3">
      <c r="A44" s="477" t="s">
        <v>158</v>
      </c>
      <c r="B44" s="481">
        <v>200437</v>
      </c>
      <c r="C44" s="478"/>
      <c r="D44" s="479"/>
    </row>
    <row r="45" spans="1:4" ht="24" x14ac:dyDescent="0.3">
      <c r="A45" s="350" t="s">
        <v>88</v>
      </c>
      <c r="B45" s="351">
        <v>88708</v>
      </c>
      <c r="C45" s="352"/>
      <c r="D45" s="352"/>
    </row>
    <row r="46" spans="1:4" ht="24" x14ac:dyDescent="0.3">
      <c r="A46" s="350" t="s">
        <v>89</v>
      </c>
      <c r="B46" s="351">
        <v>382282</v>
      </c>
      <c r="C46" s="352"/>
      <c r="D46" s="352"/>
    </row>
    <row r="47" spans="1:4" ht="24" x14ac:dyDescent="0.3">
      <c r="A47" s="350" t="s">
        <v>159</v>
      </c>
      <c r="B47" s="351"/>
      <c r="C47" s="352"/>
      <c r="D47" s="352"/>
    </row>
    <row r="48" spans="1:4" ht="24" x14ac:dyDescent="0.3">
      <c r="A48" s="350" t="s">
        <v>90</v>
      </c>
      <c r="B48" s="351"/>
      <c r="C48" s="352"/>
      <c r="D48" s="352"/>
    </row>
    <row r="49" spans="1:4" ht="24" x14ac:dyDescent="0.3">
      <c r="A49" s="350" t="s">
        <v>91</v>
      </c>
      <c r="B49" s="351"/>
      <c r="C49" s="352"/>
      <c r="D49" s="352"/>
    </row>
    <row r="50" spans="1:4" ht="24" x14ac:dyDescent="0.3">
      <c r="A50" s="350" t="s">
        <v>92</v>
      </c>
      <c r="B50" s="351">
        <v>8766</v>
      </c>
      <c r="C50" s="352"/>
      <c r="D50" s="352"/>
    </row>
    <row r="51" spans="1:4" ht="24" x14ac:dyDescent="0.3">
      <c r="A51" s="350" t="s">
        <v>93</v>
      </c>
      <c r="B51" s="351">
        <v>146083</v>
      </c>
      <c r="C51" s="352"/>
      <c r="D51" s="352"/>
    </row>
    <row r="52" spans="1:4" ht="24" x14ac:dyDescent="0.3">
      <c r="A52" s="350" t="s">
        <v>94</v>
      </c>
      <c r="B52" s="351">
        <v>0</v>
      </c>
      <c r="C52" s="352"/>
      <c r="D52" s="352"/>
    </row>
    <row r="53" spans="1:4" ht="24" x14ac:dyDescent="0.3">
      <c r="A53" s="350" t="s">
        <v>95</v>
      </c>
      <c r="B53" s="351">
        <v>27</v>
      </c>
      <c r="C53" s="352"/>
      <c r="D53" s="352"/>
    </row>
    <row r="54" spans="1:4" ht="24" x14ac:dyDescent="0.3">
      <c r="A54" s="350" t="s">
        <v>96</v>
      </c>
      <c r="B54" s="351">
        <v>25122</v>
      </c>
      <c r="C54" s="352"/>
      <c r="D54" s="352"/>
    </row>
    <row r="55" spans="1:4" ht="24" x14ac:dyDescent="0.3">
      <c r="A55" s="475" t="s">
        <v>254</v>
      </c>
      <c r="B55" s="476">
        <v>841140</v>
      </c>
      <c r="C55" s="359">
        <v>1</v>
      </c>
      <c r="D55" s="480">
        <v>2.65</v>
      </c>
    </row>
    <row r="56" spans="1:4" ht="24" x14ac:dyDescent="0.3">
      <c r="A56" s="353" t="s">
        <v>255</v>
      </c>
      <c r="B56" s="354">
        <v>841140</v>
      </c>
      <c r="C56" s="355">
        <v>1</v>
      </c>
      <c r="D56" s="356">
        <v>1.7937498607364257</v>
      </c>
    </row>
    <row r="57" spans="1:4" ht="24" x14ac:dyDescent="0.3">
      <c r="A57" s="357" t="s">
        <v>256</v>
      </c>
      <c r="B57" s="354">
        <v>799464</v>
      </c>
      <c r="C57" s="355">
        <v>0.85</v>
      </c>
      <c r="D57" s="358">
        <v>0.93275003802393297</v>
      </c>
    </row>
    <row r="58" spans="1:4" ht="24" x14ac:dyDescent="0.3">
      <c r="A58" s="353" t="s">
        <v>257</v>
      </c>
      <c r="B58" s="354">
        <v>309440</v>
      </c>
      <c r="C58" s="355">
        <v>0.15</v>
      </c>
      <c r="D58" s="358">
        <v>1.1554858656662388</v>
      </c>
    </row>
    <row r="59" spans="1:4" ht="24" x14ac:dyDescent="0.3">
      <c r="A59" s="353" t="s">
        <v>258</v>
      </c>
      <c r="B59" s="354">
        <v>719345</v>
      </c>
      <c r="C59" s="355">
        <v>1</v>
      </c>
      <c r="D59" s="358">
        <v>6.7708475606506466</v>
      </c>
    </row>
    <row r="60" spans="1:4" ht="15.75" customHeight="1" x14ac:dyDescent="0.3">
      <c r="A60" s="353" t="s">
        <v>260</v>
      </c>
      <c r="B60" s="354"/>
      <c r="C60" s="355"/>
      <c r="D60" s="358">
        <v>12.73464883638535</v>
      </c>
    </row>
    <row r="61" spans="1:4" ht="15.75" customHeight="1" x14ac:dyDescent="0.3">
      <c r="A61" s="353" t="s">
        <v>261</v>
      </c>
      <c r="B61" s="353"/>
      <c r="C61" s="359"/>
      <c r="D61" s="360">
        <v>20.331616421326252</v>
      </c>
    </row>
    <row r="62" spans="1:4" ht="15.75" customHeight="1" x14ac:dyDescent="0.3">
      <c r="A62" s="353" t="s">
        <v>262</v>
      </c>
      <c r="B62" s="353"/>
      <c r="C62" s="359"/>
      <c r="D62" s="360">
        <v>8.225477491060424</v>
      </c>
    </row>
    <row r="63" spans="1:4" ht="15.75" customHeight="1" x14ac:dyDescent="0.3">
      <c r="A63" s="353" t="s">
        <v>263</v>
      </c>
      <c r="B63" s="353"/>
      <c r="C63" s="359"/>
      <c r="D63" s="360">
        <v>2.7579753151123789</v>
      </c>
    </row>
    <row r="64" spans="1:4" ht="15.75" customHeight="1" x14ac:dyDescent="0.3">
      <c r="A64" s="353" t="s">
        <v>263</v>
      </c>
      <c r="B64" s="353"/>
      <c r="C64" s="359"/>
      <c r="D64" s="360">
        <v>2.7579753151123789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70"/>
      <c r="L65" s="571"/>
      <c r="M65" s="88"/>
      <c r="N65" s="572" t="s">
        <v>46</v>
      </c>
      <c r="O65" s="573"/>
      <c r="P65" s="571"/>
      <c r="Q65" s="93"/>
      <c r="R65" s="574"/>
      <c r="S65" s="575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6"/>
      <c r="L129" s="571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7" t="s">
        <v>134</v>
      </c>
      <c r="C2" s="578"/>
      <c r="D2" s="579"/>
      <c r="F2" s="577" t="s">
        <v>135</v>
      </c>
      <c r="G2" s="578"/>
      <c r="H2" s="579"/>
      <c r="J2" s="580" t="s">
        <v>136</v>
      </c>
      <c r="K2" s="553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C1" zoomScale="112" zoomScaleNormal="90" workbookViewId="0">
      <selection activeCell="F15" sqref="F1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45124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83" t="s">
        <v>269</v>
      </c>
      <c r="AE4" s="583"/>
      <c r="AF4" s="583"/>
      <c r="AG4" s="583"/>
      <c r="AH4" s="144"/>
      <c r="AI4" s="144"/>
      <c r="AL4" s="584"/>
      <c r="AM4" s="584"/>
      <c r="AN4" s="584"/>
      <c r="AO4" s="584"/>
      <c r="AP4" s="584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+('Datos Extra'!B35*(1-'Datos Extra'!D25)+AF7-AF8)+AF34+AF39+AF45</f>
        <v>200471.56941695124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1" t="s">
        <v>166</v>
      </c>
      <c r="AB5" s="585"/>
      <c r="AC5" s="582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86"/>
      <c r="AV5" s="586"/>
      <c r="AW5" s="586"/>
      <c r="AX5" s="586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4606.0135694786441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587" t="s">
        <v>171</v>
      </c>
      <c r="AB6" s="588"/>
      <c r="AC6" s="589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0"/>
      <c r="AM6" s="370"/>
      <c r="AN6" s="370"/>
      <c r="AO6" s="371"/>
      <c r="AP6" s="370"/>
      <c r="AQ6" s="370"/>
      <c r="AR6" s="370"/>
      <c r="AS6" s="361"/>
      <c r="AU6" s="362"/>
      <c r="AV6" s="362"/>
      <c r="AW6" s="362"/>
      <c r="AX6" s="362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90" t="s">
        <v>172</v>
      </c>
      <c r="AB7" s="591"/>
      <c r="AC7" s="592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0"/>
      <c r="AM7" s="370"/>
      <c r="AN7" s="370"/>
      <c r="AO7" s="371"/>
      <c r="AP7" s="370"/>
      <c r="AQ7" s="370"/>
      <c r="AR7" s="370"/>
      <c r="AS7" s="361"/>
      <c r="AT7" s="363"/>
      <c r="AU7" s="364"/>
      <c r="AV7" s="364"/>
      <c r="AW7" s="364"/>
      <c r="AX7" s="364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587" t="s">
        <v>173</v>
      </c>
      <c r="AB8" s="588"/>
      <c r="AC8" s="589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0"/>
      <c r="AM8" s="370"/>
      <c r="AN8" s="370"/>
      <c r="AO8" s="371"/>
      <c r="AP8" s="370"/>
      <c r="AQ8" s="370"/>
      <c r="AR8" s="370"/>
      <c r="AS8" s="361"/>
      <c r="AT8" s="363"/>
      <c r="AU8" s="364"/>
      <c r="AV8" s="364"/>
      <c r="AW8" s="364"/>
      <c r="AX8" s="364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90" t="s">
        <v>175</v>
      </c>
      <c r="AB9" s="591"/>
      <c r="AC9" s="592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0"/>
      <c r="AM9" s="370"/>
      <c r="AN9" s="370"/>
      <c r="AO9" s="371"/>
      <c r="AP9" s="370"/>
      <c r="AQ9" s="370"/>
      <c r="AR9" s="370"/>
      <c r="AS9" s="361"/>
      <c r="AT9" s="363"/>
      <c r="AU9" s="365"/>
      <c r="AV9" s="365"/>
      <c r="AW9" s="365"/>
      <c r="AX9" s="36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0"/>
      <c r="AM10" s="370"/>
      <c r="AN10" s="370"/>
      <c r="AO10" s="371"/>
      <c r="AP10" s="370"/>
      <c r="AQ10" s="370"/>
      <c r="AR10" s="370"/>
      <c r="AS10" s="361"/>
      <c r="AT10" s="366"/>
      <c r="AU10" s="367"/>
      <c r="AV10" s="367"/>
      <c r="AW10" s="367"/>
      <c r="AX10" s="36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0"/>
      <c r="AM11" s="370"/>
      <c r="AN11" s="370"/>
      <c r="AO11" s="371"/>
      <c r="AP11" s="370"/>
      <c r="AQ11" s="370"/>
      <c r="AR11" s="370"/>
      <c r="AS11" s="361"/>
      <c r="AT11" s="366"/>
      <c r="AU11" s="365"/>
      <c r="AV11" s="365"/>
      <c r="AW11" s="365"/>
      <c r="AX11" s="36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0"/>
      <c r="AM12" s="370"/>
      <c r="AN12" s="370"/>
      <c r="AO12" s="371"/>
      <c r="AP12" s="370"/>
      <c r="AQ12" s="370"/>
      <c r="AR12" s="370"/>
      <c r="AS12" s="361"/>
      <c r="AT12" s="366"/>
      <c r="AU12" s="36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0"/>
      <c r="AM13" s="370"/>
      <c r="AN13" s="370"/>
      <c r="AO13" s="371"/>
      <c r="AP13" s="370"/>
      <c r="AQ13" s="370"/>
      <c r="AR13" s="370"/>
      <c r="AS13" s="361"/>
      <c r="AT13" s="366"/>
      <c r="AU13" s="36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0"/>
      <c r="AM14" s="370"/>
      <c r="AN14" s="370"/>
      <c r="AO14" s="371"/>
      <c r="AP14" s="370"/>
      <c r="AQ14" s="370"/>
      <c r="AR14" s="370"/>
      <c r="AS14" s="361"/>
      <c r="AT14" s="366"/>
      <c r="AU14" s="586"/>
      <c r="AV14" s="586"/>
    </row>
    <row r="15" spans="2:50" ht="16" x14ac:dyDescent="0.2">
      <c r="B15" s="132"/>
      <c r="C15" s="133"/>
      <c r="D15" s="133"/>
      <c r="E15" s="173" t="s">
        <v>40</v>
      </c>
      <c r="F15" s="174">
        <f>+'Datos Extra'!B34*(1-'Datos Extra'!D24)+AF9-AF10</f>
        <v>31.049891544738784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0"/>
      <c r="AM15" s="370"/>
      <c r="AN15" s="372"/>
      <c r="AO15" s="371"/>
      <c r="AP15" s="370"/>
      <c r="AQ15" s="370"/>
      <c r="AR15" s="370"/>
      <c r="AS15" s="361"/>
      <c r="AT15" s="366"/>
      <c r="AU15" s="362"/>
      <c r="AV15" s="362"/>
    </row>
    <row r="16" spans="2:50" x14ac:dyDescent="0.2">
      <c r="B16" s="132"/>
      <c r="C16" s="133"/>
      <c r="D16" s="133"/>
      <c r="G16" s="151">
        <f>+G15-F15</f>
        <v>9451.30207550452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3"/>
      <c r="AS16" s="361"/>
      <c r="AT16" s="363"/>
      <c r="AU16" s="364"/>
      <c r="AV16" s="36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1"/>
      <c r="AT17" s="363"/>
      <c r="AU17" s="364"/>
      <c r="AV17" s="36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1"/>
      <c r="AT18" s="363"/>
      <c r="AU18" s="365"/>
      <c r="AV18" s="36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1"/>
      <c r="AT19" s="366"/>
      <c r="AU19" s="367"/>
      <c r="AV19" s="367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6"/>
      <c r="AU20" s="365"/>
      <c r="AV20" s="36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6"/>
      <c r="AU21" s="368"/>
      <c r="AX21" s="36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4" t="s">
        <v>147</v>
      </c>
      <c r="AB25" s="375"/>
      <c r="AC25" s="376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4" t="s">
        <v>148</v>
      </c>
      <c r="AB26" s="375"/>
      <c r="AC26" s="376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3" t="s">
        <v>160</v>
      </c>
      <c r="AB29" s="594"/>
      <c r="AC29" s="594"/>
      <c r="AD29" s="594"/>
      <c r="AE29" s="594"/>
      <c r="AF29" s="594"/>
      <c r="AG29" s="594"/>
      <c r="AH29" s="594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T33" s="486"/>
      <c r="U33" s="486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S34" s="173"/>
      <c r="T34" s="487"/>
      <c r="U34" s="487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+'Datos Extra'!B38*(1-'Datos Extra'!D28)+AF16+AF17-AF19</f>
        <v>197465.38294752873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1735.1789062319149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83" t="s">
        <v>222</v>
      </c>
      <c r="AL39" s="583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81" t="s">
        <v>107</v>
      </c>
      <c r="AL40" s="582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95" t="s">
        <v>228</v>
      </c>
      <c r="AL41" s="596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95" t="s">
        <v>230</v>
      </c>
      <c r="AL42" s="596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95" t="s">
        <v>232</v>
      </c>
      <c r="AL43" s="596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95" t="s">
        <v>234</v>
      </c>
      <c r="AL44" s="596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81" t="s">
        <v>109</v>
      </c>
      <c r="AL45" s="582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95" t="s">
        <v>228</v>
      </c>
      <c r="AL46" s="596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84" t="s">
        <v>236</v>
      </c>
      <c r="AD47" s="584"/>
      <c r="AE47" s="584"/>
      <c r="AF47" s="584"/>
      <c r="AK47" s="595" t="s">
        <v>230</v>
      </c>
      <c r="AL47" s="596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95" t="s">
        <v>232</v>
      </c>
      <c r="AL48" s="596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95" t="s">
        <v>234</v>
      </c>
      <c r="AL49" s="596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81" t="s">
        <v>93</v>
      </c>
      <c r="AL50" s="582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95" t="s">
        <v>228</v>
      </c>
      <c r="AL51" s="596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5" t="s">
        <v>230</v>
      </c>
      <c r="AL52" s="596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5" t="s">
        <v>232</v>
      </c>
      <c r="AL53" s="596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5" t="s">
        <v>234</v>
      </c>
      <c r="AL54" s="596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81" t="s">
        <v>243</v>
      </c>
      <c r="AL55" s="582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95" t="s">
        <v>228</v>
      </c>
      <c r="AL56" s="596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+'Datos Extra'!B40*(1-'Datos Extra'!D30)+P49-M52+R52+S52+T52</f>
        <v>233558.94329999996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95" t="s">
        <v>230</v>
      </c>
      <c r="AL57" s="596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-907.04829999996582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8" t="s">
        <v>244</v>
      </c>
      <c r="H68" s="599"/>
      <c r="I68" s="600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601" t="s">
        <v>68</v>
      </c>
      <c r="D69" s="602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97" t="s">
        <v>158</v>
      </c>
      <c r="D70" s="524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Extra'!B44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97" t="s">
        <v>88</v>
      </c>
      <c r="D71" s="524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Extra'!B45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97" t="s">
        <v>89</v>
      </c>
      <c r="D72" s="524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Extra'!B46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97" t="s">
        <v>159</v>
      </c>
      <c r="D73" s="524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Extra'!B47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97" t="s">
        <v>90</v>
      </c>
      <c r="D74" s="524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Extra'!B48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97" t="s">
        <v>91</v>
      </c>
      <c r="D75" s="524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97" t="s">
        <v>92</v>
      </c>
      <c r="D76" s="524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Extra'!B50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97" t="s">
        <v>93</v>
      </c>
      <c r="D77" s="524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Extra'!B51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97" t="s">
        <v>94</v>
      </c>
      <c r="D78" s="524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Extra'!B52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97" t="s">
        <v>95</v>
      </c>
      <c r="D79" s="524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Extra'!B53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97" t="s">
        <v>96</v>
      </c>
      <c r="D80" s="524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Extra'!B54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253</v>
      </c>
      <c r="D85" s="607"/>
      <c r="E85" s="607"/>
      <c r="F85" s="607"/>
      <c r="G85" s="607"/>
      <c r="H85" s="608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4" t="s">
        <v>254</v>
      </c>
      <c r="D86" s="605"/>
      <c r="E86" s="163">
        <f>'Datos Extra'!B56</f>
        <v>841140</v>
      </c>
      <c r="F86" s="348">
        <f>'Datos Extra'!C56</f>
        <v>1</v>
      </c>
      <c r="G86" s="349">
        <f>'Datos Extra'!D56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603"/>
      <c r="S86" s="535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Extra'!B57</f>
        <v>799464</v>
      </c>
      <c r="F87" s="348">
        <f>'Datos Extra'!C57</f>
        <v>0.85</v>
      </c>
      <c r="G87" s="349">
        <f>'Datos Extra'!D57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604" t="s">
        <v>256</v>
      </c>
      <c r="D88" s="605"/>
      <c r="E88" s="163">
        <f>'Datos Extra'!B58</f>
        <v>309440</v>
      </c>
      <c r="F88" s="348">
        <f>'Datos Extra'!C58</f>
        <v>0.15</v>
      </c>
      <c r="G88" s="349">
        <f>'Datos Extra'!D58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603"/>
      <c r="Q88" s="535"/>
      <c r="R88" s="198"/>
      <c r="S88" s="198"/>
      <c r="T88" s="198"/>
    </row>
    <row r="89" spans="3:26" ht="15.75" customHeight="1" x14ac:dyDescent="0.2">
      <c r="C89" s="604" t="s">
        <v>257</v>
      </c>
      <c r="D89" s="605"/>
      <c r="E89" s="163">
        <f>'Datos Extra'!B59</f>
        <v>719345</v>
      </c>
      <c r="F89" s="348">
        <f>'Datos Extra'!C59</f>
        <v>1</v>
      </c>
      <c r="G89" s="349">
        <f>'Datos Extra'!D59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603"/>
      <c r="Q89" s="535"/>
      <c r="R89" s="198"/>
      <c r="S89" s="198"/>
      <c r="T89" s="198"/>
    </row>
    <row r="90" spans="3:26" ht="14.25" customHeight="1" x14ac:dyDescent="0.2">
      <c r="C90" s="604" t="s">
        <v>258</v>
      </c>
      <c r="D90" s="605"/>
      <c r="E90" s="163">
        <f>'Datos Extra'!B60</f>
        <v>0</v>
      </c>
      <c r="F90" s="348">
        <f>'Datos Extra'!C60</f>
        <v>0</v>
      </c>
      <c r="G90" s="349">
        <f>'Datos Extra'!D60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603"/>
      <c r="Q90" s="535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603"/>
      <c r="Q91" s="535"/>
      <c r="R91" s="198"/>
      <c r="S91" s="198"/>
      <c r="T91" s="198"/>
    </row>
    <row r="92" spans="3:26" ht="14.25" customHeight="1" x14ac:dyDescent="0.2">
      <c r="C92" s="606" t="s">
        <v>259</v>
      </c>
      <c r="D92" s="607"/>
      <c r="E92" s="607"/>
      <c r="F92" s="607"/>
      <c r="G92" s="607"/>
      <c r="H92" s="608"/>
      <c r="I92" s="266"/>
      <c r="J92" s="266"/>
      <c r="K92" s="133"/>
      <c r="L92" s="198"/>
      <c r="M92" s="133"/>
      <c r="N92" s="198"/>
      <c r="O92" s="133"/>
      <c r="P92" s="603"/>
      <c r="Q92" s="535"/>
      <c r="R92" s="198"/>
      <c r="S92" s="198"/>
      <c r="T92" s="198"/>
    </row>
    <row r="93" spans="3:26" ht="14.25" customHeight="1" x14ac:dyDescent="0.2">
      <c r="C93" s="604" t="s">
        <v>260</v>
      </c>
      <c r="D93" s="605"/>
      <c r="E93" s="164">
        <f>+AF10/(1-AE10)</f>
        <v>562148</v>
      </c>
      <c r="F93" s="298">
        <f>+O19</f>
        <v>0.86635997358641803</v>
      </c>
      <c r="G93" s="299">
        <f>'Datos Extra'!D61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603"/>
      <c r="Q93" s="535"/>
      <c r="R93" s="198"/>
      <c r="S93" s="198"/>
    </row>
    <row r="94" spans="3:26" ht="14.25" customHeight="1" x14ac:dyDescent="0.2">
      <c r="C94" s="604" t="s">
        <v>261</v>
      </c>
      <c r="D94" s="605"/>
      <c r="E94" s="164">
        <f>+AF18/(1-AE18)</f>
        <v>274867.73500000004</v>
      </c>
      <c r="F94" s="300">
        <f>+P49/J39</f>
        <v>0.9871167672699015</v>
      </c>
      <c r="G94" s="299">
        <f>'Datos Extra'!D62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603"/>
      <c r="Q94" s="535"/>
      <c r="R94" s="198"/>
      <c r="S94" s="198"/>
    </row>
    <row r="95" spans="3:26" ht="14.25" customHeight="1" x14ac:dyDescent="0.2">
      <c r="C95" s="604" t="s">
        <v>262</v>
      </c>
      <c r="D95" s="605"/>
      <c r="E95" s="164">
        <f>+AF26/(1-AE26)+AF25/(1-AE25)+AF17/(1-AE17)+AF16/(1-AE16)</f>
        <v>486422</v>
      </c>
      <c r="F95" s="298">
        <f>+P19</f>
        <v>0.83919856032918472</v>
      </c>
      <c r="G95" s="299">
        <f>'Datos Extra'!D63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603"/>
      <c r="Q95" s="535"/>
      <c r="R95" s="198"/>
      <c r="S95" s="198"/>
    </row>
    <row r="96" spans="3:26" ht="14.25" customHeight="1" x14ac:dyDescent="0.2">
      <c r="C96" s="604" t="s">
        <v>263</v>
      </c>
      <c r="D96" s="605"/>
      <c r="E96" s="164">
        <f>+E95</f>
        <v>486422</v>
      </c>
      <c r="F96" s="301">
        <v>1</v>
      </c>
      <c r="G96" s="299">
        <f>'Datos Extra'!D64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603"/>
      <c r="Q96" s="535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2023-07-17T14:26:15Z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