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ownloads/"/>
    </mc:Choice>
  </mc:AlternateContent>
  <xr:revisionPtr revIDLastSave="0" documentId="13_ncr:1_{156B38D5-7D10-E143-907E-4078C0A92B33}" xr6:coauthVersionLast="45" xr6:coauthVersionMax="45" xr10:uidLastSave="{00000000-0000-0000-0000-000000000000}"/>
  <bookViews>
    <workbookView xWindow="780" yWindow="0" windowWidth="28020" windowHeight="18000" tabRatio="772" activeTab="2" xr2:uid="{00000000-000D-0000-FFFF-FFFF00000000}"/>
  </bookViews>
  <sheets>
    <sheet name="Resumen MLC" sheetId="17" r:id="rId1"/>
    <sheet name="Utilidad" sheetId="5" r:id="rId2"/>
    <sheet name="Datos Extra" sheetId="22" r:id="rId3"/>
    <sheet name="Flujos" sheetId="21" r:id="rId4"/>
    <sheet name="Diag Proc Los Colorados" sheetId="15" r:id="rId5"/>
    <sheet name="Bal Fet Pta Pellets" sheetId="1" state="hidden" r:id="rId6"/>
  </sheets>
  <externalReferences>
    <externalReference r:id="rId7"/>
  </externalReferences>
  <definedNames>
    <definedName name="_PAG1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>#REF!</definedName>
    <definedName name="CuNuevo_ConPelaCama_tmf">[1]FUNDICIÓN!$P$73</definedName>
    <definedName name="CuNuevo_ConPelaCama_tms">[1]FUNDICIÓN!$O$73</definedName>
    <definedName name="FEED">#REF!</definedName>
    <definedName name="GCONC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solver_adj" localSheetId="5" hidden="1">'Bal Fet Pta Pellets'!$N$62:$O$116</definedName>
    <definedName name="solver_adj" localSheetId="1" hidden="1">Utilidad!$M$40:$N$70</definedName>
    <definedName name="solver_cvg" localSheetId="5" hidden="1">0.0001</definedName>
    <definedName name="solver_cvg" localSheetId="1" hidden="1">0.0001</definedName>
    <definedName name="solver_drv" localSheetId="5" hidden="1">1</definedName>
    <definedName name="solver_drv" localSheetId="1" hidden="1">1</definedName>
    <definedName name="solver_eng" localSheetId="5" hidden="1">1</definedName>
    <definedName name="solver_eng" localSheetId="4" hidden="1">1</definedName>
    <definedName name="solver_eng" localSheetId="1" hidden="1">1</definedName>
    <definedName name="solver_est" localSheetId="5" hidden="1">1</definedName>
    <definedName name="solver_est" localSheetId="1" hidden="1">1</definedName>
    <definedName name="solver_itr" localSheetId="5" hidden="1">2147483647</definedName>
    <definedName name="solver_itr" localSheetId="1" hidden="1">2147483647</definedName>
    <definedName name="solver_lhs1" localSheetId="5" hidden="1">'Bal Fet Pta Pellets'!$AD$62</definedName>
    <definedName name="solver_lhs1" localSheetId="1" hidden="1">Utilidad!$AB$39:$AB$52</definedName>
    <definedName name="solver_lhs10" localSheetId="5" hidden="1">'Bal Fet Pta Pellets'!$AD$71</definedName>
    <definedName name="solver_lhs10" localSheetId="1" hidden="1">Utilidad!$T$70</definedName>
    <definedName name="solver_lhs11" localSheetId="5" hidden="1">'Bal Fet Pta Pellets'!$AD$72</definedName>
    <definedName name="solver_lhs11" localSheetId="1" hidden="1">Utilidad!$V$40</definedName>
    <definedName name="solver_lhs12" localSheetId="5" hidden="1">'Bal Fet Pta Pellets'!$AD$73</definedName>
    <definedName name="solver_lhs12" localSheetId="1" hidden="1">Utilidad!$V$49</definedName>
    <definedName name="solver_lhs13" localSheetId="5" hidden="1">'Bal Fet Pta Pellets'!$AD$74</definedName>
    <definedName name="solver_lhs13" localSheetId="1" hidden="1">Utilidad!$V$51</definedName>
    <definedName name="solver_lhs14" localSheetId="5" hidden="1">'Bal Fet Pta Pellets'!$AD$75</definedName>
    <definedName name="solver_lhs14" localSheetId="1" hidden="1">Utilidad!$V$56</definedName>
    <definedName name="solver_lhs15" localSheetId="5" hidden="1">'Bal Fet Pta Pellets'!$AD$76</definedName>
    <definedName name="solver_lhs15" localSheetId="1" hidden="1">Utilidad!$V$59</definedName>
    <definedName name="solver_lhs16" localSheetId="5" hidden="1">'Bal Fet Pta Pellets'!$AD$77</definedName>
    <definedName name="solver_lhs16" localSheetId="1" hidden="1">Utilidad!$V$62</definedName>
    <definedName name="solver_lhs17" localSheetId="5" hidden="1">'Bal Fet Pta Pellets'!$AD$78</definedName>
    <definedName name="solver_lhs17" localSheetId="1" hidden="1">Utilidad!$V$63</definedName>
    <definedName name="solver_lhs18" localSheetId="5" hidden="1">'Bal Fet Pta Pellets'!$AD$79</definedName>
    <definedName name="solver_lhs18" localSheetId="1" hidden="1">Utilidad!$V$66</definedName>
    <definedName name="solver_lhs19" localSheetId="5" hidden="1">'Bal Fet Pta Pellets'!$AD$80</definedName>
    <definedName name="solver_lhs19" localSheetId="1" hidden="1">Utilidad!$V$66</definedName>
    <definedName name="solver_lhs2" localSheetId="5" hidden="1">'Bal Fet Pta Pellets'!$AD$63</definedName>
    <definedName name="solver_lhs2" localSheetId="1" hidden="1">Utilidad!$AC$39:$AC$52</definedName>
    <definedName name="solver_lhs20" localSheetId="5" hidden="1">'Bal Fet Pta Pellets'!$AD$81</definedName>
    <definedName name="solver_lhs20" localSheetId="1" hidden="1">Utilidad!$V$66</definedName>
    <definedName name="solver_lhs21" localSheetId="5" hidden="1">'Bal Fet Pta Pellets'!$AD$82</definedName>
    <definedName name="solver_lhs21" localSheetId="1" hidden="1">Utilidad!$V$66</definedName>
    <definedName name="solver_lhs22" localSheetId="5" hidden="1">'Bal Fet Pta Pellets'!$AD$61</definedName>
    <definedName name="solver_lhs22" localSheetId="1" hidden="1">Utilidad!$V$66</definedName>
    <definedName name="solver_lhs23" localSheetId="5" hidden="1">'Bal Fet Pta Pellets'!$AE$61</definedName>
    <definedName name="solver_lhs23" localSheetId="1" hidden="1">Utilidad!$V$66</definedName>
    <definedName name="solver_lhs24" localSheetId="5" hidden="1">'Bal Fet Pta Pellets'!$AE$62</definedName>
    <definedName name="solver_lhs24" localSheetId="1" hidden="1">Utilidad!$V$66</definedName>
    <definedName name="solver_lhs25" localSheetId="5" hidden="1">'Bal Fet Pta Pellets'!$AE$63</definedName>
    <definedName name="solver_lhs25" localSheetId="1" hidden="1">Utilidad!$V$66</definedName>
    <definedName name="solver_lhs26" localSheetId="5" hidden="1">'Bal Fet Pta Pellets'!$AE$64</definedName>
    <definedName name="solver_lhs26" localSheetId="1" hidden="1">Utilidad!$V$63</definedName>
    <definedName name="solver_lhs27" localSheetId="5" hidden="1">'Bal Fet Pta Pellets'!$AE$65</definedName>
    <definedName name="solver_lhs27" localSheetId="1" hidden="1">Utilidad!$V$63</definedName>
    <definedName name="solver_lhs28" localSheetId="5" hidden="1">'Bal Fet Pta Pellets'!$AE$66</definedName>
    <definedName name="solver_lhs28" localSheetId="1" hidden="1">Utilidad!$V$63</definedName>
    <definedName name="solver_lhs29" localSheetId="5" hidden="1">'Bal Fet Pta Pellets'!$AE$67</definedName>
    <definedName name="solver_lhs29" localSheetId="1" hidden="1">Utilidad!$V$63</definedName>
    <definedName name="solver_lhs3" localSheetId="5" hidden="1">'Bal Fet Pta Pellets'!$AD$64</definedName>
    <definedName name="solver_lhs3" localSheetId="1" hidden="1">Utilidad!$T$40</definedName>
    <definedName name="solver_lhs30" localSheetId="5" hidden="1">'Bal Fet Pta Pellets'!$AE$68</definedName>
    <definedName name="solver_lhs30" localSheetId="1" hidden="1">Utilidad!$V$63</definedName>
    <definedName name="solver_lhs31" localSheetId="5" hidden="1">'Bal Fet Pta Pellets'!$AE$69</definedName>
    <definedName name="solver_lhs31" localSheetId="1" hidden="1">Utilidad!$V$63</definedName>
    <definedName name="solver_lhs32" localSheetId="5" hidden="1">'Bal Fet Pta Pellets'!$AE$70</definedName>
    <definedName name="solver_lhs32" localSheetId="1" hidden="1">Utilidad!$V$63</definedName>
    <definedName name="solver_lhs33" localSheetId="5" hidden="1">'Bal Fet Pta Pellets'!$AE$71</definedName>
    <definedName name="solver_lhs33" localSheetId="1" hidden="1">Utilidad!$V$63</definedName>
    <definedName name="solver_lhs34" localSheetId="5" hidden="1">'Bal Fet Pta Pellets'!$AE$72</definedName>
    <definedName name="solver_lhs34" localSheetId="1" hidden="1">Utilidad!$V$63</definedName>
    <definedName name="solver_lhs35" localSheetId="5" hidden="1">'Bal Fet Pta Pellets'!$AE$73</definedName>
    <definedName name="solver_lhs35" localSheetId="1" hidden="1">Utilidad!$V$63</definedName>
    <definedName name="solver_lhs36" localSheetId="5" hidden="1">'Bal Fet Pta Pellets'!$AE$74</definedName>
    <definedName name="solver_lhs36" localSheetId="1" hidden="1">Utilidad!$V$63</definedName>
    <definedName name="solver_lhs37" localSheetId="5" hidden="1">'Bal Fet Pta Pellets'!$AE$75</definedName>
    <definedName name="solver_lhs37" localSheetId="1" hidden="1">Utilidad!$V$63</definedName>
    <definedName name="solver_lhs38" localSheetId="5" hidden="1">'Bal Fet Pta Pellets'!$AE$76</definedName>
    <definedName name="solver_lhs38" localSheetId="1" hidden="1">Utilidad!$V$63</definedName>
    <definedName name="solver_lhs39" localSheetId="5" hidden="1">'Bal Fet Pta Pellets'!$AE$77</definedName>
    <definedName name="solver_lhs39" localSheetId="1" hidden="1">Utilidad!$V$63</definedName>
    <definedName name="solver_lhs4" localSheetId="5" hidden="1">'Bal Fet Pta Pellets'!$AD$65</definedName>
    <definedName name="solver_lhs4" localSheetId="1" hidden="1">Utilidad!$T$42</definedName>
    <definedName name="solver_lhs40" localSheetId="5" hidden="1">'Bal Fet Pta Pellets'!$AE$78</definedName>
    <definedName name="solver_lhs40" localSheetId="1" hidden="1">Utilidad!$V$63</definedName>
    <definedName name="solver_lhs41" localSheetId="5" hidden="1">'Bal Fet Pta Pellets'!$AE$79</definedName>
    <definedName name="solver_lhs41" localSheetId="1" hidden="1">Utilidad!$V$63</definedName>
    <definedName name="solver_lhs42" localSheetId="5" hidden="1">'Bal Fet Pta Pellets'!$AE$80</definedName>
    <definedName name="solver_lhs42" localSheetId="1" hidden="1">Utilidad!$V$63</definedName>
    <definedName name="solver_lhs43" localSheetId="5" hidden="1">'Bal Fet Pta Pellets'!$AE$82</definedName>
    <definedName name="solver_lhs43" localSheetId="1" hidden="1">Utilidad!$V$63</definedName>
    <definedName name="solver_lhs44" localSheetId="5" hidden="1">'Bal Fet Pta Pellets'!$AE$81</definedName>
    <definedName name="solver_lhs44" localSheetId="1" hidden="1">Utilidad!$V$63</definedName>
    <definedName name="solver_lhs45" localSheetId="5" hidden="1">'Bal Fet Pta Pellets'!$N$65</definedName>
    <definedName name="solver_lhs46" localSheetId="5" hidden="1">'Bal Fet Pta Pellets'!$N$77</definedName>
    <definedName name="solver_lhs47" localSheetId="5" hidden="1">'Bal Fet Pta Pellets'!$T$103</definedName>
    <definedName name="solver_lhs48" localSheetId="5" hidden="1">'Bal Fet Pta Pellets'!$T$101</definedName>
    <definedName name="solver_lhs49" localSheetId="5" hidden="1">'Bal Fet Pta Pellets'!$N$81</definedName>
    <definedName name="solver_lhs5" localSheetId="5" hidden="1">'Bal Fet Pta Pellets'!$AD$66</definedName>
    <definedName name="solver_lhs5" localSheetId="1" hidden="1">Utilidad!$T$49</definedName>
    <definedName name="solver_lhs50" localSheetId="5" hidden="1">'Bal Fet Pta Pellets'!$T$106</definedName>
    <definedName name="solver_lhs51" localSheetId="5" hidden="1">'Bal Fet Pta Pellets'!$T$116</definedName>
    <definedName name="solver_lhs52" localSheetId="5" hidden="1">'Bal Fet Pta Pellets'!$T$109</definedName>
    <definedName name="solver_lhs53" localSheetId="5" hidden="1">'Bal Fet Pta Pellets'!$N$107</definedName>
    <definedName name="solver_lhs54" localSheetId="5" hidden="1">'Bal Fet Pta Pellets'!$T$80</definedName>
    <definedName name="solver_lhs55" localSheetId="5" hidden="1">'Bal Fet Pta Pellets'!$T$81</definedName>
    <definedName name="solver_lhs56" localSheetId="5" hidden="1">'Bal Fet Pta Pellets'!$T$73</definedName>
    <definedName name="solver_lhs57" localSheetId="5" hidden="1">'Bal Fet Pta Pellets'!$T$76</definedName>
    <definedName name="solver_lhs58" localSheetId="5" hidden="1">'Bal Fet Pta Pellets'!$T$70</definedName>
    <definedName name="solver_lhs59" localSheetId="5" hidden="1">'Bal Fet Pta Pellets'!$V$101</definedName>
    <definedName name="solver_lhs6" localSheetId="5" hidden="1">'Bal Fet Pta Pellets'!$AD$67</definedName>
    <definedName name="solver_lhs6" localSheetId="1" hidden="1">Utilidad!$T$51</definedName>
    <definedName name="solver_lhs60" localSheetId="5" hidden="1">'Bal Fet Pta Pellets'!$T$89</definedName>
    <definedName name="solver_lhs61" localSheetId="5" hidden="1">'Bal Fet Pta Pellets'!$T$99</definedName>
    <definedName name="solver_lhs62" localSheetId="5" hidden="1">'Bal Fet Pta Pellets'!$T$97</definedName>
    <definedName name="solver_lhs63" localSheetId="5" hidden="1">'Bal Fet Pta Pellets'!$T$86</definedName>
    <definedName name="solver_lhs64" localSheetId="5" hidden="1">'Bal Fet Pta Pellets'!$T$114</definedName>
    <definedName name="solver_lhs65" localSheetId="5" hidden="1">'Bal Fet Pta Pellets'!$T$111</definedName>
    <definedName name="solver_lhs66" localSheetId="5" hidden="1">'Bal Fet Pta Pellets'!$T$62</definedName>
    <definedName name="solver_lhs67" localSheetId="5" hidden="1">'Bal Fet Pta Pellets'!$T$71</definedName>
    <definedName name="solver_lhs68" localSheetId="5" hidden="1">'Bal Fet Pta Pellets'!$T$63</definedName>
    <definedName name="solver_lhs69" localSheetId="5" hidden="1">'Bal Fet Pta Pellets'!$T$68</definedName>
    <definedName name="solver_lhs7" localSheetId="5" hidden="1">'Bal Fet Pta Pellets'!$AD$68</definedName>
    <definedName name="solver_lhs7" localSheetId="1" hidden="1">Utilidad!$T$62</definedName>
    <definedName name="solver_lhs70" localSheetId="5" hidden="1">'Bal Fet Pta Pellets'!$N$106</definedName>
    <definedName name="solver_lhs71" localSheetId="5" hidden="1">'Bal Fet Pta Pellets'!$V$115</definedName>
    <definedName name="solver_lhs72" localSheetId="5" hidden="1">'Bal Fet Pta Pellets'!$V$111</definedName>
    <definedName name="solver_lhs73" localSheetId="5" hidden="1">'Bal Fet Pta Pellets'!$T$93</definedName>
    <definedName name="solver_lhs74" localSheetId="5" hidden="1">'Bal Fet Pta Pellets'!$V$62</definedName>
    <definedName name="solver_lhs75" localSheetId="5" hidden="1">'Bal Fet Pta Pellets'!$V$71</definedName>
    <definedName name="solver_lhs76" localSheetId="5" hidden="1">'Bal Fet Pta Pellets'!$V$116</definedName>
    <definedName name="solver_lhs77" localSheetId="5" hidden="1">'Bal Fet Pta Pellets'!$V$86</definedName>
    <definedName name="solver_lhs78" localSheetId="5" hidden="1">'Bal Fet Pta Pellets'!$O$72</definedName>
    <definedName name="solver_lhs79" localSheetId="5" hidden="1">'Bal Fet Pta Pellets'!$V$92</definedName>
    <definedName name="solver_lhs8" localSheetId="5" hidden="1">'Bal Fet Pta Pellets'!$AD$69</definedName>
    <definedName name="solver_lhs8" localSheetId="1" hidden="1">Utilidad!$T$63</definedName>
    <definedName name="solver_lhs80" localSheetId="5" hidden="1">'Bal Fet Pta Pellets'!$V$92</definedName>
    <definedName name="solver_lhs9" localSheetId="5" hidden="1">'Bal Fet Pta Pellets'!$AD$70</definedName>
    <definedName name="solver_lhs9" localSheetId="1" hidden="1">Utilidad!$T$68</definedName>
    <definedName name="solver_lin" localSheetId="4" hidden="1">2</definedName>
    <definedName name="solver_lin" localSheetId="1" hidden="1">2</definedName>
    <definedName name="solver_mip" localSheetId="5" hidden="1">2147483647</definedName>
    <definedName name="solver_mip" localSheetId="1" hidden="1">2147483647</definedName>
    <definedName name="solver_mni" localSheetId="5" hidden="1">30</definedName>
    <definedName name="solver_mni" localSheetId="1" hidden="1">30</definedName>
    <definedName name="solver_mrt" localSheetId="5" hidden="1">0.075</definedName>
    <definedName name="solver_mrt" localSheetId="1" hidden="1">0.075</definedName>
    <definedName name="solver_msl" localSheetId="5" hidden="1">2</definedName>
    <definedName name="solver_msl" localSheetId="1" hidden="1">2</definedName>
    <definedName name="solver_neg" localSheetId="5" hidden="1">1</definedName>
    <definedName name="solver_neg" localSheetId="4" hidden="1">1</definedName>
    <definedName name="solver_neg" localSheetId="1" hidden="1">1</definedName>
    <definedName name="solver_nod" localSheetId="5" hidden="1">2147483647</definedName>
    <definedName name="solver_nod" localSheetId="1" hidden="1">2147483647</definedName>
    <definedName name="solver_num" localSheetId="5" hidden="1">80</definedName>
    <definedName name="solver_num" localSheetId="4" hidden="1">0</definedName>
    <definedName name="solver_num" localSheetId="1" hidden="1">17</definedName>
    <definedName name="solver_nwt" localSheetId="5" hidden="1">1</definedName>
    <definedName name="solver_nwt" localSheetId="1" hidden="1">1</definedName>
    <definedName name="solver_opt" localSheetId="5" hidden="1">'Bal Fet Pta Pellets'!$AD$85</definedName>
    <definedName name="solver_opt" localSheetId="4" hidden="1">'Diag Proc Los Colorados'!$Y$64</definedName>
    <definedName name="solver_opt" localSheetId="1" hidden="1">Utilidad!$AB$55</definedName>
    <definedName name="solver_pre" localSheetId="5" hidden="1">0.000001</definedName>
    <definedName name="solver_pre" localSheetId="1" hidden="1">0.000001</definedName>
    <definedName name="solver_rbv" localSheetId="5" hidden="1">1</definedName>
    <definedName name="solver_rbv" localSheetId="1" hidden="1">1</definedName>
    <definedName name="solver_rel1" localSheetId="5" hidden="1">2</definedName>
    <definedName name="solver_rel1" localSheetId="1" hidden="1">2</definedName>
    <definedName name="solver_rel10" localSheetId="5" hidden="1">2</definedName>
    <definedName name="solver_rel10" localSheetId="1" hidden="1">1</definedName>
    <definedName name="solver_rel11" localSheetId="5" hidden="1">2</definedName>
    <definedName name="solver_rel11" localSheetId="1" hidden="1">1</definedName>
    <definedName name="solver_rel12" localSheetId="5" hidden="1">2</definedName>
    <definedName name="solver_rel12" localSheetId="1" hidden="1">1</definedName>
    <definedName name="solver_rel13" localSheetId="5" hidden="1">2</definedName>
    <definedName name="solver_rel13" localSheetId="1" hidden="1">1</definedName>
    <definedName name="solver_rel14" localSheetId="5" hidden="1">2</definedName>
    <definedName name="solver_rel14" localSheetId="1" hidden="1">1</definedName>
    <definedName name="solver_rel15" localSheetId="5" hidden="1">2</definedName>
    <definedName name="solver_rel15" localSheetId="1" hidden="1">1</definedName>
    <definedName name="solver_rel16" localSheetId="5" hidden="1">2</definedName>
    <definedName name="solver_rel16" localSheetId="1" hidden="1">1</definedName>
    <definedName name="solver_rel17" localSheetId="5" hidden="1">2</definedName>
    <definedName name="solver_rel17" localSheetId="1" hidden="1">1</definedName>
    <definedName name="solver_rel18" localSheetId="5" hidden="1">2</definedName>
    <definedName name="solver_rel18" localSheetId="1" hidden="1">1</definedName>
    <definedName name="solver_rel19" localSheetId="5" hidden="1">2</definedName>
    <definedName name="solver_rel19" localSheetId="1" hidden="1">1</definedName>
    <definedName name="solver_rel2" localSheetId="5" hidden="1">2</definedName>
    <definedName name="solver_rel2" localSheetId="1" hidden="1">2</definedName>
    <definedName name="solver_rel20" localSheetId="5" hidden="1">2</definedName>
    <definedName name="solver_rel20" localSheetId="1" hidden="1">1</definedName>
    <definedName name="solver_rel21" localSheetId="5" hidden="1">2</definedName>
    <definedName name="solver_rel21" localSheetId="1" hidden="1">1</definedName>
    <definedName name="solver_rel22" localSheetId="5" hidden="1">2</definedName>
    <definedName name="solver_rel22" localSheetId="1" hidden="1">1</definedName>
    <definedName name="solver_rel23" localSheetId="5" hidden="1">2</definedName>
    <definedName name="solver_rel23" localSheetId="1" hidden="1">1</definedName>
    <definedName name="solver_rel24" localSheetId="5" hidden="1">2</definedName>
    <definedName name="solver_rel24" localSheetId="1" hidden="1">1</definedName>
    <definedName name="solver_rel25" localSheetId="5" hidden="1">2</definedName>
    <definedName name="solver_rel25" localSheetId="1" hidden="1">1</definedName>
    <definedName name="solver_rel26" localSheetId="5" hidden="1">2</definedName>
    <definedName name="solver_rel26" localSheetId="1" hidden="1">1</definedName>
    <definedName name="solver_rel27" localSheetId="5" hidden="1">2</definedName>
    <definedName name="solver_rel27" localSheetId="1" hidden="1">1</definedName>
    <definedName name="solver_rel28" localSheetId="5" hidden="1">2</definedName>
    <definedName name="solver_rel28" localSheetId="1" hidden="1">1</definedName>
    <definedName name="solver_rel29" localSheetId="5" hidden="1">2</definedName>
    <definedName name="solver_rel29" localSheetId="1" hidden="1">1</definedName>
    <definedName name="solver_rel3" localSheetId="5" hidden="1">2</definedName>
    <definedName name="solver_rel3" localSheetId="1" hidden="1">1</definedName>
    <definedName name="solver_rel30" localSheetId="5" hidden="1">2</definedName>
    <definedName name="solver_rel30" localSheetId="1" hidden="1">1</definedName>
    <definedName name="solver_rel31" localSheetId="5" hidden="1">2</definedName>
    <definedName name="solver_rel31" localSheetId="1" hidden="1">1</definedName>
    <definedName name="solver_rel32" localSheetId="5" hidden="1">2</definedName>
    <definedName name="solver_rel32" localSheetId="1" hidden="1">1</definedName>
    <definedName name="solver_rel33" localSheetId="5" hidden="1">2</definedName>
    <definedName name="solver_rel33" localSheetId="1" hidden="1">1</definedName>
    <definedName name="solver_rel34" localSheetId="5" hidden="1">2</definedName>
    <definedName name="solver_rel34" localSheetId="1" hidden="1">1</definedName>
    <definedName name="solver_rel35" localSheetId="5" hidden="1">2</definedName>
    <definedName name="solver_rel35" localSheetId="1" hidden="1">1</definedName>
    <definedName name="solver_rel36" localSheetId="5" hidden="1">2</definedName>
    <definedName name="solver_rel36" localSheetId="1" hidden="1">1</definedName>
    <definedName name="solver_rel37" localSheetId="5" hidden="1">2</definedName>
    <definedName name="solver_rel37" localSheetId="1" hidden="1">1</definedName>
    <definedName name="solver_rel38" localSheetId="5" hidden="1">2</definedName>
    <definedName name="solver_rel38" localSheetId="1" hidden="1">1</definedName>
    <definedName name="solver_rel39" localSheetId="5" hidden="1">2</definedName>
    <definedName name="solver_rel39" localSheetId="1" hidden="1">1</definedName>
    <definedName name="solver_rel4" localSheetId="5" hidden="1">2</definedName>
    <definedName name="solver_rel4" localSheetId="1" hidden="1">1</definedName>
    <definedName name="solver_rel40" localSheetId="5" hidden="1">2</definedName>
    <definedName name="solver_rel40" localSheetId="1" hidden="1">1</definedName>
    <definedName name="solver_rel41" localSheetId="5" hidden="1">2</definedName>
    <definedName name="solver_rel41" localSheetId="1" hidden="1">1</definedName>
    <definedName name="solver_rel42" localSheetId="5" hidden="1">2</definedName>
    <definedName name="solver_rel42" localSheetId="1" hidden="1">1</definedName>
    <definedName name="solver_rel43" localSheetId="5" hidden="1">2</definedName>
    <definedName name="solver_rel43" localSheetId="1" hidden="1">1</definedName>
    <definedName name="solver_rel44" localSheetId="5" hidden="1">2</definedName>
    <definedName name="solver_rel44" localSheetId="1" hidden="1">1</definedName>
    <definedName name="solver_rel45" localSheetId="5" hidden="1">2</definedName>
    <definedName name="solver_rel46" localSheetId="5" hidden="1">1</definedName>
    <definedName name="solver_rel47" localSheetId="5" hidden="1">1</definedName>
    <definedName name="solver_rel48" localSheetId="5" hidden="1">1</definedName>
    <definedName name="solver_rel49" localSheetId="5" hidden="1">2</definedName>
    <definedName name="solver_rel5" localSheetId="5" hidden="1">2</definedName>
    <definedName name="solver_rel5" localSheetId="1" hidden="1">1</definedName>
    <definedName name="solver_rel50" localSheetId="5" hidden="1">1</definedName>
    <definedName name="solver_rel51" localSheetId="5" hidden="1">1</definedName>
    <definedName name="solver_rel52" localSheetId="5" hidden="1">1</definedName>
    <definedName name="solver_rel53" localSheetId="5" hidden="1">2</definedName>
    <definedName name="solver_rel54" localSheetId="5" hidden="1">1</definedName>
    <definedName name="solver_rel55" localSheetId="5" hidden="1">1</definedName>
    <definedName name="solver_rel56" localSheetId="5" hidden="1">1</definedName>
    <definedName name="solver_rel57" localSheetId="5" hidden="1">1</definedName>
    <definedName name="solver_rel58" localSheetId="5" hidden="1">1</definedName>
    <definedName name="solver_rel59" localSheetId="5" hidden="1">1</definedName>
    <definedName name="solver_rel6" localSheetId="5" hidden="1">2</definedName>
    <definedName name="solver_rel6" localSheetId="1" hidden="1">1</definedName>
    <definedName name="solver_rel60" localSheetId="5" hidden="1">1</definedName>
    <definedName name="solver_rel61" localSheetId="5" hidden="1">1</definedName>
    <definedName name="solver_rel62" localSheetId="5" hidden="1">1</definedName>
    <definedName name="solver_rel63" localSheetId="5" hidden="1">1</definedName>
    <definedName name="solver_rel64" localSheetId="5" hidden="1">1</definedName>
    <definedName name="solver_rel65" localSheetId="5" hidden="1">1</definedName>
    <definedName name="solver_rel66" localSheetId="5" hidden="1">1</definedName>
    <definedName name="solver_rel67" localSheetId="5" hidden="1">1</definedName>
    <definedName name="solver_rel68" localSheetId="5" hidden="1">1</definedName>
    <definedName name="solver_rel69" localSheetId="5" hidden="1">1</definedName>
    <definedName name="solver_rel7" localSheetId="5" hidden="1">2</definedName>
    <definedName name="solver_rel7" localSheetId="1" hidden="1">1</definedName>
    <definedName name="solver_rel70" localSheetId="5" hidden="1">2</definedName>
    <definedName name="solver_rel71" localSheetId="5" hidden="1">1</definedName>
    <definedName name="solver_rel72" localSheetId="5" hidden="1">1</definedName>
    <definedName name="solver_rel73" localSheetId="5" hidden="1">1</definedName>
    <definedName name="solver_rel74" localSheetId="5" hidden="1">1</definedName>
    <definedName name="solver_rel75" localSheetId="5" hidden="1">1</definedName>
    <definedName name="solver_rel76" localSheetId="5" hidden="1">1</definedName>
    <definedName name="solver_rel77" localSheetId="5" hidden="1">1</definedName>
    <definedName name="solver_rel78" localSheetId="5" hidden="1">2</definedName>
    <definedName name="solver_rel79" localSheetId="5" hidden="1">1</definedName>
    <definedName name="solver_rel8" localSheetId="5" hidden="1">2</definedName>
    <definedName name="solver_rel8" localSheetId="1" hidden="1">1</definedName>
    <definedName name="solver_rel80" localSheetId="5" hidden="1">1</definedName>
    <definedName name="solver_rel9" localSheetId="5" hidden="1">2</definedName>
    <definedName name="solver_rel9" localSheetId="1" hidden="1">1</definedName>
    <definedName name="solver_rhs1" localSheetId="5" hidden="1">0</definedName>
    <definedName name="solver_rhs1" localSheetId="1" hidden="1">Utilidad!$AE$39:$AE$52</definedName>
    <definedName name="solver_rhs10" localSheetId="5" hidden="1">0</definedName>
    <definedName name="solver_rhs10" localSheetId="1" hidden="1">Utilidad!$U$70</definedName>
    <definedName name="solver_rhs11" localSheetId="5" hidden="1">0</definedName>
    <definedName name="solver_rhs11" localSheetId="1" hidden="1">Utilidad!$W$40</definedName>
    <definedName name="solver_rhs12" localSheetId="5" hidden="1">0</definedName>
    <definedName name="solver_rhs12" localSheetId="1" hidden="1">Utilidad!$W$49</definedName>
    <definedName name="solver_rhs13" localSheetId="5" hidden="1">0</definedName>
    <definedName name="solver_rhs13" localSheetId="1" hidden="1">Utilidad!$W$51</definedName>
    <definedName name="solver_rhs14" localSheetId="5" hidden="1">0</definedName>
    <definedName name="solver_rhs14" localSheetId="1" hidden="1">Utilidad!$W$56</definedName>
    <definedName name="solver_rhs15" localSheetId="5" hidden="1">0</definedName>
    <definedName name="solver_rhs15" localSheetId="1" hidden="1">Utilidad!$W$59</definedName>
    <definedName name="solver_rhs16" localSheetId="5" hidden="1">0</definedName>
    <definedName name="solver_rhs16" localSheetId="1" hidden="1">Utilidad!$W$62</definedName>
    <definedName name="solver_rhs17" localSheetId="5" hidden="1">0</definedName>
    <definedName name="solver_rhs17" localSheetId="1" hidden="1">Utilidad!$W$63</definedName>
    <definedName name="solver_rhs18" localSheetId="5" hidden="1">0</definedName>
    <definedName name="solver_rhs18" localSheetId="1" hidden="1">Utilidad!$W$66</definedName>
    <definedName name="solver_rhs19" localSheetId="5" hidden="1">0</definedName>
    <definedName name="solver_rhs19" localSheetId="1" hidden="1">Utilidad!$W$66</definedName>
    <definedName name="solver_rhs2" localSheetId="5" hidden="1">0</definedName>
    <definedName name="solver_rhs2" localSheetId="1" hidden="1">Utilidad!$AE$39:$AE$52</definedName>
    <definedName name="solver_rhs20" localSheetId="5" hidden="1">0</definedName>
    <definedName name="solver_rhs20" localSheetId="1" hidden="1">Utilidad!$W$66</definedName>
    <definedName name="solver_rhs21" localSheetId="5" hidden="1">0</definedName>
    <definedName name="solver_rhs21" localSheetId="1" hidden="1">Utilidad!$W$66</definedName>
    <definedName name="solver_rhs22" localSheetId="5" hidden="1">0</definedName>
    <definedName name="solver_rhs22" localSheetId="1" hidden="1">Utilidad!$W$66</definedName>
    <definedName name="solver_rhs23" localSheetId="5" hidden="1">0</definedName>
    <definedName name="solver_rhs23" localSheetId="1" hidden="1">Utilidad!$W$66</definedName>
    <definedName name="solver_rhs24" localSheetId="5" hidden="1">0</definedName>
    <definedName name="solver_rhs24" localSheetId="1" hidden="1">Utilidad!$W$66</definedName>
    <definedName name="solver_rhs25" localSheetId="5" hidden="1">0</definedName>
    <definedName name="solver_rhs25" localSheetId="1" hidden="1">Utilidad!$W$66</definedName>
    <definedName name="solver_rhs26" localSheetId="5" hidden="1">0</definedName>
    <definedName name="solver_rhs26" localSheetId="1" hidden="1">Utilidad!$W$63</definedName>
    <definedName name="solver_rhs27" localSheetId="5" hidden="1">0</definedName>
    <definedName name="solver_rhs27" localSheetId="1" hidden="1">Utilidad!$W$63</definedName>
    <definedName name="solver_rhs28" localSheetId="5" hidden="1">0</definedName>
    <definedName name="solver_rhs28" localSheetId="1" hidden="1">Utilidad!$W$63</definedName>
    <definedName name="solver_rhs29" localSheetId="5" hidden="1">0</definedName>
    <definedName name="solver_rhs29" localSheetId="1" hidden="1">Utilidad!$W$63</definedName>
    <definedName name="solver_rhs3" localSheetId="5" hidden="1">0</definedName>
    <definedName name="solver_rhs3" localSheetId="1" hidden="1">Utilidad!$U$40</definedName>
    <definedName name="solver_rhs30" localSheetId="5" hidden="1">0</definedName>
    <definedName name="solver_rhs30" localSheetId="1" hidden="1">Utilidad!$W$63</definedName>
    <definedName name="solver_rhs31" localSheetId="5" hidden="1">0</definedName>
    <definedName name="solver_rhs31" localSheetId="1" hidden="1">Utilidad!$W$63</definedName>
    <definedName name="solver_rhs32" localSheetId="5" hidden="1">0</definedName>
    <definedName name="solver_rhs32" localSheetId="1" hidden="1">Utilidad!$W$63</definedName>
    <definedName name="solver_rhs33" localSheetId="5" hidden="1">0</definedName>
    <definedName name="solver_rhs33" localSheetId="1" hidden="1">Utilidad!$W$63</definedName>
    <definedName name="solver_rhs34" localSheetId="5" hidden="1">0</definedName>
    <definedName name="solver_rhs34" localSheetId="1" hidden="1">Utilidad!$W$63</definedName>
    <definedName name="solver_rhs35" localSheetId="5" hidden="1">0</definedName>
    <definedName name="solver_rhs35" localSheetId="1" hidden="1">Utilidad!$W$63</definedName>
    <definedName name="solver_rhs36" localSheetId="5" hidden="1">0</definedName>
    <definedName name="solver_rhs36" localSheetId="1" hidden="1">Utilidad!$W$63</definedName>
    <definedName name="solver_rhs37" localSheetId="5" hidden="1">0</definedName>
    <definedName name="solver_rhs37" localSheetId="1" hidden="1">Utilidad!$W$63</definedName>
    <definedName name="solver_rhs38" localSheetId="5" hidden="1">0</definedName>
    <definedName name="solver_rhs38" localSheetId="1" hidden="1">Utilidad!$W$63</definedName>
    <definedName name="solver_rhs39" localSheetId="5" hidden="1">0</definedName>
    <definedName name="solver_rhs39" localSheetId="1" hidden="1">Utilidad!$W$63</definedName>
    <definedName name="solver_rhs4" localSheetId="5" hidden="1">0</definedName>
    <definedName name="solver_rhs4" localSheetId="1" hidden="1">Utilidad!$U$42</definedName>
    <definedName name="solver_rhs40" localSheetId="5" hidden="1">0</definedName>
    <definedName name="solver_rhs40" localSheetId="1" hidden="1">Utilidad!$W$63</definedName>
    <definedName name="solver_rhs41" localSheetId="5" hidden="1">0</definedName>
    <definedName name="solver_rhs41" localSheetId="1" hidden="1">Utilidad!$W$63</definedName>
    <definedName name="solver_rhs42" localSheetId="5" hidden="1">0</definedName>
    <definedName name="solver_rhs42" localSheetId="1" hidden="1">Utilidad!$W$63</definedName>
    <definedName name="solver_rhs43" localSheetId="5" hidden="1">0</definedName>
    <definedName name="solver_rhs43" localSheetId="1" hidden="1">Utilidad!$W$63</definedName>
    <definedName name="solver_rhs44" localSheetId="5" hidden="1">0</definedName>
    <definedName name="solver_rhs44" localSheetId="1" hidden="1">Utilidad!$W$63</definedName>
    <definedName name="solver_rhs45" localSheetId="5" hidden="1">'Bal Fet Pta Pellets'!$K$65</definedName>
    <definedName name="solver_rhs46" localSheetId="5" hidden="1">0</definedName>
    <definedName name="solver_rhs47" localSheetId="5" hidden="1">'Bal Fet Pta Pellets'!$U$103</definedName>
    <definedName name="solver_rhs48" localSheetId="5" hidden="1">'Bal Fet Pta Pellets'!$U$101</definedName>
    <definedName name="solver_rhs49" localSheetId="5" hidden="1">0</definedName>
    <definedName name="solver_rhs5" localSheetId="5" hidden="1">0</definedName>
    <definedName name="solver_rhs5" localSheetId="1" hidden="1">Utilidad!$U$49</definedName>
    <definedName name="solver_rhs50" localSheetId="5" hidden="1">'Bal Fet Pta Pellets'!$U$106</definedName>
    <definedName name="solver_rhs51" localSheetId="5" hidden="1">'Bal Fet Pta Pellets'!$U$116</definedName>
    <definedName name="solver_rhs52" localSheetId="5" hidden="1">'Bal Fet Pta Pellets'!$U$109</definedName>
    <definedName name="solver_rhs53" localSheetId="5" hidden="1">'Bal Fet Pta Pellets'!$K$107</definedName>
    <definedName name="solver_rhs54" localSheetId="5" hidden="1">'Bal Fet Pta Pellets'!$U$80</definedName>
    <definedName name="solver_rhs55" localSheetId="5" hidden="1">'Bal Fet Pta Pellets'!$U$81</definedName>
    <definedName name="solver_rhs56" localSheetId="5" hidden="1">'Bal Fet Pta Pellets'!$U$73</definedName>
    <definedName name="solver_rhs57" localSheetId="5" hidden="1">'Bal Fet Pta Pellets'!$U$76</definedName>
    <definedName name="solver_rhs58" localSheetId="5" hidden="1">'Bal Fet Pta Pellets'!$U$70</definedName>
    <definedName name="solver_rhs59" localSheetId="5" hidden="1">'Bal Fet Pta Pellets'!$W$101</definedName>
    <definedName name="solver_rhs6" localSheetId="5" hidden="1">0</definedName>
    <definedName name="solver_rhs6" localSheetId="1" hidden="1">Utilidad!$U$51</definedName>
    <definedName name="solver_rhs60" localSheetId="5" hidden="1">'Bal Fet Pta Pellets'!$U$89</definedName>
    <definedName name="solver_rhs61" localSheetId="5" hidden="1">'Bal Fet Pta Pellets'!$U$99</definedName>
    <definedName name="solver_rhs62" localSheetId="5" hidden="1">'Bal Fet Pta Pellets'!$U$97</definedName>
    <definedName name="solver_rhs63" localSheetId="5" hidden="1">'Bal Fet Pta Pellets'!$U$86</definedName>
    <definedName name="solver_rhs64" localSheetId="5" hidden="1">'Bal Fet Pta Pellets'!$U$114</definedName>
    <definedName name="solver_rhs65" localSheetId="5" hidden="1">'Bal Fet Pta Pellets'!$U$111</definedName>
    <definedName name="solver_rhs66" localSheetId="5" hidden="1">'Bal Fet Pta Pellets'!$U$62</definedName>
    <definedName name="solver_rhs67" localSheetId="5" hidden="1">'Bal Fet Pta Pellets'!$U$71</definedName>
    <definedName name="solver_rhs68" localSheetId="5" hidden="1">'Bal Fet Pta Pellets'!$U$63</definedName>
    <definedName name="solver_rhs69" localSheetId="5" hidden="1">'Bal Fet Pta Pellets'!$U$68</definedName>
    <definedName name="solver_rhs7" localSheetId="5" hidden="1">0</definedName>
    <definedName name="solver_rhs7" localSheetId="1" hidden="1">Utilidad!$U$62</definedName>
    <definedName name="solver_rhs70" localSheetId="5" hidden="1">'Bal Fet Pta Pellets'!$N$103</definedName>
    <definedName name="solver_rhs71" localSheetId="5" hidden="1">'Bal Fet Pta Pellets'!$W$115</definedName>
    <definedName name="solver_rhs72" localSheetId="5" hidden="1">'Bal Fet Pta Pellets'!$W$111</definedName>
    <definedName name="solver_rhs73" localSheetId="5" hidden="1">'Bal Fet Pta Pellets'!$U$93</definedName>
    <definedName name="solver_rhs74" localSheetId="5" hidden="1">'Bal Fet Pta Pellets'!$W$62</definedName>
    <definedName name="solver_rhs75" localSheetId="5" hidden="1">'Bal Fet Pta Pellets'!$W$71</definedName>
    <definedName name="solver_rhs76" localSheetId="5" hidden="1">'Bal Fet Pta Pellets'!$W$116</definedName>
    <definedName name="solver_rhs77" localSheetId="5" hidden="1">'Bal Fet Pta Pellets'!$W$86</definedName>
    <definedName name="solver_rhs78" localSheetId="5" hidden="1">'Bal Fet Pta Pellets'!$Q$72</definedName>
    <definedName name="solver_rhs79" localSheetId="5" hidden="1">'Bal Fet Pta Pellets'!$W$92</definedName>
    <definedName name="solver_rhs8" localSheetId="5" hidden="1">0</definedName>
    <definedName name="solver_rhs8" localSheetId="1" hidden="1">Utilidad!$U$63</definedName>
    <definedName name="solver_rhs80" localSheetId="5" hidden="1">'Bal Fet Pta Pellets'!$W$92</definedName>
    <definedName name="solver_rhs9" localSheetId="5" hidden="1">0</definedName>
    <definedName name="solver_rhs9" localSheetId="1" hidden="1">Utilidad!$U$68</definedName>
    <definedName name="solver_rlx" localSheetId="5" hidden="1">2</definedName>
    <definedName name="solver_rlx" localSheetId="1" hidden="1">2</definedName>
    <definedName name="solver_rsd" localSheetId="5" hidden="1">0</definedName>
    <definedName name="solver_rsd" localSheetId="1" hidden="1">0</definedName>
    <definedName name="solver_scl" localSheetId="5" hidden="1">1</definedName>
    <definedName name="solver_scl" localSheetId="1" hidden="1">1</definedName>
    <definedName name="solver_sho" localSheetId="5" hidden="1">2</definedName>
    <definedName name="solver_sho" localSheetId="1" hidden="1">2</definedName>
    <definedName name="solver_ssz" localSheetId="5" hidden="1">100</definedName>
    <definedName name="solver_ssz" localSheetId="1" hidden="1">100</definedName>
    <definedName name="solver_tim" localSheetId="5" hidden="1">2147483647</definedName>
    <definedName name="solver_tim" localSheetId="1" hidden="1">2147483647</definedName>
    <definedName name="solver_tol" localSheetId="5" hidden="1">0.01</definedName>
    <definedName name="solver_tol" localSheetId="1" hidden="1">0.01</definedName>
    <definedName name="solver_typ" localSheetId="5" hidden="1">2</definedName>
    <definedName name="solver_typ" localSheetId="4" hidden="1">1</definedName>
    <definedName name="solver_typ" localSheetId="1" hidden="1">2</definedName>
    <definedName name="solver_val" localSheetId="5" hidden="1">0</definedName>
    <definedName name="solver_val" localSheetId="4" hidden="1">0</definedName>
    <definedName name="solver_val" localSheetId="1" hidden="1">0</definedName>
    <definedName name="solver_ver" localSheetId="5" hidden="1">3</definedName>
    <definedName name="solver_ver" localSheetId="4" hidden="1">2</definedName>
    <definedName name="solver_ver" localSheetId="1" hidden="1">3</definedName>
    <definedName name="SUMCHECK">#REF!</definedName>
    <definedName name="SUMCUTONNES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1" i="5" l="1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40" i="5"/>
  <c r="O40" i="5" s="1"/>
  <c r="O41" i="5"/>
  <c r="O42" i="5"/>
  <c r="O44" i="5"/>
  <c r="O45" i="5"/>
  <c r="O46" i="5"/>
  <c r="O47" i="5"/>
  <c r="O48" i="5"/>
  <c r="O49" i="5"/>
  <c r="O50" i="5"/>
  <c r="O51" i="5"/>
  <c r="O52" i="5"/>
  <c r="O53" i="5"/>
  <c r="O54" i="5"/>
  <c r="O55" i="5"/>
  <c r="O57" i="5"/>
  <c r="O58" i="5"/>
  <c r="O59" i="5"/>
  <c r="O60" i="5"/>
  <c r="O62" i="5"/>
  <c r="O63" i="5"/>
  <c r="O64" i="5"/>
  <c r="O65" i="5"/>
  <c r="O66" i="5"/>
  <c r="O67" i="5"/>
  <c r="O68" i="5"/>
  <c r="O69" i="5"/>
  <c r="O70" i="5"/>
  <c r="M41" i="5" l="1"/>
  <c r="M42" i="5"/>
  <c r="M43" i="5"/>
  <c r="O43" i="5" s="1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O56" i="5" s="1"/>
  <c r="J86" i="15" s="1"/>
  <c r="M57" i="5"/>
  <c r="M58" i="5"/>
  <c r="M59" i="5"/>
  <c r="M60" i="5"/>
  <c r="M61" i="5"/>
  <c r="O61" i="5" s="1"/>
  <c r="J87" i="15" s="1"/>
  <c r="M62" i="5"/>
  <c r="M63" i="5"/>
  <c r="M64" i="5"/>
  <c r="N64" i="5"/>
  <c r="M65" i="5"/>
  <c r="N65" i="5"/>
  <c r="M66" i="5"/>
  <c r="N66" i="5"/>
  <c r="M67" i="5"/>
  <c r="N67" i="5"/>
  <c r="J88" i="15"/>
  <c r="M68" i="5"/>
  <c r="N68" i="5"/>
  <c r="M69" i="5"/>
  <c r="N69" i="5"/>
  <c r="M70" i="5"/>
  <c r="N70" i="5"/>
  <c r="M40" i="5"/>
  <c r="J85" i="15"/>
  <c r="J84" i="15"/>
  <c r="J83" i="15"/>
  <c r="J67" i="15" l="1"/>
  <c r="J72" i="15"/>
  <c r="J71" i="15"/>
  <c r="J70" i="15"/>
  <c r="J68" i="15"/>
  <c r="J69" i="15"/>
  <c r="F45" i="15" l="1"/>
  <c r="F47" i="15" l="1"/>
  <c r="L26" i="15" l="1"/>
  <c r="L25" i="15" l="1"/>
  <c r="L27" i="15" l="1"/>
  <c r="J11" i="15" l="1"/>
  <c r="H12" i="15"/>
  <c r="I6" i="15"/>
  <c r="K20" i="15"/>
  <c r="O33" i="15" l="1"/>
  <c r="N71" i="15" l="1"/>
  <c r="N73" i="15"/>
  <c r="G68" i="15" l="1"/>
  <c r="G84" i="15"/>
  <c r="N89" i="15"/>
  <c r="N87" i="15" l="1"/>
  <c r="L67" i="1" l="1"/>
  <c r="K67" i="1"/>
  <c r="L71" i="1"/>
  <c r="K62" i="1"/>
  <c r="L62" i="1"/>
  <c r="K63" i="1"/>
  <c r="L63" i="1"/>
  <c r="K64" i="1"/>
  <c r="L64" i="1"/>
  <c r="K70" i="1"/>
  <c r="L70" i="1" s="1"/>
  <c r="L83" i="1"/>
  <c r="K92" i="1"/>
  <c r="K109" i="1"/>
  <c r="L109" i="1" s="1"/>
  <c r="L114" i="1"/>
  <c r="Y88" i="1"/>
  <c r="L82" i="1" l="1"/>
  <c r="K103" i="1"/>
  <c r="K114" i="1"/>
  <c r="K113" i="1"/>
  <c r="L113" i="1" s="1"/>
  <c r="K111" i="1"/>
  <c r="L111" i="1" s="1"/>
  <c r="K108" i="1"/>
  <c r="L108" i="1" s="1"/>
  <c r="K105" i="1"/>
  <c r="L105" i="1" s="1"/>
  <c r="K101" i="1"/>
  <c r="L101" i="1" s="1"/>
  <c r="K97" i="1"/>
  <c r="L97" i="1" s="1"/>
  <c r="K93" i="1"/>
  <c r="L93" i="1" s="1"/>
  <c r="K86" i="1"/>
  <c r="K85" i="1"/>
  <c r="K83" i="1"/>
  <c r="K82" i="1"/>
  <c r="K81" i="1"/>
  <c r="K78" i="1"/>
  <c r="L78" i="1" s="1"/>
  <c r="K74" i="1"/>
  <c r="L74" i="1" s="1"/>
  <c r="K71" i="1"/>
  <c r="K65" i="1"/>
  <c r="L65" i="1" s="1"/>
  <c r="L81" i="1" l="1"/>
  <c r="L85" i="1"/>
  <c r="K116" i="1"/>
  <c r="L116" i="1" l="1"/>
  <c r="K106" i="1"/>
  <c r="L106" i="1" s="1"/>
  <c r="P4" i="17" l="1"/>
  <c r="P10" i="17" l="1"/>
  <c r="O10" i="17"/>
  <c r="I11" i="17"/>
  <c r="H11" i="17"/>
  <c r="I10" i="17"/>
  <c r="H10" i="17"/>
  <c r="J11" i="17" l="1"/>
  <c r="J10" i="17"/>
  <c r="Q10" i="17"/>
  <c r="R63" i="1" l="1"/>
  <c r="T63" i="1" s="1"/>
  <c r="R62" i="1"/>
  <c r="S86" i="1"/>
  <c r="S92" i="1"/>
  <c r="R103" i="1"/>
  <c r="S114" i="1"/>
  <c r="R64" i="1" l="1"/>
  <c r="R114" i="1" l="1"/>
  <c r="T114" i="1" s="1"/>
  <c r="R109" i="1"/>
  <c r="S71" i="1" l="1"/>
  <c r="S97" i="1" l="1"/>
  <c r="R97" i="1"/>
  <c r="D66" i="1"/>
  <c r="R92" i="1"/>
  <c r="R86" i="1"/>
  <c r="R108" i="1" l="1"/>
  <c r="R85" i="1"/>
  <c r="T85" i="1" s="1"/>
  <c r="S106" i="1"/>
  <c r="R106" i="1"/>
  <c r="S93" i="1"/>
  <c r="R93" i="1"/>
  <c r="S101" i="1"/>
  <c r="R101" i="1"/>
  <c r="S111" i="1"/>
  <c r="R111" i="1"/>
  <c r="S105" i="1"/>
  <c r="R105" i="1"/>
  <c r="S113" i="1"/>
  <c r="R113" i="1"/>
  <c r="S81" i="1"/>
  <c r="R81" i="1"/>
  <c r="S85" i="1"/>
  <c r="R71" i="1"/>
  <c r="V92" i="1"/>
  <c r="D17" i="15"/>
  <c r="D16" i="15"/>
  <c r="C29" i="15"/>
  <c r="C28" i="15"/>
  <c r="N68" i="15" s="1"/>
  <c r="G37" i="15"/>
  <c r="G36" i="15"/>
  <c r="N69" i="15" s="1"/>
  <c r="S37" i="15"/>
  <c r="S36" i="15"/>
  <c r="N70" i="15" s="1"/>
  <c r="O34" i="15"/>
  <c r="S29" i="15"/>
  <c r="P15" i="17" s="1"/>
  <c r="P16" i="17" s="1"/>
  <c r="S28" i="15"/>
  <c r="P23" i="15"/>
  <c r="P22" i="15"/>
  <c r="M31" i="15"/>
  <c r="M30" i="15"/>
  <c r="M16" i="15"/>
  <c r="M15" i="15"/>
  <c r="I26" i="15"/>
  <c r="I25" i="15"/>
  <c r="K21" i="15"/>
  <c r="J12" i="15"/>
  <c r="C9" i="15"/>
  <c r="C8" i="15"/>
  <c r="H13" i="15"/>
  <c r="F6" i="15"/>
  <c r="F7" i="15"/>
  <c r="I7" i="15"/>
  <c r="G27" i="15" l="1"/>
  <c r="S25" i="15"/>
  <c r="N72" i="15"/>
  <c r="L30" i="15"/>
  <c r="L29" i="15" s="1"/>
  <c r="L31" i="15" s="1"/>
  <c r="Q54" i="15"/>
  <c r="D37" i="17" s="1"/>
  <c r="E7" i="15"/>
  <c r="S57" i="15"/>
  <c r="Q57" i="15"/>
  <c r="K34" i="15"/>
  <c r="K33" i="15" s="1"/>
  <c r="O15" i="17"/>
  <c r="Q60" i="15"/>
  <c r="G67" i="15"/>
  <c r="G76" i="15" s="1"/>
  <c r="O20" i="15"/>
  <c r="N67" i="15"/>
  <c r="S74" i="1"/>
  <c r="R74" i="1"/>
  <c r="S65" i="1"/>
  <c r="R65" i="1"/>
  <c r="S78" i="1"/>
  <c r="R78" i="1"/>
  <c r="S70" i="1"/>
  <c r="R70" i="1"/>
  <c r="J19" i="15"/>
  <c r="N76" i="15" l="1"/>
  <c r="Q22" i="15"/>
  <c r="S5" i="15"/>
  <c r="O16" i="17"/>
  <c r="S8" i="15" l="1"/>
  <c r="Z1" i="5" s="1"/>
  <c r="Y92" i="1" l="1"/>
  <c r="AJ83" i="1" l="1"/>
  <c r="AJ79" i="1"/>
  <c r="AJ80" i="1"/>
  <c r="AJ81" i="1"/>
  <c r="AJ82" i="1"/>
  <c r="AJ69" i="1"/>
  <c r="AJ70" i="1"/>
  <c r="AJ71" i="1"/>
  <c r="AJ72" i="1"/>
  <c r="AJ73" i="1"/>
  <c r="AJ74" i="1"/>
  <c r="AJ75" i="1"/>
  <c r="AJ76" i="1"/>
  <c r="AJ77" i="1"/>
  <c r="AJ78" i="1"/>
  <c r="AJ60" i="1"/>
  <c r="AJ61" i="1"/>
  <c r="AJ62" i="1"/>
  <c r="AJ63" i="1"/>
  <c r="AJ64" i="1"/>
  <c r="AJ65" i="1"/>
  <c r="AJ66" i="1"/>
  <c r="AJ67" i="1"/>
  <c r="AJ68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P64" i="1"/>
  <c r="AK31" i="1" s="1"/>
  <c r="P65" i="1"/>
  <c r="P66" i="1"/>
  <c r="P67" i="1"/>
  <c r="AK34" i="1" s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AK53" i="1" s="1"/>
  <c r="P87" i="1"/>
  <c r="P88" i="1"/>
  <c r="P89" i="1"/>
  <c r="P90" i="1"/>
  <c r="P91" i="1"/>
  <c r="P92" i="1"/>
  <c r="AK59" i="1" s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63" i="1"/>
  <c r="AK30" i="1" s="1"/>
  <c r="P62" i="1"/>
  <c r="AK29" i="1" s="1"/>
  <c r="AJ29" i="1"/>
  <c r="N135" i="1"/>
  <c r="K194" i="1" s="1"/>
  <c r="O135" i="1"/>
  <c r="L194" i="1" s="1"/>
  <c r="O147" i="1"/>
  <c r="L206" i="1" s="1"/>
  <c r="O153" i="1"/>
  <c r="L212" i="1" s="1"/>
  <c r="N166" i="1"/>
  <c r="K225" i="1" s="1"/>
  <c r="N154" i="1"/>
  <c r="K213" i="1" s="1"/>
  <c r="V86" i="1"/>
  <c r="AK56" i="1" l="1"/>
  <c r="AK79" i="1"/>
  <c r="AK63" i="1"/>
  <c r="AK82" i="1"/>
  <c r="AK58" i="1"/>
  <c r="AK40" i="1"/>
  <c r="AK67" i="1"/>
  <c r="AK51" i="1"/>
  <c r="AK47" i="1"/>
  <c r="AK35" i="1"/>
  <c r="AK77" i="1"/>
  <c r="AK65" i="1"/>
  <c r="AK33" i="1"/>
  <c r="AK78" i="1"/>
  <c r="AK76" i="1"/>
  <c r="AK32" i="1"/>
  <c r="AK83" i="1"/>
  <c r="AK75" i="1"/>
  <c r="AK68" i="1"/>
  <c r="AK71" i="1"/>
  <c r="AK55" i="1"/>
  <c r="AK43" i="1"/>
  <c r="AK39" i="1"/>
  <c r="AK81" i="1"/>
  <c r="AK73" i="1"/>
  <c r="AK69" i="1"/>
  <c r="AK61" i="1"/>
  <c r="AK57" i="1"/>
  <c r="AK49" i="1"/>
  <c r="AK45" i="1"/>
  <c r="AK41" i="1"/>
  <c r="AK37" i="1"/>
  <c r="AK80" i="1"/>
  <c r="AK72" i="1"/>
  <c r="AK64" i="1"/>
  <c r="AK60" i="1"/>
  <c r="AK52" i="1"/>
  <c r="AK48" i="1"/>
  <c r="AK44" i="1"/>
  <c r="AK36" i="1"/>
  <c r="AK74" i="1"/>
  <c r="AK70" i="1"/>
  <c r="AK66" i="1"/>
  <c r="AK62" i="1"/>
  <c r="AK54" i="1"/>
  <c r="AK50" i="1"/>
  <c r="AK46" i="1"/>
  <c r="AK42" i="1"/>
  <c r="AK38" i="1"/>
  <c r="N153" i="1"/>
  <c r="K212" i="1" s="1"/>
  <c r="F98" i="1"/>
  <c r="L98" i="1" s="1"/>
  <c r="D98" i="1"/>
  <c r="K102" i="1" s="1"/>
  <c r="E91" i="1"/>
  <c r="K91" i="1" s="1"/>
  <c r="F91" i="1"/>
  <c r="L91" i="1" s="1"/>
  <c r="D91" i="1"/>
  <c r="H91" i="1" s="1"/>
  <c r="N131" i="1"/>
  <c r="K190" i="1" s="1"/>
  <c r="S62" i="1"/>
  <c r="F89" i="1"/>
  <c r="L89" i="1" s="1"/>
  <c r="N146" i="1"/>
  <c r="K205" i="1" s="1"/>
  <c r="N174" i="1"/>
  <c r="K233" i="1" s="1"/>
  <c r="N172" i="1"/>
  <c r="K231" i="1" s="1"/>
  <c r="N169" i="1"/>
  <c r="K228" i="1" s="1"/>
  <c r="J63" i="1"/>
  <c r="J124" i="1" s="1"/>
  <c r="J183" i="1" s="1"/>
  <c r="J64" i="1"/>
  <c r="J125" i="1" s="1"/>
  <c r="J184" i="1" s="1"/>
  <c r="J65" i="1"/>
  <c r="J126" i="1" s="1"/>
  <c r="J185" i="1" s="1"/>
  <c r="J66" i="1"/>
  <c r="J127" i="1" s="1"/>
  <c r="J186" i="1" s="1"/>
  <c r="J67" i="1"/>
  <c r="J128" i="1" s="1"/>
  <c r="J187" i="1" s="1"/>
  <c r="J68" i="1"/>
  <c r="J129" i="1" s="1"/>
  <c r="J188" i="1" s="1"/>
  <c r="J69" i="1"/>
  <c r="J130" i="1" s="1"/>
  <c r="J189" i="1" s="1"/>
  <c r="J70" i="1"/>
  <c r="J131" i="1" s="1"/>
  <c r="J190" i="1" s="1"/>
  <c r="J71" i="1"/>
  <c r="J132" i="1" s="1"/>
  <c r="J191" i="1" s="1"/>
  <c r="J72" i="1"/>
  <c r="J133" i="1" s="1"/>
  <c r="J192" i="1" s="1"/>
  <c r="J73" i="1"/>
  <c r="J134" i="1" s="1"/>
  <c r="J193" i="1" s="1"/>
  <c r="J74" i="1"/>
  <c r="J135" i="1" s="1"/>
  <c r="J194" i="1" s="1"/>
  <c r="J75" i="1"/>
  <c r="J136" i="1" s="1"/>
  <c r="J195" i="1" s="1"/>
  <c r="J76" i="1"/>
  <c r="J137" i="1" s="1"/>
  <c r="J196" i="1" s="1"/>
  <c r="J77" i="1"/>
  <c r="J138" i="1" s="1"/>
  <c r="J197" i="1" s="1"/>
  <c r="J78" i="1"/>
  <c r="J139" i="1" s="1"/>
  <c r="J198" i="1" s="1"/>
  <c r="J79" i="1"/>
  <c r="J140" i="1" s="1"/>
  <c r="J199" i="1" s="1"/>
  <c r="J80" i="1"/>
  <c r="J141" i="1" s="1"/>
  <c r="J200" i="1" s="1"/>
  <c r="J81" i="1"/>
  <c r="J142" i="1" s="1"/>
  <c r="J201" i="1" s="1"/>
  <c r="J82" i="1"/>
  <c r="J143" i="1" s="1"/>
  <c r="J202" i="1" s="1"/>
  <c r="J83" i="1"/>
  <c r="J144" i="1" s="1"/>
  <c r="J203" i="1" s="1"/>
  <c r="J84" i="1"/>
  <c r="J145" i="1" s="1"/>
  <c r="J204" i="1" s="1"/>
  <c r="J85" i="1"/>
  <c r="J146" i="1" s="1"/>
  <c r="J205" i="1" s="1"/>
  <c r="J86" i="1"/>
  <c r="J147" i="1" s="1"/>
  <c r="J206" i="1" s="1"/>
  <c r="J87" i="1"/>
  <c r="J148" i="1" s="1"/>
  <c r="J207" i="1" s="1"/>
  <c r="J88" i="1"/>
  <c r="J149" i="1" s="1"/>
  <c r="J208" i="1" s="1"/>
  <c r="J89" i="1"/>
  <c r="J150" i="1" s="1"/>
  <c r="J209" i="1" s="1"/>
  <c r="J90" i="1"/>
  <c r="J151" i="1" s="1"/>
  <c r="J210" i="1" s="1"/>
  <c r="J91" i="1"/>
  <c r="J152" i="1" s="1"/>
  <c r="J211" i="1" s="1"/>
  <c r="J92" i="1"/>
  <c r="J153" i="1" s="1"/>
  <c r="J212" i="1" s="1"/>
  <c r="J93" i="1"/>
  <c r="J154" i="1" s="1"/>
  <c r="J213" i="1" s="1"/>
  <c r="J94" i="1"/>
  <c r="J155" i="1" s="1"/>
  <c r="J214" i="1" s="1"/>
  <c r="J95" i="1"/>
  <c r="J156" i="1" s="1"/>
  <c r="J215" i="1" s="1"/>
  <c r="J96" i="1"/>
  <c r="J157" i="1" s="1"/>
  <c r="J216" i="1" s="1"/>
  <c r="J97" i="1"/>
  <c r="J158" i="1" s="1"/>
  <c r="J217" i="1" s="1"/>
  <c r="J98" i="1"/>
  <c r="J159" i="1" s="1"/>
  <c r="J218" i="1" s="1"/>
  <c r="J99" i="1"/>
  <c r="J160" i="1" s="1"/>
  <c r="J219" i="1" s="1"/>
  <c r="J100" i="1"/>
  <c r="J161" i="1" s="1"/>
  <c r="J220" i="1" s="1"/>
  <c r="J101" i="1"/>
  <c r="J162" i="1" s="1"/>
  <c r="J221" i="1" s="1"/>
  <c r="J102" i="1"/>
  <c r="J163" i="1" s="1"/>
  <c r="J222" i="1" s="1"/>
  <c r="J103" i="1"/>
  <c r="J164" i="1" s="1"/>
  <c r="J223" i="1" s="1"/>
  <c r="J104" i="1"/>
  <c r="J165" i="1" s="1"/>
  <c r="J224" i="1" s="1"/>
  <c r="J105" i="1"/>
  <c r="J166" i="1" s="1"/>
  <c r="J225" i="1" s="1"/>
  <c r="J106" i="1"/>
  <c r="J167" i="1" s="1"/>
  <c r="J226" i="1" s="1"/>
  <c r="J107" i="1"/>
  <c r="J168" i="1" s="1"/>
  <c r="J227" i="1" s="1"/>
  <c r="J108" i="1"/>
  <c r="J169" i="1" s="1"/>
  <c r="J228" i="1" s="1"/>
  <c r="J109" i="1"/>
  <c r="J170" i="1" s="1"/>
  <c r="J229" i="1" s="1"/>
  <c r="J110" i="1"/>
  <c r="J171" i="1" s="1"/>
  <c r="J230" i="1" s="1"/>
  <c r="J111" i="1"/>
  <c r="J172" i="1" s="1"/>
  <c r="J231" i="1" s="1"/>
  <c r="J112" i="1"/>
  <c r="J173" i="1" s="1"/>
  <c r="J232" i="1" s="1"/>
  <c r="J113" i="1"/>
  <c r="J174" i="1" s="1"/>
  <c r="J233" i="1" s="1"/>
  <c r="J114" i="1"/>
  <c r="J175" i="1" s="1"/>
  <c r="J234" i="1" s="1"/>
  <c r="J115" i="1"/>
  <c r="J176" i="1" s="1"/>
  <c r="J235" i="1" s="1"/>
  <c r="J116" i="1"/>
  <c r="J177" i="1" s="1"/>
  <c r="J236" i="1" s="1"/>
  <c r="I114" i="1"/>
  <c r="AI81" i="1" s="1"/>
  <c r="I115" i="1"/>
  <c r="AI82" i="1" s="1"/>
  <c r="I116" i="1"/>
  <c r="AI83" i="1" s="1"/>
  <c r="I111" i="1"/>
  <c r="AI78" i="1" s="1"/>
  <c r="I112" i="1"/>
  <c r="AI79" i="1" s="1"/>
  <c r="I113" i="1"/>
  <c r="AI80" i="1" s="1"/>
  <c r="I101" i="1"/>
  <c r="AI68" i="1" s="1"/>
  <c r="I102" i="1"/>
  <c r="AI69" i="1" s="1"/>
  <c r="I103" i="1"/>
  <c r="AI70" i="1" s="1"/>
  <c r="I104" i="1"/>
  <c r="AI71" i="1" s="1"/>
  <c r="I105" i="1"/>
  <c r="AI72" i="1" s="1"/>
  <c r="I106" i="1"/>
  <c r="AI73" i="1" s="1"/>
  <c r="I107" i="1"/>
  <c r="AI74" i="1" s="1"/>
  <c r="I108" i="1"/>
  <c r="AI75" i="1" s="1"/>
  <c r="I109" i="1"/>
  <c r="AI76" i="1" s="1"/>
  <c r="I110" i="1"/>
  <c r="AI77" i="1" s="1"/>
  <c r="I64" i="1"/>
  <c r="AI31" i="1" s="1"/>
  <c r="I65" i="1"/>
  <c r="AI32" i="1" s="1"/>
  <c r="I66" i="1"/>
  <c r="AI33" i="1" s="1"/>
  <c r="I67" i="1"/>
  <c r="AI34" i="1" s="1"/>
  <c r="I68" i="1"/>
  <c r="AI35" i="1" s="1"/>
  <c r="I69" i="1"/>
  <c r="AI36" i="1" s="1"/>
  <c r="I70" i="1"/>
  <c r="AI37" i="1" s="1"/>
  <c r="I71" i="1"/>
  <c r="AI38" i="1" s="1"/>
  <c r="I72" i="1"/>
  <c r="AI39" i="1" s="1"/>
  <c r="I73" i="1"/>
  <c r="AI40" i="1" s="1"/>
  <c r="I74" i="1"/>
  <c r="AI41" i="1" s="1"/>
  <c r="I75" i="1"/>
  <c r="AI42" i="1" s="1"/>
  <c r="I76" i="1"/>
  <c r="AI43" i="1" s="1"/>
  <c r="I77" i="1"/>
  <c r="AI44" i="1" s="1"/>
  <c r="I78" i="1"/>
  <c r="AI45" i="1" s="1"/>
  <c r="I79" i="1"/>
  <c r="AI46" i="1" s="1"/>
  <c r="I80" i="1"/>
  <c r="AI47" i="1" s="1"/>
  <c r="I81" i="1"/>
  <c r="AI48" i="1" s="1"/>
  <c r="I82" i="1"/>
  <c r="AI49" i="1" s="1"/>
  <c r="I83" i="1"/>
  <c r="AI50" i="1" s="1"/>
  <c r="I84" i="1"/>
  <c r="AI51" i="1" s="1"/>
  <c r="I85" i="1"/>
  <c r="AI52" i="1" s="1"/>
  <c r="I86" i="1"/>
  <c r="AI53" i="1" s="1"/>
  <c r="I87" i="1"/>
  <c r="AI54" i="1" s="1"/>
  <c r="I88" i="1"/>
  <c r="AI55" i="1" s="1"/>
  <c r="I89" i="1"/>
  <c r="AI56" i="1" s="1"/>
  <c r="I90" i="1"/>
  <c r="AI57" i="1" s="1"/>
  <c r="I91" i="1"/>
  <c r="AI58" i="1" s="1"/>
  <c r="I92" i="1"/>
  <c r="AI59" i="1" s="1"/>
  <c r="I93" i="1"/>
  <c r="AI60" i="1" s="1"/>
  <c r="I94" i="1"/>
  <c r="AI61" i="1" s="1"/>
  <c r="I95" i="1"/>
  <c r="AI62" i="1" s="1"/>
  <c r="I96" i="1"/>
  <c r="AI63" i="1" s="1"/>
  <c r="I97" i="1"/>
  <c r="AI64" i="1" s="1"/>
  <c r="I98" i="1"/>
  <c r="AI65" i="1" s="1"/>
  <c r="I99" i="1"/>
  <c r="AI66" i="1" s="1"/>
  <c r="I100" i="1"/>
  <c r="AI67" i="1" s="1"/>
  <c r="I63" i="1"/>
  <c r="AI30" i="1" s="1"/>
  <c r="I62" i="1"/>
  <c r="AI29" i="1" s="1"/>
  <c r="E98" i="1"/>
  <c r="K98" i="1" s="1"/>
  <c r="G91" i="1"/>
  <c r="L102" i="1" l="1"/>
  <c r="S98" i="1"/>
  <c r="O150" i="1"/>
  <c r="L209" i="1" s="1"/>
  <c r="R91" i="1"/>
  <c r="R98" i="1"/>
  <c r="H98" i="1"/>
  <c r="S109" i="1"/>
  <c r="S91" i="1"/>
  <c r="V91" i="1" s="1"/>
  <c r="G98" i="1"/>
  <c r="Z40" i="1"/>
  <c r="Y33" i="1"/>
  <c r="N170" i="1"/>
  <c r="K229" i="1" s="1"/>
  <c r="T86" i="1"/>
  <c r="N147" i="1"/>
  <c r="K206" i="1" s="1"/>
  <c r="N126" i="1"/>
  <c r="K185" i="1" s="1"/>
  <c r="N139" i="1"/>
  <c r="K198" i="1" s="1"/>
  <c r="N175" i="1"/>
  <c r="K234" i="1" s="1"/>
  <c r="N162" i="1"/>
  <c r="K221" i="1" s="1"/>
  <c r="O162" i="1"/>
  <c r="L221" i="1" s="1"/>
  <c r="N132" i="1"/>
  <c r="K191" i="1" s="1"/>
  <c r="O152" i="1"/>
  <c r="L211" i="1" s="1"/>
  <c r="O159" i="1"/>
  <c r="L218" i="1" s="1"/>
  <c r="N167" i="1"/>
  <c r="K226" i="1" s="1"/>
  <c r="O132" i="1"/>
  <c r="L191" i="1" s="1"/>
  <c r="O166" i="1"/>
  <c r="L225" i="1" s="1"/>
  <c r="O154" i="1"/>
  <c r="L213" i="1" s="1"/>
  <c r="R116" i="1"/>
  <c r="S108" i="1"/>
  <c r="T113" i="1"/>
  <c r="S89" i="1" l="1"/>
  <c r="N152" i="1"/>
  <c r="K211" i="1" s="1"/>
  <c r="N159" i="1"/>
  <c r="K218" i="1" s="1"/>
  <c r="V113" i="1"/>
  <c r="O174" i="1"/>
  <c r="L233" i="1" s="1"/>
  <c r="O167" i="1"/>
  <c r="L226" i="1" s="1"/>
  <c r="V114" i="1"/>
  <c r="O175" i="1"/>
  <c r="L234" i="1" s="1"/>
  <c r="O170" i="1"/>
  <c r="L229" i="1" s="1"/>
  <c r="O126" i="1"/>
  <c r="L185" i="1" s="1"/>
  <c r="O131" i="1"/>
  <c r="L190" i="1" s="1"/>
  <c r="O172" i="1"/>
  <c r="L231" i="1" s="1"/>
  <c r="O169" i="1"/>
  <c r="L228" i="1" s="1"/>
  <c r="V85" i="1"/>
  <c r="O146" i="1"/>
  <c r="L205" i="1" s="1"/>
  <c r="O139" i="1"/>
  <c r="L198" i="1" s="1"/>
  <c r="T116" i="1"/>
  <c r="N177" i="1"/>
  <c r="K236" i="1" s="1"/>
  <c r="S116" i="1"/>
  <c r="N142" i="1" l="1"/>
  <c r="K201" i="1" s="1"/>
  <c r="V116" i="1"/>
  <c r="O177" i="1"/>
  <c r="L236" i="1" s="1"/>
  <c r="O142" i="1" l="1"/>
  <c r="L201" i="1" s="1"/>
  <c r="M63" i="1" l="1"/>
  <c r="I8" i="15" l="1"/>
  <c r="G83" i="15" l="1"/>
  <c r="G92" i="15" s="1"/>
  <c r="N123" i="1" l="1"/>
  <c r="K182" i="1" s="1"/>
  <c r="S30" i="15" l="1"/>
  <c r="N88" i="15" s="1"/>
  <c r="Q15" i="17" l="1"/>
  <c r="Q16" i="17" s="1"/>
  <c r="K22" i="15"/>
  <c r="J13" i="15"/>
  <c r="H14" i="15"/>
  <c r="F112" i="1"/>
  <c r="L112" i="1" s="1"/>
  <c r="M32" i="15" l="1"/>
  <c r="O35" i="15"/>
  <c r="F8" i="15"/>
  <c r="D18" i="15"/>
  <c r="P24" i="15"/>
  <c r="S38" i="15"/>
  <c r="N86" i="15" s="1"/>
  <c r="I27" i="15"/>
  <c r="C10" i="15"/>
  <c r="M17" i="15"/>
  <c r="G38" i="15"/>
  <c r="S112" i="1"/>
  <c r="C30" i="15"/>
  <c r="N84" i="15" s="1"/>
  <c r="D96" i="1"/>
  <c r="K95" i="1" s="1"/>
  <c r="D115" i="1"/>
  <c r="K107" i="1" s="1"/>
  <c r="F80" i="1"/>
  <c r="L80" i="1" s="1"/>
  <c r="G29" i="15" l="1"/>
  <c r="G28" i="15" s="1"/>
  <c r="K41" i="15"/>
  <c r="J38" i="15"/>
  <c r="R18" i="15"/>
  <c r="I34" i="15"/>
  <c r="I32" i="15"/>
  <c r="N85" i="15"/>
  <c r="N83" i="15"/>
  <c r="E9" i="15"/>
  <c r="E8" i="15" s="1"/>
  <c r="O22" i="15"/>
  <c r="O21" i="15" s="1"/>
  <c r="S58" i="15"/>
  <c r="K36" i="15"/>
  <c r="K35" i="15" s="1"/>
  <c r="Q61" i="15"/>
  <c r="Q55" i="15"/>
  <c r="K37" i="17" s="1"/>
  <c r="Q58" i="15"/>
  <c r="O173" i="1"/>
  <c r="L232" i="1" s="1"/>
  <c r="S80" i="1"/>
  <c r="R107" i="1"/>
  <c r="O141" i="1"/>
  <c r="L200" i="1" s="1"/>
  <c r="R95" i="1"/>
  <c r="H96" i="1"/>
  <c r="H115" i="1"/>
  <c r="D112" i="1"/>
  <c r="N92" i="15" l="1"/>
  <c r="N156" i="1"/>
  <c r="K215" i="1" s="1"/>
  <c r="N168" i="1"/>
  <c r="K227" i="1" s="1"/>
  <c r="Y106" i="1"/>
  <c r="H112" i="1"/>
  <c r="D80" i="1"/>
  <c r="K79" i="1" s="1"/>
  <c r="K76" i="1" s="1"/>
  <c r="F100" i="1"/>
  <c r="L100" i="1" s="1"/>
  <c r="S100" i="1" l="1"/>
  <c r="N124" i="1"/>
  <c r="K183" i="1" s="1"/>
  <c r="H80" i="1"/>
  <c r="O161" i="1" l="1"/>
  <c r="L220" i="1" s="1"/>
  <c r="N125" i="1"/>
  <c r="K184" i="1" s="1"/>
  <c r="F115" i="1" l="1"/>
  <c r="L115" i="1" s="1"/>
  <c r="L107" i="1" s="1"/>
  <c r="S107" i="1" l="1"/>
  <c r="S115" i="1"/>
  <c r="V115" i="1" s="1"/>
  <c r="O176" i="1"/>
  <c r="L235" i="1" s="1"/>
  <c r="O168" i="1" l="1"/>
  <c r="L227" i="1" s="1"/>
  <c r="H66" i="1"/>
  <c r="R67" i="1"/>
  <c r="D100" i="1"/>
  <c r="K99" i="1" s="1"/>
  <c r="L8" i="1"/>
  <c r="F84" i="1"/>
  <c r="L84" i="1" s="1"/>
  <c r="S84" i="1" l="1"/>
  <c r="D84" i="1"/>
  <c r="N128" i="1"/>
  <c r="K187" i="1" s="1"/>
  <c r="H100" i="1"/>
  <c r="R99" i="1"/>
  <c r="O145" i="1" l="1"/>
  <c r="L204" i="1" s="1"/>
  <c r="H84" i="1"/>
  <c r="R76" i="1"/>
  <c r="N160" i="1"/>
  <c r="K219" i="1" s="1"/>
  <c r="S99" i="1"/>
  <c r="T71" i="1"/>
  <c r="V71" i="1"/>
  <c r="T78" i="1"/>
  <c r="V78" i="1"/>
  <c r="R79" i="1" l="1"/>
  <c r="T79" i="1" s="1"/>
  <c r="N140" i="1"/>
  <c r="K199" i="1" s="1"/>
  <c r="N137" i="1"/>
  <c r="K196" i="1" s="1"/>
  <c r="O160" i="1"/>
  <c r="L219" i="1" s="1"/>
  <c r="T81" i="1"/>
  <c r="V111" i="1"/>
  <c r="V81" i="1"/>
  <c r="T108" i="1"/>
  <c r="T98" i="1"/>
  <c r="V98" i="1"/>
  <c r="V108" i="1"/>
  <c r="V106" i="1"/>
  <c r="T106" i="1"/>
  <c r="T111" i="1"/>
  <c r="V100" i="1"/>
  <c r="V89" i="1"/>
  <c r="R83" i="1" l="1"/>
  <c r="S83" i="1"/>
  <c r="N144" i="1"/>
  <c r="K203" i="1" s="1"/>
  <c r="R82" i="1"/>
  <c r="F73" i="1"/>
  <c r="L73" i="1" s="1"/>
  <c r="D73" i="1"/>
  <c r="J62" i="1"/>
  <c r="J123" i="1" s="1"/>
  <c r="J182" i="1" s="1"/>
  <c r="H73" i="1" l="1"/>
  <c r="S73" i="1"/>
  <c r="S82" i="1"/>
  <c r="N143" i="1"/>
  <c r="K202" i="1" s="1"/>
  <c r="O144" i="1"/>
  <c r="L203" i="1" s="1"/>
  <c r="V83" i="1"/>
  <c r="G73" i="1"/>
  <c r="E73" i="1"/>
  <c r="K73" i="1" s="1"/>
  <c r="V70" i="1"/>
  <c r="T65" i="1"/>
  <c r="V65" i="1"/>
  <c r="T70" i="1"/>
  <c r="O123" i="1"/>
  <c r="L182" i="1" s="1"/>
  <c r="V62" i="1"/>
  <c r="T62" i="1"/>
  <c r="O134" i="1" l="1"/>
  <c r="L193" i="1" s="1"/>
  <c r="R73" i="1"/>
  <c r="O15" i="1"/>
  <c r="N134" i="1"/>
  <c r="K193" i="1" s="1"/>
  <c r="O143" i="1"/>
  <c r="L202" i="1" s="1"/>
  <c r="V73" i="1"/>
  <c r="T73" i="1" l="1"/>
  <c r="T64" i="1"/>
  <c r="F110" i="1" l="1"/>
  <c r="L110" i="1" s="1"/>
  <c r="F96" i="1"/>
  <c r="L96" i="1" s="1"/>
  <c r="L95" i="1" s="1"/>
  <c r="F66" i="1"/>
  <c r="L66" i="1" s="1"/>
  <c r="F68" i="1"/>
  <c r="L68" i="1" s="1"/>
  <c r="S68" i="1" l="1"/>
  <c r="S110" i="1"/>
  <c r="S95" i="1"/>
  <c r="S96" i="1"/>
  <c r="D110" i="1"/>
  <c r="H110" i="1" s="1"/>
  <c r="D68" i="1"/>
  <c r="K69" i="1" s="1"/>
  <c r="K72" i="1" s="1"/>
  <c r="K75" i="1" s="1"/>
  <c r="O171" i="1"/>
  <c r="L230" i="1" s="1"/>
  <c r="O129" i="1"/>
  <c r="L188" i="1" s="1"/>
  <c r="O157" i="1"/>
  <c r="L216" i="1" s="1"/>
  <c r="G84" i="1"/>
  <c r="AB42" i="1"/>
  <c r="G100" i="1"/>
  <c r="T109" i="1"/>
  <c r="E110" i="1"/>
  <c r="K110" i="1" s="1"/>
  <c r="E112" i="1"/>
  <c r="K112" i="1" s="1"/>
  <c r="E115" i="1"/>
  <c r="K115" i="1" s="1"/>
  <c r="E80" i="1"/>
  <c r="K80" i="1" s="1"/>
  <c r="E68" i="1"/>
  <c r="K68" i="1" s="1"/>
  <c r="E84" i="1"/>
  <c r="K84" i="1" s="1"/>
  <c r="E96" i="1"/>
  <c r="K96" i="1" s="1"/>
  <c r="E100" i="1"/>
  <c r="K100" i="1" s="1"/>
  <c r="G110" i="1"/>
  <c r="G115" i="1"/>
  <c r="S26" i="1"/>
  <c r="E66" i="1"/>
  <c r="K66" i="1" s="1"/>
  <c r="K77" i="1" l="1"/>
  <c r="K87" i="1" s="1"/>
  <c r="L69" i="1"/>
  <c r="L72" i="1" s="1"/>
  <c r="L75" i="1" s="1"/>
  <c r="S66" i="1"/>
  <c r="V66" i="1" s="1"/>
  <c r="N129" i="1"/>
  <c r="K188" i="1" s="1"/>
  <c r="R80" i="1"/>
  <c r="O127" i="1"/>
  <c r="L186" i="1" s="1"/>
  <c r="R96" i="1"/>
  <c r="R84" i="1"/>
  <c r="T84" i="1" s="1"/>
  <c r="R112" i="1"/>
  <c r="T112" i="1" s="1"/>
  <c r="R100" i="1"/>
  <c r="T100" i="1" s="1"/>
  <c r="R110" i="1"/>
  <c r="R66" i="1"/>
  <c r="R115" i="1"/>
  <c r="T115" i="1" s="1"/>
  <c r="O156" i="1"/>
  <c r="L215" i="1" s="1"/>
  <c r="H68" i="1"/>
  <c r="R69" i="1"/>
  <c r="N173" i="1"/>
  <c r="K232" i="1" s="1"/>
  <c r="S63" i="1"/>
  <c r="G112" i="1"/>
  <c r="G66" i="1"/>
  <c r="G68" i="1"/>
  <c r="G80" i="1"/>
  <c r="G96" i="1"/>
  <c r="R22" i="1"/>
  <c r="W38" i="1"/>
  <c r="M10" i="1"/>
  <c r="AE54" i="1"/>
  <c r="AC52" i="1"/>
  <c r="AD57" i="1"/>
  <c r="V107" i="1"/>
  <c r="T107" i="1"/>
  <c r="V84" i="1"/>
  <c r="V80" i="1"/>
  <c r="V109" i="1"/>
  <c r="T105" i="1"/>
  <c r="K90" i="1" l="1"/>
  <c r="K88" i="1"/>
  <c r="L77" i="1"/>
  <c r="L76" i="1"/>
  <c r="N141" i="1"/>
  <c r="K200" i="1" s="1"/>
  <c r="N127" i="1"/>
  <c r="K186" i="1" s="1"/>
  <c r="R68" i="1"/>
  <c r="N171" i="1"/>
  <c r="K230" i="1" s="1"/>
  <c r="N157" i="1"/>
  <c r="K216" i="1" s="1"/>
  <c r="N161" i="1"/>
  <c r="K220" i="1" s="1"/>
  <c r="N145" i="1"/>
  <c r="K204" i="1" s="1"/>
  <c r="N176" i="1"/>
  <c r="K235" i="1" s="1"/>
  <c r="R72" i="1"/>
  <c r="N130" i="1"/>
  <c r="K189" i="1" s="1"/>
  <c r="V63" i="1"/>
  <c r="O124" i="1"/>
  <c r="L183" i="1" s="1"/>
  <c r="S64" i="1"/>
  <c r="V112" i="1"/>
  <c r="T96" i="1"/>
  <c r="V96" i="1"/>
  <c r="T110" i="1"/>
  <c r="L88" i="1" l="1"/>
  <c r="L90" i="1" s="1"/>
  <c r="L79" i="1"/>
  <c r="S76" i="1"/>
  <c r="O137" i="1"/>
  <c r="L196" i="1" s="1"/>
  <c r="N133" i="1"/>
  <c r="K192" i="1" s="1"/>
  <c r="O125" i="1"/>
  <c r="L184" i="1" s="1"/>
  <c r="V64" i="1"/>
  <c r="S67" i="1"/>
  <c r="T69" i="1"/>
  <c r="T80" i="1"/>
  <c r="T92" i="1"/>
  <c r="V110" i="1"/>
  <c r="S79" i="1" l="1"/>
  <c r="V79" i="1" s="1"/>
  <c r="O140" i="1"/>
  <c r="L199" i="1" s="1"/>
  <c r="R75" i="1"/>
  <c r="T75" i="1" s="1"/>
  <c r="R77" i="1"/>
  <c r="N136" i="1"/>
  <c r="K195" i="1" s="1"/>
  <c r="O128" i="1"/>
  <c r="L187" i="1" s="1"/>
  <c r="V67" i="1"/>
  <c r="S69" i="1"/>
  <c r="T91" i="1"/>
  <c r="T72" i="1"/>
  <c r="T68" i="1"/>
  <c r="T67" i="1"/>
  <c r="T66" i="1"/>
  <c r="T82" i="1"/>
  <c r="P42" i="15" l="1"/>
  <c r="P40" i="15"/>
  <c r="N138" i="1"/>
  <c r="K197" i="1" s="1"/>
  <c r="O130" i="1"/>
  <c r="L189" i="1" s="1"/>
  <c r="V69" i="1"/>
  <c r="S72" i="1"/>
  <c r="V82" i="1"/>
  <c r="V68" i="1"/>
  <c r="P41" i="15" l="1"/>
  <c r="R87" i="1"/>
  <c r="T87" i="1" s="1"/>
  <c r="R88" i="1"/>
  <c r="N148" i="1"/>
  <c r="K207" i="1" s="1"/>
  <c r="O133" i="1"/>
  <c r="L192" i="1" s="1"/>
  <c r="V72" i="1"/>
  <c r="S75" i="1"/>
  <c r="V74" i="1"/>
  <c r="T74" i="1"/>
  <c r="T101" i="1"/>
  <c r="N149" i="1" l="1"/>
  <c r="K208" i="1" s="1"/>
  <c r="T88" i="1"/>
  <c r="O136" i="1"/>
  <c r="L195" i="1" s="1"/>
  <c r="V75" i="1"/>
  <c r="S77" i="1"/>
  <c r="N158" i="1" l="1"/>
  <c r="K217" i="1" s="1"/>
  <c r="R102" i="1"/>
  <c r="T97" i="1"/>
  <c r="T103" i="1"/>
  <c r="N164" i="1"/>
  <c r="K223" i="1" s="1"/>
  <c r="O138" i="1"/>
  <c r="L197" i="1" s="1"/>
  <c r="S87" i="1"/>
  <c r="T102" i="1" l="1"/>
  <c r="N163" i="1"/>
  <c r="K222" i="1" s="1"/>
  <c r="V87" i="1"/>
  <c r="O148" i="1"/>
  <c r="L207" i="1" s="1"/>
  <c r="S88" i="1"/>
  <c r="T93" i="1"/>
  <c r="O149" i="1" l="1"/>
  <c r="L208" i="1" s="1"/>
  <c r="S90" i="1"/>
  <c r="S103" i="1"/>
  <c r="T95" i="1"/>
  <c r="T76" i="1"/>
  <c r="V76" i="1"/>
  <c r="T83" i="1"/>
  <c r="T77" i="1"/>
  <c r="O151" i="1" l="1"/>
  <c r="L210" i="1" s="1"/>
  <c r="V103" i="1"/>
  <c r="O164" i="1"/>
  <c r="L223" i="1" s="1"/>
  <c r="T99" i="1"/>
  <c r="V77" i="1" l="1"/>
  <c r="V97" i="1" l="1"/>
  <c r="O158" i="1"/>
  <c r="L217" i="1" s="1"/>
  <c r="S102" i="1"/>
  <c r="O163" i="1" l="1"/>
  <c r="L222" i="1" s="1"/>
  <c r="V93" i="1" l="1"/>
  <c r="V90" i="1" l="1"/>
  <c r="V95" i="1"/>
  <c r="V99" i="1"/>
  <c r="V101" i="1" l="1"/>
  <c r="V105" i="1"/>
  <c r="V102" i="1" l="1"/>
  <c r="V88" i="1" l="1"/>
  <c r="N151" i="1" l="1"/>
  <c r="K210" i="1" s="1"/>
  <c r="R90" i="1"/>
  <c r="T90" i="1" s="1"/>
  <c r="K94" i="1"/>
  <c r="L94" i="1" s="1"/>
  <c r="K104" i="1"/>
  <c r="L104" i="1" s="1"/>
  <c r="N165" i="1" l="1"/>
  <c r="K224" i="1" s="1"/>
  <c r="N155" i="1"/>
  <c r="K214" i="1" s="1"/>
  <c r="Y105" i="1"/>
  <c r="Z106" i="1" s="1"/>
  <c r="R94" i="1"/>
  <c r="T94" i="1" s="1"/>
  <c r="S104" i="1"/>
  <c r="V104" i="1" s="1"/>
  <c r="O165" i="1"/>
  <c r="L224" i="1" s="1"/>
  <c r="O155" i="1"/>
  <c r="L214" i="1" s="1"/>
  <c r="S94" i="1"/>
  <c r="V94" i="1" s="1"/>
  <c r="R104" i="1"/>
  <c r="T104" i="1" s="1"/>
  <c r="V61" i="1" l="1"/>
  <c r="E89" i="1" l="1"/>
  <c r="K89" i="1" s="1"/>
  <c r="D89" i="1"/>
  <c r="H89" i="1" s="1"/>
  <c r="V31" i="1" l="1"/>
  <c r="AI3" i="1" s="1" a="1"/>
  <c r="G89" i="1"/>
  <c r="N150" i="1"/>
  <c r="K209" i="1" s="1"/>
  <c r="AD85" i="1" s="1"/>
  <c r="R89" i="1"/>
  <c r="T89" i="1" s="1"/>
  <c r="T61" i="1" s="1"/>
  <c r="AI3" i="1" l="1"/>
  <c r="K3" i="15" l="1"/>
  <c r="K5" i="15" l="1"/>
  <c r="L3" i="15"/>
  <c r="L4" i="15" s="1"/>
  <c r="S54" i="15" l="1"/>
  <c r="S60" i="15"/>
  <c r="S55" i="15" l="1"/>
  <c r="S61" i="15"/>
  <c r="G23" i="17" l="1"/>
  <c r="J23" i="17" l="1"/>
  <c r="H23" i="17"/>
  <c r="I23" i="17" l="1"/>
  <c r="J92" i="15" l="1"/>
  <c r="N94" i="15" s="1"/>
  <c r="J76" i="15"/>
  <c r="N78" i="15" s="1"/>
  <c r="Q13" i="17" l="1"/>
  <c r="O13" i="17" l="1"/>
  <c r="P13" i="17" s="1"/>
  <c r="N13" i="17" l="1"/>
  <c r="CL25" i="1" l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D61" i="1" l="1" a="1"/>
  <c r="AD61" i="1" s="1"/>
  <c r="AD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K7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No hay referencia en Hoja Datos Planta Húmeda</t>
        </r>
      </text>
    </comment>
    <comment ref="K8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Valor arbitrario usado en balances anteriores</t>
        </r>
      </text>
    </comment>
    <comment ref="K9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Estimado proporcionmal (1000 al mes)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<sst xmlns="http://schemas.openxmlformats.org/spreadsheetml/2006/main" count="287" uniqueCount="201">
  <si>
    <t>Nodo Alim Stock Planta Pellet</t>
  </si>
  <si>
    <t>Stock Silos de Molienda</t>
  </si>
  <si>
    <t>TMH</t>
  </si>
  <si>
    <t>%FeT</t>
  </si>
  <si>
    <t>TMF</t>
  </si>
  <si>
    <t>Delta Stock P40</t>
  </si>
  <si>
    <t>Delta Stock Pila Intermedia</t>
  </si>
  <si>
    <t>de Pila Intermedia a Balling</t>
  </si>
  <si>
    <t>De endurecimiento a Harnero Producto</t>
  </si>
  <si>
    <t>De Harnero Producto a Stock Pellets Básico</t>
  </si>
  <si>
    <t>Delta Stock Pellet Feed</t>
  </si>
  <si>
    <t>Delta Stock Finos Huasco</t>
  </si>
  <si>
    <t>Delta Stock Pellet Básico</t>
  </si>
  <si>
    <t>Stock Sinter Feed</t>
  </si>
  <si>
    <t>Stock Pellet Feed</t>
  </si>
  <si>
    <t xml:space="preserve"> </t>
  </si>
  <si>
    <t>Molienda Clasificación</t>
  </si>
  <si>
    <t>Filtrado</t>
  </si>
  <si>
    <t>Stock Pila Intermedia</t>
  </si>
  <si>
    <t>Balling</t>
  </si>
  <si>
    <t>Endurecimiento Térmico</t>
  </si>
  <si>
    <t>Pila de Emergencia</t>
  </si>
  <si>
    <t>Harnero Pruducto</t>
  </si>
  <si>
    <t>Planta Re-Harneo</t>
  </si>
  <si>
    <t>Stock Pellet Básico</t>
  </si>
  <si>
    <t>Stock Finos Huasco</t>
  </si>
  <si>
    <t>Stock Pellet Chip</t>
  </si>
  <si>
    <t>Nodo Alimentaciones Embarque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</si>
  <si>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</si>
  <si>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</si>
  <si>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</si>
  <si>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</si>
  <si>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</si>
  <si>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</si>
  <si>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</si>
  <si>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</si>
  <si>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</si>
  <si>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</si>
  <si>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</si>
  <si>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</si>
  <si>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</si>
  <si>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Preconc Los Colorados a Stock Sinter Feed</t>
  </si>
  <si>
    <t>Prec los Colorados a Stock Prec Planta Pellet</t>
  </si>
  <si>
    <t>Aliment Molienda Clasificación</t>
  </si>
  <si>
    <t>Delta Stock Silos Molienda</t>
  </si>
  <si>
    <t>EMISARIO SUBMARINO</t>
  </si>
  <si>
    <t>de Pila Intermadia a Stok Pellet Feed</t>
  </si>
  <si>
    <t>Aditivo a Balling</t>
  </si>
  <si>
    <t>Aporte Oxidación Endurecimiento</t>
  </si>
  <si>
    <t>Delta Stock Pila Emergencia</t>
  </si>
  <si>
    <t xml:space="preserve">Alim endurecido a Pila Emergencia </t>
  </si>
  <si>
    <t>Stock prec Planta de Pellet</t>
  </si>
  <si>
    <t>Re-Harneo a Stock Prec Planta Pellet</t>
  </si>
  <si>
    <t>Alim Harnero Producto desde Pila de Emergencia</t>
  </si>
  <si>
    <t>A embarque desde Stock Finos Huasco</t>
  </si>
  <si>
    <t>A embarque desde Stock Sinter Feed</t>
  </si>
  <si>
    <t>Delta Stock Sinter Feed</t>
  </si>
  <si>
    <t>A embarque desde Stock Pellet Chip</t>
  </si>
  <si>
    <t>Delta Stock Pellet Chip</t>
  </si>
  <si>
    <t>Total Embarcado</t>
  </si>
  <si>
    <t>TMS</t>
  </si>
  <si>
    <t>%Fe 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</si>
  <si>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</si>
  <si>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</si>
  <si>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</si>
  <si>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</si>
  <si>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</si>
  <si>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</si>
  <si>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</si>
  <si>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</si>
  <si>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</si>
  <si>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</si>
  <si>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</si>
  <si>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</si>
  <si>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Alimentación Planta Rechazo</t>
  </si>
  <si>
    <t>Delta Stock  Prec Planta Pellet</t>
  </si>
  <si>
    <t>Alim Silos Molienda</t>
  </si>
  <si>
    <t>Delta TK inventarios</t>
  </si>
  <si>
    <t xml:space="preserve">Nodo Producto Filtrado  </t>
  </si>
  <si>
    <t xml:space="preserve">Alim Nodo Productos Filtrados  </t>
  </si>
  <si>
    <t>a Stock Pellet Feed (de nodo post filtros)</t>
  </si>
  <si>
    <t>Alim Pila Intermedia desde (de nodo post filtros)</t>
  </si>
  <si>
    <t>De filtros a Balling</t>
  </si>
  <si>
    <t>A embarque de Stock Pellet Feed</t>
  </si>
  <si>
    <t>A embarque desde Pellet básico</t>
  </si>
  <si>
    <t>Pellet verde a edurecimiento</t>
  </si>
  <si>
    <t>total de rechazo</t>
  </si>
  <si>
    <t>Max Var Ton</t>
  </si>
  <si>
    <t>Max Var  Ley</t>
  </si>
  <si>
    <t>Alimentación a TK  Inventarios</t>
  </si>
  <si>
    <t>Alimentación Filtrado</t>
  </si>
  <si>
    <t>% Incertidumbre</t>
  </si>
  <si>
    <t>Alimentación Chip Fresco a Re harneo</t>
  </si>
  <si>
    <t xml:space="preserve">Chip Bajo tamaño de Re Harneo a Stock P Chip de Embarque </t>
  </si>
  <si>
    <t>Intermedio Re harneo de derrames a Stock Pila de Emergencia</t>
  </si>
  <si>
    <t>Traspaso de  P Chip a P Básico</t>
  </si>
  <si>
    <t>Traspaso de F Huasco a S Feed</t>
  </si>
  <si>
    <t>Alimentación de Stock de Derrames a Planta de Re Harneo</t>
  </si>
  <si>
    <t xml:space="preserve"> TK Inventarios</t>
  </si>
  <si>
    <t>Stock Derrames</t>
  </si>
  <si>
    <t>Stock Chunk</t>
  </si>
  <si>
    <t>Stock Chip Fresco</t>
  </si>
  <si>
    <t>De Molienda/clasificación a Stock Derrames</t>
  </si>
  <si>
    <t>Filtrado a Stock Derrames</t>
  </si>
  <si>
    <t>Endurecimiento a Stock Derrames</t>
  </si>
  <si>
    <t>TK Inventario a Stock Derrames</t>
  </si>
  <si>
    <t>Alimentación de Pila Chunk a Re Harneo</t>
  </si>
  <si>
    <t>Chunk de endurecimiento a Pila Chunk</t>
  </si>
  <si>
    <t>Delta Stock Pila Chunk</t>
  </si>
  <si>
    <t>De harnero Producto a Pila Chip Fresco</t>
  </si>
  <si>
    <t>Delta Stock Pila Chip Fresco</t>
  </si>
  <si>
    <t>De Prec Los Colorados Nodo Alim Planta de Pellet</t>
  </si>
  <si>
    <t>Balance Nodos</t>
  </si>
  <si>
    <t>Func Objetivo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</si>
  <si>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</si>
  <si>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</si>
  <si>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</si>
  <si>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</si>
  <si>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</si>
  <si>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</si>
  <si>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</si>
  <si>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</si>
  <si>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VENTAS DESDE ACOPIO MINA</t>
  </si>
  <si>
    <t>RECHAZO FINAL</t>
  </si>
  <si>
    <t>VARIACIONES DE INVENTARIOS</t>
  </si>
  <si>
    <t xml:space="preserve">VAR NETA </t>
  </si>
  <si>
    <t>TOTAL ENTRADAS</t>
  </si>
  <si>
    <t>TOTAL SALIDAS</t>
  </si>
  <si>
    <t>ENTRADAS - VAR INVENTARIO - SALIDAS</t>
  </si>
  <si>
    <t>BALANCE GLOBAL MASA</t>
  </si>
  <si>
    <t>BALANCE GLOBAL FINO</t>
  </si>
  <si>
    <t>Stock Rechazo a Planta Rechazo</t>
  </si>
  <si>
    <t>Producción Planta Rechazo a Stock P40</t>
  </si>
  <si>
    <t xml:space="preserve">Alimentación Total a  Stock Finos Huasco de Embarque </t>
  </si>
  <si>
    <t>BALANCE METALÚRGICO - VALLE HUASCO</t>
  </si>
  <si>
    <t>REPORTE DE MINA LOS COLORADOS</t>
  </si>
  <si>
    <t>FECHA DE BALANCE</t>
  </si>
  <si>
    <t>TONELAJE</t>
  </si>
  <si>
    <t>LEY</t>
  </si>
  <si>
    <t>FINO</t>
  </si>
  <si>
    <t>% FeT</t>
  </si>
  <si>
    <t>PRODUCCIÓN</t>
  </si>
  <si>
    <t>FL_218_501_01</t>
  </si>
  <si>
    <t>Producto a Partir de Mineral</t>
  </si>
  <si>
    <t>Producto a Partir de Preconcentrado</t>
  </si>
  <si>
    <t>Material hacia Planta de Rechazos</t>
  </si>
  <si>
    <t>FL_000_501_03</t>
  </si>
  <si>
    <t>TOTAL</t>
  </si>
  <si>
    <t>TRANSPORTE</t>
  </si>
  <si>
    <t>Preconcentrado hacia Planta de Pellets</t>
  </si>
  <si>
    <t>Sinter Feed hacia Planta de Pellets</t>
  </si>
  <si>
    <t>PÉRDIDAS</t>
  </si>
  <si>
    <t>Preconcentrado hacia Valle Copiapo</t>
  </si>
  <si>
    <t>Rechazos Finales</t>
  </si>
  <si>
    <t>Sinter Feed hacia Valle Copiapo</t>
  </si>
  <si>
    <t>Preconcentrado hacia Valle Elqui</t>
  </si>
  <si>
    <t>Sinter Feed hacia Valle Elqui</t>
  </si>
  <si>
    <t>INVENTARIOS</t>
  </si>
  <si>
    <t>INV_501_01</t>
  </si>
  <si>
    <t>Preconcentrado en Acopios Mina</t>
  </si>
  <si>
    <t>Sinter Feed  62 en Acopios Mina</t>
  </si>
  <si>
    <t>Sinter Feed 65 en Acopios Mina</t>
  </si>
  <si>
    <t>Preconcentrado en Pila Producto</t>
  </si>
  <si>
    <t>Sinter Feed en Pila Producto</t>
  </si>
  <si>
    <t>Preconcentrado P40 en Planta Rechazos</t>
  </si>
  <si>
    <t>INDICADORES PLANTA BENEFICIO LOS COLORADOS</t>
  </si>
  <si>
    <t>RECUPERACIÓN EN PESO PLANTA BENEFICIO</t>
  </si>
  <si>
    <t>RECUPERACIÓN METALÚRGICA PLANTA BENEFICIO</t>
  </si>
  <si>
    <t>Planta Beneficio</t>
  </si>
  <si>
    <t>Rp</t>
  </si>
  <si>
    <t>Rm</t>
  </si>
  <si>
    <t>Planta Global</t>
  </si>
  <si>
    <t>Stock Prec a (o desde) Acopio Mina</t>
  </si>
  <si>
    <t>TMH CH primario</t>
  </si>
  <si>
    <t>TMH Rechazos</t>
  </si>
  <si>
    <t>P45 hacia Valle Copiapó</t>
  </si>
  <si>
    <t>P45 hacia Valle Elqui</t>
  </si>
  <si>
    <t>Alimentación Planta RUMO</t>
  </si>
  <si>
    <t>Rechazo RUMO</t>
  </si>
  <si>
    <t>Producción RUMO</t>
  </si>
  <si>
    <t>RUMO a Venta</t>
  </si>
  <si>
    <t>delta Stock RUMO</t>
  </si>
  <si>
    <t>Desvío venta RUMO a área 61</t>
  </si>
  <si>
    <t>Venta RUMO en camiones</t>
  </si>
  <si>
    <t>Planta Beneficio con piso</t>
  </si>
  <si>
    <t>STOCK DE RECHAZO</t>
  </si>
  <si>
    <t>STOCK P40</t>
  </si>
  <si>
    <t>STOCK RUMO</t>
  </si>
  <si>
    <t>VENTAS A TERCEROS DESDE ACOP PREC</t>
  </si>
  <si>
    <t>PRODUCC A PLANTA PELLETS</t>
  </si>
  <si>
    <t>VENTAS DESDE P.40</t>
  </si>
  <si>
    <t>VENTAS CAMIONES RUMO</t>
  </si>
  <si>
    <t>ALIMENTACIÓN RUMO</t>
  </si>
  <si>
    <t>RECHAZO PLANTA RUMO</t>
  </si>
  <si>
    <t>Stock final</t>
  </si>
  <si>
    <t>Stock inicial</t>
  </si>
  <si>
    <t>Delta Stock Pila Primaria</t>
  </si>
  <si>
    <t>Preconcentrado P45</t>
  </si>
  <si>
    <t>Mineral hacia  CH° Primario</t>
  </si>
  <si>
    <t>TMH CH dispach</t>
  </si>
  <si>
    <t>alim fresca a Planta Rechazo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</si>
</sst>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 * #,##0_ ;_ * \-#,##0_ ;_ * &quot;-&quot;_ ;_ @_ "/>
    <numFmt numFmtId="165" formatCode="_-* #,##0.00_-;\-* #,##0.00_-;_-* &quot;-&quot;??_-;_-@_-"/>
    <numFmt numFmtId="166" formatCode="0.0%"/>
    <numFmt numFmtId="167" formatCode="#,##0.0"/>
    <numFmt numFmtId="168" formatCode="#,##0_ ;\-#,##0\ "/>
    <numFmt numFmtId="169" formatCode="#,##0.00_ ;\-#,##0.00\ "/>
    <numFmt numFmtId="170" formatCode="#,##0.0_ ;\-#,##0.0\ "/>
    <numFmt numFmtId="171" formatCode="#,##0.000_ ;\-#,##0.000\ "/>
    <numFmt numFmtId="172" formatCode="#,##0.0000_ ;\-#,##0.0000\ "/>
    <numFmt numFmtId="173" formatCode="0_)"/>
    <numFmt numFmtId="174" formatCode="0.0"/>
    <numFmt numFmtId="175" formatCode="dd\ /\ mmmm\ /\ yyyy"/>
    <numFmt numFmtId="176" formatCode="#,##0.0000"/>
    <numFmt numFmtId="177" formatCode="#,##0.000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0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5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>
      <alignment vertical="center"/>
    </xf>
    <xf numFmtId="164" fontId="1" fillId="0" borderId="0" applyFont="0" applyFill="0" applyBorder="0" applyAlignment="0" applyProtection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/>
  </cellStyleXfs>
  <cellXfs count="34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6" borderId="1" xfId="0" applyFont="1" applyFill="1" applyBorder="1" applyAlignment="1">
      <alignment horizontal="center" vertical="center" wrapText="1"/>
    </xf>
    <xf numFmtId="0" fontId="0" fillId="2" borderId="0" xfId="0" applyFill="1"/>
    <xf numFmtId="0" fontId="2" fillId="7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6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166" fontId="0" fillId="0" borderId="0" xfId="0" applyNumberFormat="1"/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0" xfId="2" applyBorder="1" applyAlignment="1">
      <alignment horizontal="center"/>
    </xf>
    <xf numFmtId="0" fontId="1" fillId="0" borderId="1" xfId="2" applyBorder="1" applyAlignment="1">
      <alignment horizontal="center"/>
    </xf>
    <xf numFmtId="0" fontId="0" fillId="0" borderId="0" xfId="0" applyAlignment="1">
      <alignment horizontal="right"/>
    </xf>
    <xf numFmtId="0" fontId="0" fillId="0" borderId="6" xfId="0" applyBorder="1"/>
    <xf numFmtId="166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0" fillId="0" borderId="14" xfId="0" applyBorder="1"/>
    <xf numFmtId="0" fontId="0" fillId="0" borderId="0" xfId="0" applyFill="1" applyBorder="1"/>
    <xf numFmtId="10" fontId="0" fillId="0" borderId="1" xfId="0" applyNumberFormat="1" applyBorder="1"/>
    <xf numFmtId="0" fontId="0" fillId="10" borderId="0" xfId="0" applyFill="1" applyAlignment="1">
      <alignment wrapText="1"/>
    </xf>
    <xf numFmtId="10" fontId="8" fillId="6" borderId="0" xfId="0" applyNumberFormat="1" applyFont="1" applyFill="1"/>
    <xf numFmtId="0" fontId="0" fillId="11" borderId="0" xfId="0" applyFill="1"/>
    <xf numFmtId="0" fontId="0" fillId="0" borderId="0" xfId="0" applyFont="1"/>
    <xf numFmtId="3" fontId="0" fillId="0" borderId="0" xfId="0" applyNumberFormat="1" applyFill="1"/>
    <xf numFmtId="167" fontId="0" fillId="0" borderId="0" xfId="0" applyNumberFormat="1"/>
    <xf numFmtId="0" fontId="0" fillId="0" borderId="0" xfId="0" applyFill="1"/>
    <xf numFmtId="3" fontId="8" fillId="9" borderId="1" xfId="0" applyNumberFormat="1" applyFont="1" applyFill="1" applyBorder="1"/>
    <xf numFmtId="10" fontId="8" fillId="9" borderId="1" xfId="0" applyNumberFormat="1" applyFont="1" applyFill="1" applyBorder="1"/>
    <xf numFmtId="3" fontId="0" fillId="0" borderId="1" xfId="0" applyNumberFormat="1" applyFill="1" applyBorder="1"/>
    <xf numFmtId="10" fontId="0" fillId="0" borderId="1" xfId="0" applyNumberFormat="1" applyFill="1" applyBorder="1"/>
    <xf numFmtId="3" fontId="12" fillId="0" borderId="1" xfId="0" applyNumberFormat="1" applyFont="1" applyFill="1" applyBorder="1"/>
    <xf numFmtId="10" fontId="12" fillId="0" borderId="1" xfId="0" applyNumberFormat="1" applyFont="1" applyFill="1" applyBorder="1"/>
    <xf numFmtId="3" fontId="11" fillId="0" borderId="1" xfId="0" applyNumberFormat="1" applyFont="1" applyFill="1" applyBorder="1"/>
    <xf numFmtId="10" fontId="11" fillId="0" borderId="1" xfId="0" applyNumberFormat="1" applyFont="1" applyFill="1" applyBorder="1"/>
    <xf numFmtId="3" fontId="9" fillId="0" borderId="1" xfId="0" applyNumberFormat="1" applyFont="1" applyFill="1" applyBorder="1"/>
    <xf numFmtId="3" fontId="0" fillId="9" borderId="1" xfId="0" applyNumberFormat="1" applyFill="1" applyBorder="1"/>
    <xf numFmtId="10" fontId="0" fillId="9" borderId="1" xfId="0" applyNumberFormat="1" applyFill="1" applyBorder="1"/>
    <xf numFmtId="3" fontId="0" fillId="0" borderId="0" xfId="0" applyNumberFormat="1" applyFont="1"/>
    <xf numFmtId="3" fontId="0" fillId="9" borderId="1" xfId="0" applyNumberFormat="1" applyFont="1" applyFill="1" applyBorder="1"/>
    <xf numFmtId="10" fontId="0" fillId="9" borderId="1" xfId="0" applyNumberFormat="1" applyFont="1" applyFill="1" applyBorder="1"/>
    <xf numFmtId="10" fontId="9" fillId="0" borderId="1" xfId="0" applyNumberFormat="1" applyFont="1" applyFill="1" applyBorder="1"/>
    <xf numFmtId="0" fontId="0" fillId="3" borderId="10" xfId="0" applyFill="1" applyBorder="1" applyAlignment="1">
      <alignment horizontal="center"/>
    </xf>
    <xf numFmtId="3" fontId="0" fillId="12" borderId="1" xfId="0" applyNumberFormat="1" applyFont="1" applyFill="1" applyBorder="1"/>
    <xf numFmtId="10" fontId="0" fillId="12" borderId="1" xfId="0" applyNumberFormat="1" applyFont="1" applyFill="1" applyBorder="1"/>
    <xf numFmtId="3" fontId="14" fillId="0" borderId="1" xfId="0" applyNumberFormat="1" applyFont="1" applyFill="1" applyBorder="1"/>
    <xf numFmtId="10" fontId="14" fillId="0" borderId="1" xfId="0" applyNumberFormat="1" applyFont="1" applyFill="1" applyBorder="1"/>
    <xf numFmtId="0" fontId="0" fillId="5" borderId="0" xfId="0" applyFill="1"/>
    <xf numFmtId="0" fontId="1" fillId="0" borderId="1" xfId="2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5" borderId="16" xfId="0" applyFill="1" applyBorder="1"/>
    <xf numFmtId="0" fontId="0" fillId="2" borderId="17" xfId="0" applyFill="1" applyBorder="1"/>
    <xf numFmtId="0" fontId="0" fillId="5" borderId="17" xfId="0" applyFill="1" applyBorder="1"/>
    <xf numFmtId="0" fontId="0" fillId="5" borderId="18" xfId="0" applyFill="1" applyBorder="1"/>
    <xf numFmtId="0" fontId="0" fillId="2" borderId="18" xfId="0" applyFill="1" applyBorder="1"/>
    <xf numFmtId="0" fontId="0" fillId="5" borderId="0" xfId="0" applyFill="1" applyBorder="1"/>
    <xf numFmtId="0" fontId="0" fillId="2" borderId="0" xfId="0" applyFill="1" applyBorder="1"/>
    <xf numFmtId="10" fontId="0" fillId="0" borderId="1" xfId="0" applyNumberFormat="1" applyFont="1" applyFill="1" applyBorder="1"/>
    <xf numFmtId="0" fontId="0" fillId="2" borderId="6" xfId="0" applyFill="1" applyBorder="1"/>
    <xf numFmtId="0" fontId="0" fillId="2" borderId="11" xfId="0" applyFill="1" applyBorder="1"/>
    <xf numFmtId="0" fontId="2" fillId="0" borderId="0" xfId="0" applyFont="1" applyFill="1"/>
    <xf numFmtId="0" fontId="2" fillId="0" borderId="0" xfId="0" applyFont="1" applyAlignment="1">
      <alignment horizontal="right" vertical="center"/>
    </xf>
    <xf numFmtId="0" fontId="0" fillId="0" borderId="1" xfId="0" applyFont="1" applyBorder="1"/>
    <xf numFmtId="0" fontId="0" fillId="0" borderId="0" xfId="0" applyFill="1" applyBorder="1" applyAlignment="1">
      <alignment horizontal="right"/>
    </xf>
    <xf numFmtId="0" fontId="8" fillId="5" borderId="0" xfId="0" applyFont="1" applyFill="1"/>
    <xf numFmtId="0" fontId="8" fillId="5" borderId="17" xfId="0" applyFont="1" applyFill="1" applyBorder="1"/>
    <xf numFmtId="0" fontId="8" fillId="5" borderId="0" xfId="0" applyFont="1" applyFill="1" applyBorder="1"/>
    <xf numFmtId="0" fontId="13" fillId="5" borderId="17" xfId="0" applyFont="1" applyFill="1" applyBorder="1"/>
    <xf numFmtId="3" fontId="13" fillId="0" borderId="1" xfId="0" applyNumberFormat="1" applyFont="1" applyFill="1" applyBorder="1"/>
    <xf numFmtId="166" fontId="0" fillId="13" borderId="0" xfId="0" applyNumberFormat="1" applyFill="1"/>
    <xf numFmtId="3" fontId="14" fillId="6" borderId="1" xfId="0" applyNumberFormat="1" applyFont="1" applyFill="1" applyBorder="1"/>
    <xf numFmtId="3" fontId="0" fillId="6" borderId="1" xfId="0" applyNumberFormat="1" applyFont="1" applyFill="1" applyBorder="1"/>
    <xf numFmtId="3" fontId="0" fillId="0" borderId="1" xfId="0" applyNumberFormat="1" applyBorder="1"/>
    <xf numFmtId="0" fontId="0" fillId="0" borderId="1" xfId="0" applyBorder="1" applyAlignment="1"/>
    <xf numFmtId="3" fontId="18" fillId="0" borderId="1" xfId="0" applyNumberFormat="1" applyFont="1" applyBorder="1"/>
    <xf numFmtId="0" fontId="10" fillId="0" borderId="2" xfId="0" applyFont="1" applyBorder="1" applyAlignment="1"/>
    <xf numFmtId="0" fontId="10" fillId="0" borderId="3" xfId="0" applyFont="1" applyBorder="1" applyAlignment="1"/>
    <xf numFmtId="3" fontId="10" fillId="0" borderId="1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5" fillId="0" borderId="1" xfId="0" applyNumberFormat="1" applyFont="1" applyBorder="1" applyAlignment="1">
      <alignment horizontal="left" indent="1"/>
    </xf>
    <xf numFmtId="0" fontId="0" fillId="0" borderId="13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3" fontId="17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5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>
      <alignment horizontal="right"/>
    </xf>
    <xf numFmtId="10" fontId="15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>
      <alignment horizontal="left"/>
    </xf>
    <xf numFmtId="10" fontId="15" fillId="0" borderId="0" xfId="0" applyNumberFormat="1" applyFont="1" applyBorder="1" applyAlignment="1">
      <alignment horizontal="center"/>
    </xf>
    <xf numFmtId="0" fontId="0" fillId="0" borderId="22" xfId="0" applyBorder="1"/>
    <xf numFmtId="0" fontId="0" fillId="0" borderId="12" xfId="0" applyBorder="1"/>
    <xf numFmtId="0" fontId="0" fillId="0" borderId="23" xfId="0" applyBorder="1"/>
    <xf numFmtId="3" fontId="17" fillId="0" borderId="0" xfId="0" applyNumberFormat="1" applyFont="1" applyBorder="1" applyAlignment="1">
      <alignment horizontal="left" indent="2"/>
    </xf>
    <xf numFmtId="0" fontId="0" fillId="15" borderId="0" xfId="0" applyFill="1"/>
    <xf numFmtId="0" fontId="21" fillId="16" borderId="13" xfId="4" applyFont="1" applyFill="1" applyBorder="1" applyAlignment="1">
      <alignment horizontal="center" vertical="center"/>
    </xf>
    <xf numFmtId="0" fontId="21" fillId="16" borderId="14" xfId="4" applyFont="1" applyFill="1" applyBorder="1" applyAlignment="1">
      <alignment horizontal="center" vertical="center"/>
    </xf>
    <xf numFmtId="0" fontId="21" fillId="0" borderId="14" xfId="4" applyFont="1" applyBorder="1"/>
    <xf numFmtId="0" fontId="21" fillId="0" borderId="19" xfId="4" applyFont="1" applyBorder="1"/>
    <xf numFmtId="0" fontId="21" fillId="0" borderId="0" xfId="4" applyFont="1"/>
    <xf numFmtId="0" fontId="21" fillId="16" borderId="20" xfId="4" applyFont="1" applyFill="1" applyBorder="1" applyAlignment="1">
      <alignment horizontal="center" vertical="center"/>
    </xf>
    <xf numFmtId="0" fontId="21" fillId="16" borderId="0" xfId="4" applyFont="1" applyFill="1" applyAlignment="1">
      <alignment horizontal="center" vertical="center"/>
    </xf>
    <xf numFmtId="0" fontId="21" fillId="0" borderId="21" xfId="4" applyFont="1" applyBorder="1"/>
    <xf numFmtId="0" fontId="21" fillId="16" borderId="0" xfId="4" applyFont="1" applyFill="1"/>
    <xf numFmtId="14" fontId="21" fillId="16" borderId="0" xfId="4" applyNumberFormat="1" applyFont="1" applyFill="1"/>
    <xf numFmtId="0" fontId="21" fillId="0" borderId="20" xfId="4" applyFont="1" applyBorder="1"/>
    <xf numFmtId="0" fontId="23" fillId="0" borderId="0" xfId="4" applyFont="1"/>
    <xf numFmtId="0" fontId="24" fillId="16" borderId="6" xfId="4" applyFont="1" applyFill="1" applyBorder="1" applyAlignment="1">
      <alignment horizontal="center" vertical="center"/>
    </xf>
    <xf numFmtId="0" fontId="24" fillId="16" borderId="11" xfId="4" applyFont="1" applyFill="1" applyBorder="1" applyAlignment="1">
      <alignment horizontal="center" vertical="center"/>
    </xf>
    <xf numFmtId="0" fontId="24" fillId="16" borderId="25" xfId="4" applyFont="1" applyFill="1" applyBorder="1" applyAlignment="1">
      <alignment horizontal="center" vertical="center"/>
    </xf>
    <xf numFmtId="0" fontId="24" fillId="16" borderId="26" xfId="4" applyFont="1" applyFill="1" applyBorder="1" applyAlignment="1">
      <alignment horizontal="center" vertical="center"/>
    </xf>
    <xf numFmtId="168" fontId="23" fillId="0" borderId="1" xfId="5" applyNumberFormat="1" applyFont="1" applyBorder="1" applyAlignment="1">
      <alignment horizontal="center" vertical="center"/>
    </xf>
    <xf numFmtId="10" fontId="23" fillId="0" borderId="1" xfId="3" applyNumberFormat="1" applyFont="1" applyBorder="1" applyAlignment="1">
      <alignment horizontal="center" vertical="center"/>
    </xf>
    <xf numFmtId="168" fontId="23" fillId="16" borderId="5" xfId="5" applyNumberFormat="1" applyFont="1" applyFill="1" applyBorder="1" applyAlignment="1">
      <alignment horizontal="center" vertical="center"/>
    </xf>
    <xf numFmtId="169" fontId="23" fillId="0" borderId="1" xfId="5" applyNumberFormat="1" applyFont="1" applyBorder="1" applyAlignment="1">
      <alignment horizontal="center" vertical="center"/>
    </xf>
    <xf numFmtId="168" fontId="24" fillId="4" borderId="28" xfId="5" applyNumberFormat="1" applyFont="1" applyFill="1" applyBorder="1" applyAlignment="1">
      <alignment horizontal="center" vertical="center"/>
    </xf>
    <xf numFmtId="168" fontId="24" fillId="4" borderId="30" xfId="5" applyNumberFormat="1" applyFont="1" applyFill="1" applyBorder="1" applyAlignment="1">
      <alignment horizontal="center" vertical="center"/>
    </xf>
    <xf numFmtId="169" fontId="24" fillId="4" borderId="28" xfId="5" applyNumberFormat="1" applyFont="1" applyFill="1" applyBorder="1" applyAlignment="1">
      <alignment horizontal="center" vertical="center"/>
    </xf>
    <xf numFmtId="168" fontId="24" fillId="4" borderId="29" xfId="5" applyNumberFormat="1" applyFont="1" applyFill="1" applyBorder="1" applyAlignment="1">
      <alignment horizontal="center" vertical="center"/>
    </xf>
    <xf numFmtId="10" fontId="23" fillId="0" borderId="1" xfId="3" applyNumberFormat="1" applyFont="1" applyBorder="1" applyAlignment="1">
      <alignment horizontal="center" vertical="center"/>
    </xf>
    <xf numFmtId="168" fontId="23" fillId="14" borderId="1" xfId="5" applyNumberFormat="1" applyFont="1" applyFill="1" applyBorder="1" applyAlignment="1">
      <alignment horizontal="center" vertical="center"/>
    </xf>
    <xf numFmtId="0" fontId="23" fillId="0" borderId="37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168" fontId="23" fillId="0" borderId="0" xfId="5" applyNumberFormat="1" applyFont="1" applyAlignment="1">
      <alignment horizontal="center" vertical="center"/>
    </xf>
    <xf numFmtId="169" fontId="23" fillId="0" borderId="0" xfId="5" applyNumberFormat="1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168" fontId="26" fillId="0" borderId="0" xfId="0" applyNumberFormat="1" applyFont="1" applyAlignment="1">
      <alignment horizontal="left" vertical="center"/>
    </xf>
    <xf numFmtId="169" fontId="25" fillId="0" borderId="0" xfId="5" applyNumberFormat="1" applyFont="1" applyAlignment="1">
      <alignment horizontal="center" vertical="center"/>
    </xf>
    <xf numFmtId="168" fontId="21" fillId="0" borderId="0" xfId="4" applyNumberFormat="1" applyFont="1"/>
    <xf numFmtId="170" fontId="26" fillId="0" borderId="0" xfId="0" applyNumberFormat="1" applyFont="1" applyAlignment="1">
      <alignment horizontal="left" vertical="center"/>
    </xf>
    <xf numFmtId="168" fontId="25" fillId="0" borderId="0" xfId="4" applyNumberFormat="1" applyFont="1" applyAlignment="1">
      <alignment horizontal="left" vertical="center" wrapText="1"/>
    </xf>
    <xf numFmtId="171" fontId="24" fillId="0" borderId="0" xfId="5" applyNumberFormat="1" applyFont="1" applyAlignment="1">
      <alignment horizontal="center" vertical="center"/>
    </xf>
    <xf numFmtId="168" fontId="24" fillId="0" borderId="0" xfId="5" applyNumberFormat="1" applyFont="1" applyAlignment="1">
      <alignment horizontal="center" vertical="center"/>
    </xf>
    <xf numFmtId="172" fontId="21" fillId="0" borderId="0" xfId="4" applyNumberFormat="1" applyFont="1"/>
    <xf numFmtId="0" fontId="24" fillId="0" borderId="0" xfId="4" applyFont="1" applyAlignment="1">
      <alignment horizontal="left" vertical="center" wrapText="1"/>
    </xf>
    <xf numFmtId="0" fontId="27" fillId="0" borderId="0" xfId="4" applyFont="1"/>
    <xf numFmtId="168" fontId="21" fillId="0" borderId="21" xfId="4" applyNumberFormat="1" applyFont="1" applyBorder="1"/>
    <xf numFmtId="168" fontId="23" fillId="0" borderId="10" xfId="5" applyNumberFormat="1" applyFont="1" applyBorder="1" applyAlignment="1">
      <alignment horizontal="center" vertical="center"/>
    </xf>
    <xf numFmtId="0" fontId="23" fillId="14" borderId="0" xfId="0" applyFont="1" applyFill="1" applyAlignment="1">
      <alignment horizontal="left" vertical="center"/>
    </xf>
    <xf numFmtId="168" fontId="23" fillId="14" borderId="0" xfId="5" applyNumberFormat="1" applyFont="1" applyFill="1" applyAlignment="1">
      <alignment horizontal="center" vertical="center"/>
    </xf>
    <xf numFmtId="169" fontId="23" fillId="14" borderId="0" xfId="5" applyNumberFormat="1" applyFont="1" applyFill="1" applyAlignment="1">
      <alignment horizontal="center" vertical="center"/>
    </xf>
    <xf numFmtId="169" fontId="23" fillId="0" borderId="10" xfId="5" applyNumberFormat="1" applyFont="1" applyBorder="1" applyAlignment="1">
      <alignment horizontal="center" vertical="center"/>
    </xf>
    <xf numFmtId="0" fontId="23" fillId="14" borderId="0" xfId="0" applyFont="1" applyFill="1" applyAlignment="1">
      <alignment vertical="center"/>
    </xf>
    <xf numFmtId="0" fontId="23" fillId="0" borderId="42" xfId="0" applyFont="1" applyBorder="1" applyAlignment="1">
      <alignment horizontal="left" vertical="center"/>
    </xf>
    <xf numFmtId="170" fontId="24" fillId="4" borderId="28" xfId="5" applyNumberFormat="1" applyFont="1" applyFill="1" applyBorder="1" applyAlignment="1">
      <alignment horizontal="center" vertical="center"/>
    </xf>
    <xf numFmtId="0" fontId="24" fillId="14" borderId="0" xfId="4" applyFont="1" applyFill="1" applyAlignment="1">
      <alignment horizontal="left" vertical="center"/>
    </xf>
    <xf numFmtId="168" fontId="24" fillId="14" borderId="0" xfId="5" applyNumberFormat="1" applyFont="1" applyFill="1" applyAlignment="1">
      <alignment horizontal="center" vertical="center"/>
    </xf>
    <xf numFmtId="171" fontId="24" fillId="14" borderId="0" xfId="5" applyNumberFormat="1" applyFont="1" applyFill="1" applyAlignment="1">
      <alignment horizontal="center" vertical="center"/>
    </xf>
    <xf numFmtId="0" fontId="21" fillId="0" borderId="12" xfId="4" applyFont="1" applyBorder="1"/>
    <xf numFmtId="3" fontId="28" fillId="0" borderId="0" xfId="4" applyNumberFormat="1" applyFont="1" applyAlignment="1">
      <alignment horizontal="right" vertical="center"/>
    </xf>
    <xf numFmtId="3" fontId="28" fillId="0" borderId="0" xfId="4" quotePrefix="1" applyNumberFormat="1" applyFont="1" applyAlignment="1">
      <alignment horizontal="right" vertical="center"/>
    </xf>
    <xf numFmtId="3" fontId="28" fillId="0" borderId="0" xfId="4" quotePrefix="1" applyNumberFormat="1" applyFont="1" applyAlignment="1">
      <alignment horizontal="right"/>
    </xf>
    <xf numFmtId="173" fontId="28" fillId="0" borderId="0" xfId="4" applyNumberFormat="1" applyFont="1" applyAlignment="1">
      <alignment horizontal="center" vertical="center"/>
    </xf>
    <xf numFmtId="0" fontId="30" fillId="14" borderId="0" xfId="4" applyFont="1" applyFill="1" applyAlignment="1">
      <alignment horizontal="center"/>
    </xf>
    <xf numFmtId="174" fontId="21" fillId="14" borderId="0" xfId="4" applyNumberFormat="1" applyFont="1" applyFill="1" applyAlignment="1">
      <alignment horizontal="center" vertical="center"/>
    </xf>
    <xf numFmtId="0" fontId="28" fillId="14" borderId="0" xfId="4" applyFont="1" applyFill="1" applyAlignment="1">
      <alignment horizontal="center"/>
    </xf>
    <xf numFmtId="168" fontId="21" fillId="14" borderId="0" xfId="5" applyNumberFormat="1" applyFont="1" applyFill="1" applyAlignment="1">
      <alignment horizontal="center"/>
    </xf>
    <xf numFmtId="2" fontId="21" fillId="14" borderId="0" xfId="6" applyNumberFormat="1" applyFont="1" applyFill="1" applyAlignment="1">
      <alignment horizontal="center"/>
    </xf>
    <xf numFmtId="174" fontId="21" fillId="0" borderId="0" xfId="4" applyNumberFormat="1" applyFont="1" applyAlignment="1">
      <alignment horizontal="center" vertical="center"/>
    </xf>
    <xf numFmtId="0" fontId="21" fillId="0" borderId="22" xfId="4" applyFont="1" applyBorder="1"/>
    <xf numFmtId="0" fontId="21" fillId="0" borderId="23" xfId="4" applyFont="1" applyBorder="1"/>
    <xf numFmtId="3" fontId="23" fillId="16" borderId="5" xfId="5" applyNumberFormat="1" applyFont="1" applyFill="1" applyBorder="1" applyAlignment="1">
      <alignment horizontal="center" vertical="center"/>
    </xf>
    <xf numFmtId="0" fontId="31" fillId="14" borderId="1" xfId="0" applyFont="1" applyFill="1" applyBorder="1"/>
    <xf numFmtId="10" fontId="31" fillId="14" borderId="1" xfId="0" applyNumberFormat="1" applyFont="1" applyFill="1" applyBorder="1" applyAlignment="1">
      <alignment horizontal="center"/>
    </xf>
    <xf numFmtId="3" fontId="0" fillId="0" borderId="20" xfId="0" applyNumberFormat="1" applyBorder="1"/>
    <xf numFmtId="167" fontId="0" fillId="12" borderId="1" xfId="0" applyNumberFormat="1" applyFont="1" applyFill="1" applyBorder="1"/>
    <xf numFmtId="10" fontId="0" fillId="0" borderId="0" xfId="0" applyNumberFormat="1" applyFill="1"/>
    <xf numFmtId="10" fontId="32" fillId="0" borderId="0" xfId="0" applyNumberFormat="1" applyFont="1" applyFill="1"/>
    <xf numFmtId="3" fontId="0" fillId="2" borderId="1" xfId="0" applyNumberFormat="1" applyFill="1" applyBorder="1"/>
    <xf numFmtId="10" fontId="0" fillId="2" borderId="0" xfId="0" applyNumberFormat="1" applyFill="1"/>
    <xf numFmtId="10" fontId="32" fillId="2" borderId="0" xfId="0" applyNumberFormat="1" applyFont="1" applyFill="1"/>
    <xf numFmtId="10" fontId="0" fillId="2" borderId="1" xfId="0" applyNumberFormat="1" applyFont="1" applyFill="1" applyBorder="1"/>
    <xf numFmtId="10" fontId="0" fillId="0" borderId="0" xfId="0" applyNumberFormat="1" applyBorder="1"/>
    <xf numFmtId="0" fontId="0" fillId="0" borderId="0" xfId="0"/>
    <xf numFmtId="166" fontId="0" fillId="0" borderId="0" xfId="3" applyNumberFormat="1" applyFont="1"/>
    <xf numFmtId="1" fontId="0" fillId="14" borderId="0" xfId="0" applyNumberFormat="1" applyFill="1" applyBorder="1"/>
    <xf numFmtId="1" fontId="10" fillId="14" borderId="0" xfId="0" applyNumberFormat="1" applyFont="1" applyFill="1" applyBorder="1"/>
    <xf numFmtId="3" fontId="0" fillId="14" borderId="0" xfId="0" applyNumberFormat="1" applyFont="1" applyFill="1" applyBorder="1"/>
    <xf numFmtId="0" fontId="0" fillId="14" borderId="0" xfId="0" applyFont="1" applyFill="1" applyBorder="1"/>
    <xf numFmtId="3" fontId="0" fillId="0" borderId="0" xfId="0" applyNumberFormat="1" applyFont="1" applyBorder="1"/>
    <xf numFmtId="166" fontId="24" fillId="4" borderId="28" xfId="3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66" fontId="24" fillId="4" borderId="30" xfId="3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7" fillId="0" borderId="43" xfId="0" applyNumberFormat="1" applyFont="1" applyBorder="1" applyAlignment="1">
      <alignment horizontal="center"/>
    </xf>
    <xf numFmtId="0" fontId="18" fillId="0" borderId="0" xfId="0" applyFont="1"/>
    <xf numFmtId="0" fontId="35" fillId="0" borderId="0" xfId="0" applyFont="1"/>
    <xf numFmtId="3" fontId="35" fillId="0" borderId="0" xfId="0" applyNumberFormat="1" applyFont="1" applyBorder="1" applyAlignment="1">
      <alignment horizontal="center"/>
    </xf>
    <xf numFmtId="10" fontId="35" fillId="0" borderId="0" xfId="0" applyNumberFormat="1" applyFont="1" applyBorder="1" applyAlignment="1">
      <alignment horizontal="left"/>
    </xf>
    <xf numFmtId="10" fontId="0" fillId="0" borderId="0" xfId="0" applyNumberFormat="1" applyAlignment="1">
      <alignment horizontal="center"/>
    </xf>
    <xf numFmtId="10" fontId="18" fillId="0" borderId="0" xfId="0" applyNumberFormat="1" applyFont="1"/>
    <xf numFmtId="3" fontId="0" fillId="0" borderId="0" xfId="0" applyNumberFormat="1" applyAlignment="1">
      <alignment horizontal="center" vertical="center"/>
    </xf>
    <xf numFmtId="3" fontId="17" fillId="0" borderId="0" xfId="0" applyNumberFormat="1" applyFont="1" applyAlignment="1">
      <alignment horizontal="left" indent="1"/>
    </xf>
    <xf numFmtId="10" fontId="15" fillId="0" borderId="0" xfId="0" applyNumberFormat="1" applyFont="1" applyAlignment="1">
      <alignment horizontal="left"/>
    </xf>
    <xf numFmtId="4" fontId="0" fillId="0" borderId="0" xfId="0" applyNumberFormat="1"/>
    <xf numFmtId="10" fontId="36" fillId="0" borderId="0" xfId="0" applyNumberFormat="1" applyFont="1" applyAlignment="1">
      <alignment horizontal="left"/>
    </xf>
    <xf numFmtId="3" fontId="37" fillId="0" borderId="0" xfId="0" applyNumberFormat="1" applyFont="1" applyAlignment="1">
      <alignment horizontal="left" indent="1"/>
    </xf>
    <xf numFmtId="177" fontId="0" fillId="0" borderId="0" xfId="0" applyNumberFormat="1" applyBorder="1"/>
    <xf numFmtId="2" fontId="0" fillId="0" borderId="0" xfId="0" applyNumberFormat="1" applyBorder="1"/>
    <xf numFmtId="2" fontId="0" fillId="0" borderId="0" xfId="3" applyNumberFormat="1" applyFont="1" applyBorder="1"/>
    <xf numFmtId="3" fontId="21" fillId="0" borderId="0" xfId="4" applyNumberFormat="1" applyFont="1"/>
    <xf numFmtId="0" fontId="34" fillId="0" borderId="0" xfId="0" applyFont="1" applyFill="1" applyBorder="1"/>
    <xf numFmtId="10" fontId="34" fillId="0" borderId="0" xfId="0" applyNumberFormat="1" applyFont="1" applyFill="1" applyBorder="1"/>
    <xf numFmtId="3" fontId="34" fillId="0" borderId="0" xfId="0" applyNumberFormat="1" applyFont="1" applyFill="1" applyBorder="1"/>
    <xf numFmtId="0" fontId="34" fillId="0" borderId="0" xfId="2" applyFont="1" applyFill="1" applyBorder="1" applyAlignment="1">
      <alignment horizontal="center"/>
    </xf>
    <xf numFmtId="0" fontId="27" fillId="0" borderId="0" xfId="0" applyFont="1" applyFill="1" applyBorder="1"/>
    <xf numFmtId="0" fontId="27" fillId="0" borderId="0" xfId="0" applyFont="1" applyFill="1" applyBorder="1" applyAlignment="1">
      <alignment horizontal="center" vertical="center" wrapText="1"/>
    </xf>
    <xf numFmtId="0" fontId="0" fillId="18" borderId="1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2" applyFont="1" applyFill="1" applyBorder="1" applyAlignment="1">
      <alignment horizontal="center"/>
    </xf>
    <xf numFmtId="10" fontId="8" fillId="0" borderId="0" xfId="0" applyNumberFormat="1" applyFont="1" applyFill="1" applyBorder="1"/>
    <xf numFmtId="176" fontId="0" fillId="0" borderId="0" xfId="0" applyNumberFormat="1" applyFont="1" applyFill="1" applyBorder="1"/>
    <xf numFmtId="10" fontId="0" fillId="0" borderId="0" xfId="0" applyNumberFormat="1" applyFont="1" applyFill="1" applyBorder="1"/>
    <xf numFmtId="166" fontId="0" fillId="0" borderId="0" xfId="0" applyNumberFormat="1" applyFont="1" applyFill="1" applyBorder="1"/>
    <xf numFmtId="10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 applyFill="1" applyBorder="1" applyAlignment="1">
      <alignment horizontal="right"/>
    </xf>
    <xf numFmtId="10" fontId="8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34" fillId="0" borderId="0" xfId="0" applyFont="1"/>
    <xf numFmtId="0" fontId="27" fillId="0" borderId="0" xfId="0" applyFont="1"/>
    <xf numFmtId="0" fontId="38" fillId="0" borderId="0" xfId="0" applyFont="1" applyFill="1" applyBorder="1"/>
    <xf numFmtId="0" fontId="34" fillId="0" borderId="0" xfId="0" applyFont="1" applyFill="1" applyBorder="1" applyAlignment="1">
      <alignment horizontal="center"/>
    </xf>
    <xf numFmtId="1" fontId="34" fillId="0" borderId="0" xfId="0" applyNumberFormat="1" applyFont="1" applyFill="1" applyBorder="1"/>
    <xf numFmtId="10" fontId="34" fillId="0" borderId="0" xfId="0" applyNumberFormat="1" applyFont="1"/>
    <xf numFmtId="10" fontId="0" fillId="0" borderId="2" xfId="0" applyNumberFormat="1" applyBorder="1"/>
    <xf numFmtId="10" fontId="0" fillId="0" borderId="44" xfId="0" applyNumberFormat="1" applyBorder="1"/>
    <xf numFmtId="10" fontId="21" fillId="0" borderId="13" xfId="3" applyNumberFormat="1" applyFont="1" applyBorder="1" applyAlignment="1">
      <alignment horizontal="center" vertical="center"/>
    </xf>
    <xf numFmtId="10" fontId="21" fillId="0" borderId="14" xfId="3" applyNumberFormat="1" applyFont="1" applyBorder="1" applyAlignment="1">
      <alignment horizontal="center" vertical="center"/>
    </xf>
    <xf numFmtId="10" fontId="21" fillId="0" borderId="19" xfId="3" applyNumberFormat="1" applyFont="1" applyBorder="1" applyAlignment="1">
      <alignment horizontal="center" vertical="center"/>
    </xf>
    <xf numFmtId="10" fontId="21" fillId="0" borderId="22" xfId="3" applyNumberFormat="1" applyFont="1" applyBorder="1" applyAlignment="1">
      <alignment horizontal="center" vertical="center"/>
    </xf>
    <xf numFmtId="10" fontId="21" fillId="0" borderId="12" xfId="3" applyNumberFormat="1" applyFont="1" applyBorder="1" applyAlignment="1">
      <alignment horizontal="center" vertical="center"/>
    </xf>
    <xf numFmtId="10" fontId="21" fillId="0" borderId="23" xfId="3" applyNumberFormat="1" applyFont="1" applyBorder="1" applyAlignment="1">
      <alignment horizontal="center" vertical="center"/>
    </xf>
    <xf numFmtId="0" fontId="23" fillId="0" borderId="37" xfId="0" applyFont="1" applyBorder="1" applyAlignment="1">
      <alignment vertical="center"/>
    </xf>
    <xf numFmtId="0" fontId="23" fillId="0" borderId="33" xfId="0" applyFont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23" fillId="14" borderId="0" xfId="0" applyFont="1" applyFill="1" applyAlignment="1">
      <alignment vertical="center"/>
    </xf>
    <xf numFmtId="0" fontId="23" fillId="0" borderId="37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14" borderId="0" xfId="0" applyFont="1" applyFill="1" applyAlignment="1">
      <alignment horizontal="left" vertical="center"/>
    </xf>
    <xf numFmtId="0" fontId="24" fillId="4" borderId="27" xfId="4" applyFont="1" applyFill="1" applyBorder="1" applyAlignment="1">
      <alignment horizontal="left" vertical="center"/>
    </xf>
    <xf numFmtId="0" fontId="24" fillId="4" borderId="28" xfId="4" applyFont="1" applyFill="1" applyBorder="1" applyAlignment="1">
      <alignment horizontal="left" vertical="center"/>
    </xf>
    <xf numFmtId="0" fontId="24" fillId="14" borderId="0" xfId="4" applyFont="1" applyFill="1" applyAlignment="1">
      <alignment horizontal="left" vertical="center"/>
    </xf>
    <xf numFmtId="0" fontId="29" fillId="17" borderId="38" xfId="4" applyFont="1" applyFill="1" applyBorder="1" applyAlignment="1">
      <alignment horizontal="center" vertical="center"/>
    </xf>
    <xf numFmtId="0" fontId="29" fillId="17" borderId="39" xfId="4" applyFont="1" applyFill="1" applyBorder="1" applyAlignment="1">
      <alignment horizontal="center" vertical="center"/>
    </xf>
    <xf numFmtId="0" fontId="29" fillId="17" borderId="40" xfId="4" applyFont="1" applyFill="1" applyBorder="1" applyAlignment="1">
      <alignment horizontal="center" vertical="center"/>
    </xf>
    <xf numFmtId="0" fontId="30" fillId="17" borderId="38" xfId="4" applyFont="1" applyFill="1" applyBorder="1" applyAlignment="1">
      <alignment horizontal="center"/>
    </xf>
    <xf numFmtId="0" fontId="30" fillId="17" borderId="39" xfId="4" applyFont="1" applyFill="1" applyBorder="1" applyAlignment="1">
      <alignment horizontal="center"/>
    </xf>
    <xf numFmtId="0" fontId="30" fillId="17" borderId="40" xfId="4" applyFont="1" applyFill="1" applyBorder="1" applyAlignment="1">
      <alignment horizontal="center"/>
    </xf>
    <xf numFmtId="0" fontId="29" fillId="14" borderId="0" xfId="4" applyFont="1" applyFill="1" applyAlignment="1">
      <alignment horizontal="center"/>
    </xf>
    <xf numFmtId="168" fontId="26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4" fillId="4" borderId="27" xfId="4" applyFont="1" applyFill="1" applyBorder="1" applyAlignment="1">
      <alignment horizontal="left" vertical="center" wrapText="1"/>
    </xf>
    <xf numFmtId="0" fontId="24" fillId="4" borderId="28" xfId="4" applyFont="1" applyFill="1" applyBorder="1" applyAlignment="1">
      <alignment horizontal="left" vertical="center" wrapText="1"/>
    </xf>
    <xf numFmtId="0" fontId="25" fillId="0" borderId="0" xfId="4" applyFont="1" applyAlignment="1">
      <alignment horizontal="left" vertical="center" wrapText="1"/>
    </xf>
    <xf numFmtId="0" fontId="24" fillId="0" borderId="0" xfId="4" applyFont="1" applyAlignment="1">
      <alignment horizontal="left" vertical="center" wrapText="1"/>
    </xf>
    <xf numFmtId="0" fontId="25" fillId="17" borderId="15" xfId="4" applyFont="1" applyFill="1" applyBorder="1" applyAlignment="1">
      <alignment horizontal="center" vertical="center"/>
    </xf>
    <xf numFmtId="0" fontId="25" fillId="17" borderId="6" xfId="4" applyFont="1" applyFill="1" applyBorder="1" applyAlignment="1">
      <alignment horizontal="center" vertical="center"/>
    </xf>
    <xf numFmtId="0" fontId="25" fillId="17" borderId="11" xfId="4" applyFont="1" applyFill="1" applyBorder="1" applyAlignment="1">
      <alignment horizontal="center" vertical="center"/>
    </xf>
    <xf numFmtId="0" fontId="25" fillId="14" borderId="0" xfId="4" applyFont="1" applyFill="1" applyAlignment="1">
      <alignment horizontal="center" vertical="center"/>
    </xf>
    <xf numFmtId="0" fontId="25" fillId="17" borderId="38" xfId="4" applyFont="1" applyFill="1" applyBorder="1" applyAlignment="1">
      <alignment horizontal="center" vertical="center"/>
    </xf>
    <xf numFmtId="0" fontId="25" fillId="17" borderId="39" xfId="4" applyFont="1" applyFill="1" applyBorder="1" applyAlignment="1">
      <alignment horizontal="center" vertical="center"/>
    </xf>
    <xf numFmtId="0" fontId="25" fillId="17" borderId="40" xfId="4" applyFont="1" applyFill="1" applyBorder="1" applyAlignment="1">
      <alignment horizontal="center" vertical="center"/>
    </xf>
    <xf numFmtId="0" fontId="23" fillId="0" borderId="38" xfId="0" applyFont="1" applyBorder="1" applyAlignment="1">
      <alignment horizontal="left" vertical="center"/>
    </xf>
    <xf numFmtId="0" fontId="23" fillId="0" borderId="39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4" borderId="34" xfId="4" applyFont="1" applyFill="1" applyBorder="1" applyAlignment="1">
      <alignment horizontal="left" vertical="center" wrapText="1"/>
    </xf>
    <xf numFmtId="0" fontId="24" fillId="4" borderId="30" xfId="4" applyFont="1" applyFill="1" applyBorder="1" applyAlignment="1">
      <alignment horizontal="left" vertical="center" wrapText="1"/>
    </xf>
    <xf numFmtId="0" fontId="25" fillId="17" borderId="36" xfId="4" applyFont="1" applyFill="1" applyBorder="1" applyAlignment="1">
      <alignment horizontal="center" vertical="center"/>
    </xf>
    <xf numFmtId="0" fontId="23" fillId="0" borderId="15" xfId="4" applyFont="1" applyBorder="1" applyAlignment="1">
      <alignment horizontal="center" vertical="center"/>
    </xf>
    <xf numFmtId="0" fontId="23" fillId="0" borderId="6" xfId="4" applyFont="1" applyBorder="1" applyAlignment="1">
      <alignment horizontal="center" vertical="center"/>
    </xf>
    <xf numFmtId="0" fontId="23" fillId="0" borderId="32" xfId="4" applyFont="1" applyBorder="1" applyAlignment="1">
      <alignment horizontal="center" vertical="center"/>
    </xf>
    <xf numFmtId="0" fontId="23" fillId="0" borderId="10" xfId="4" applyFont="1" applyBorder="1" applyAlignment="1">
      <alignment horizontal="center" vertical="center"/>
    </xf>
    <xf numFmtId="0" fontId="23" fillId="0" borderId="34" xfId="4" applyFont="1" applyBorder="1" applyAlignment="1">
      <alignment horizontal="center" vertical="center"/>
    </xf>
    <xf numFmtId="0" fontId="23" fillId="0" borderId="30" xfId="4" applyFont="1" applyBorder="1" applyAlignment="1">
      <alignment horizontal="center" vertical="center"/>
    </xf>
    <xf numFmtId="0" fontId="23" fillId="0" borderId="35" xfId="4" applyFont="1" applyBorder="1" applyAlignment="1">
      <alignment horizontal="center" vertical="center"/>
    </xf>
    <xf numFmtId="0" fontId="23" fillId="0" borderId="31" xfId="4" applyFont="1" applyBorder="1" applyAlignment="1">
      <alignment horizontal="center" vertical="center"/>
    </xf>
    <xf numFmtId="0" fontId="19" fillId="12" borderId="15" xfId="0" applyFont="1" applyFill="1" applyBorder="1" applyAlignment="1">
      <alignment horizontal="center"/>
    </xf>
    <xf numFmtId="0" fontId="19" fillId="12" borderId="6" xfId="0" applyFont="1" applyFill="1" applyBorder="1" applyAlignment="1">
      <alignment horizontal="center"/>
    </xf>
    <xf numFmtId="0" fontId="19" fillId="12" borderId="4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/>
    </xf>
    <xf numFmtId="0" fontId="19" fillId="12" borderId="24" xfId="0" applyFont="1" applyFill="1" applyBorder="1" applyAlignment="1">
      <alignment horizontal="center"/>
    </xf>
    <xf numFmtId="0" fontId="19" fillId="12" borderId="25" xfId="0" applyFont="1" applyFill="1" applyBorder="1" applyAlignment="1">
      <alignment horizontal="center"/>
    </xf>
    <xf numFmtId="49" fontId="22" fillId="12" borderId="6" xfId="0" applyNumberFormat="1" applyFont="1" applyFill="1" applyBorder="1" applyAlignment="1">
      <alignment horizontal="center" vertical="center" wrapText="1"/>
    </xf>
    <xf numFmtId="49" fontId="22" fillId="12" borderId="11" xfId="0" applyNumberFormat="1" applyFont="1" applyFill="1" applyBorder="1" applyAlignment="1">
      <alignment horizontal="center" vertical="center" wrapText="1"/>
    </xf>
    <xf numFmtId="49" fontId="22" fillId="12" borderId="1" xfId="0" applyNumberFormat="1" applyFont="1" applyFill="1" applyBorder="1" applyAlignment="1">
      <alignment horizontal="center" vertical="center" wrapText="1"/>
    </xf>
    <xf numFmtId="49" fontId="22" fillId="12" borderId="5" xfId="0" applyNumberFormat="1" applyFont="1" applyFill="1" applyBorder="1" applyAlignment="1">
      <alignment horizontal="center" vertical="center" wrapText="1"/>
    </xf>
    <xf numFmtId="49" fontId="22" fillId="12" borderId="25" xfId="0" applyNumberFormat="1" applyFont="1" applyFill="1" applyBorder="1" applyAlignment="1">
      <alignment horizontal="center" vertical="center" wrapText="1"/>
    </xf>
    <xf numFmtId="175" fontId="22" fillId="12" borderId="1" xfId="0" applyNumberFormat="1" applyFont="1" applyFill="1" applyBorder="1" applyAlignment="1">
      <alignment horizontal="center" vertical="center" wrapText="1"/>
    </xf>
    <xf numFmtId="175" fontId="22" fillId="12" borderId="5" xfId="0" applyNumberFormat="1" applyFont="1" applyFill="1" applyBorder="1" applyAlignment="1">
      <alignment horizontal="center" vertical="center" wrapText="1"/>
    </xf>
    <xf numFmtId="175" fontId="22" fillId="12" borderId="25" xfId="0" applyNumberFormat="1" applyFont="1" applyFill="1" applyBorder="1" applyAlignment="1">
      <alignment horizontal="center" vertical="center" wrapText="1"/>
    </xf>
    <xf numFmtId="175" fontId="22" fillId="12" borderId="26" xfId="0" applyNumberFormat="1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4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3"/>
    </xf>
    <xf numFmtId="0" fontId="0" fillId="0" borderId="0" xfId="0" applyBorder="1" applyAlignment="1">
      <alignment horizontal="center"/>
    </xf>
    <xf numFmtId="0" fontId="7" fillId="14" borderId="1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10" fillId="8" borderId="9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1" fillId="0" borderId="2" xfId="2" applyBorder="1" applyAlignment="1">
      <alignment horizontal="center"/>
    </xf>
    <xf numFmtId="0" fontId="1" fillId="0" borderId="3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3" xfId="2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3">
    <cellStyle name="Millares [0] 2" xfId="7" xr:uid="{00000000-0005-0000-0000-000000000000}"/>
    <cellStyle name="Millares [0] 2 2" xfId="9" xr:uid="{47016325-E40B-485F-A333-BAA255D537D9}"/>
    <cellStyle name="Millares [0] 25" xfId="11" xr:uid="{507F48C7-1FAF-400F-819B-F2CCC3472A04}"/>
    <cellStyle name="Millares [0] 3" xfId="12" xr:uid="{6BF0B38C-3410-4813-AE0B-BF7440920FAC}"/>
    <cellStyle name="Millares 2" xfId="5" xr:uid="{00000000-0005-0000-0000-000001000000}"/>
    <cellStyle name="Normal" xfId="0" builtinId="0"/>
    <cellStyle name="Normal 1580" xfId="10" xr:uid="{9EDEF684-9A5A-46B5-B09D-B125CFF050B7}"/>
    <cellStyle name="Normal 2" xfId="2" xr:uid="{00000000-0005-0000-0000-000003000000}"/>
    <cellStyle name="Normal 2 2" xfId="4" xr:uid="{00000000-0005-0000-0000-000004000000}"/>
    <cellStyle name="Normal 3" xfId="8" xr:uid="{84BB0FF1-3AA2-47FD-A3AC-4F02D5945DD1}"/>
    <cellStyle name="Normal 50" xfId="1" xr:uid="{00000000-0005-0000-0000-000005000000}"/>
    <cellStyle name="Percent" xfId="3" xr:uid="{00000000-0005-0000-0000-000006000000}"/>
    <cellStyle name="Porcentaje 2 2" xfId="6" xr:uid="{00000000-0005-0000-0000-000008000000}"/>
  </cellStyles>
  <dxfs count="18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180974</xdr:colOff>
      <xdr:row>1</xdr:row>
      <xdr:rowOff>76200</xdr:rowOff>
    </xdr:from>
    <xdr:to>
      <xdr:col>4</xdr:col>
      <xdr:colOff>590549</xdr:colOff>
      <xdr:row>4</xdr:row>
      <xdr:rowOff>73737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023F42-BB8B-4189-9CD7-5004F6617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6724" y="247650"/>
          <a:ext cx="1266825" cy="4833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7984231" y="2900282"/>
          <a:ext cx="1059000" cy="68802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 b="1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14</xdr:col>
      <xdr:colOff>515078</xdr:colOff>
      <xdr:row>36</xdr:row>
      <xdr:rowOff>175001</xdr:rowOff>
    </xdr:from>
    <xdr:to>
      <xdr:col>15</xdr:col>
      <xdr:colOff>445404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2788721" y="7468430"/>
          <a:ext cx="964469" cy="3425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1115785</xdr:colOff>
      <xdr:row>23</xdr:row>
      <xdr:rowOff>101871</xdr:rowOff>
    </xdr:from>
    <xdr:to>
      <xdr:col>9</xdr:col>
      <xdr:colOff>125305</xdr:colOff>
      <xdr:row>23</xdr:row>
      <xdr:rowOff>108857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</xdr:cNvCxnSpPr>
      </xdr:nvCxnSpPr>
      <xdr:spPr>
        <a:xfrm flipH="1">
          <a:off x="5551714" y="4782728"/>
          <a:ext cx="2193591" cy="6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515714</xdr:colOff>
      <xdr:row>23</xdr:row>
      <xdr:rowOff>98109</xdr:rowOff>
    </xdr:from>
    <xdr:to>
      <xdr:col>12</xdr:col>
      <xdr:colOff>315672</xdr:colOff>
      <xdr:row>23</xdr:row>
      <xdr:rowOff>115478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</xdr:cNvCxnSpPr>
      </xdr:nvCxnSpPr>
      <xdr:spPr>
        <a:xfrm flipV="1">
          <a:off x="9292321" y="4738145"/>
          <a:ext cx="1473637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934358</xdr:colOff>
      <xdr:row>42</xdr:row>
      <xdr:rowOff>154215</xdr:rowOff>
    </xdr:from>
    <xdr:to>
      <xdr:col>15</xdr:col>
      <xdr:colOff>858333</xdr:colOff>
      <xdr:row>44</xdr:row>
      <xdr:rowOff>95786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B0FFEE4E-F50E-4BBD-BD6E-ACE46A486C94}"/>
            </a:ext>
          </a:extLst>
        </xdr:cNvPr>
        <xdr:cNvSpPr/>
      </xdr:nvSpPr>
      <xdr:spPr>
        <a:xfrm>
          <a:off x="13579929" y="8545286"/>
          <a:ext cx="1012547" cy="3407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Desvío</a:t>
          </a:r>
          <a:r>
            <a:rPr lang="es-CL" sz="1000" baseline="0">
              <a:solidFill>
                <a:schemeClr val="tx1"/>
              </a:solidFill>
            </a:rPr>
            <a:t> Rumo área 61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17698</xdr:colOff>
      <xdr:row>39</xdr:row>
      <xdr:rowOff>54429</xdr:rowOff>
    </xdr:from>
    <xdr:to>
      <xdr:col>26</xdr:col>
      <xdr:colOff>721178</xdr:colOff>
      <xdr:row>49</xdr:row>
      <xdr:rowOff>68035</xdr:rowOff>
    </xdr:to>
    <xdr:sp macro="" textlink="">
      <xdr:nvSpPr>
        <xdr:cNvPr id="66" name="Triángulo isósceles 65">
          <a:extLst>
            <a:ext uri="{FF2B5EF4-FFF2-40B4-BE49-F238E27FC236}">
              <a16:creationId xmlns:a16="http://schemas.microsoft.com/office/drawing/2014/main" id="{E099BABA-E79F-462F-BC05-9EFCE7F77E21}"/>
            </a:ext>
          </a:extLst>
        </xdr:cNvPr>
        <xdr:cNvSpPr/>
      </xdr:nvSpPr>
      <xdr:spPr>
        <a:xfrm>
          <a:off x="19816091" y="8069036"/>
          <a:ext cx="2989480" cy="2054678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24</xdr:col>
      <xdr:colOff>244929</xdr:colOff>
      <xdr:row>44</xdr:row>
      <xdr:rowOff>84567</xdr:rowOff>
    </xdr:from>
    <xdr:to>
      <xdr:col>25</xdr:col>
      <xdr:colOff>447398</xdr:colOff>
      <xdr:row>46</xdr:row>
      <xdr:rowOff>18881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ED92BEE6-966C-4374-916A-6F6404EE1863}"/>
            </a:ext>
          </a:extLst>
        </xdr:cNvPr>
        <xdr:cNvSpPr/>
      </xdr:nvSpPr>
      <xdr:spPr>
        <a:xfrm>
          <a:off x="20805322" y="9119710"/>
          <a:ext cx="964469" cy="3425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6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600">
              <a:solidFill>
                <a:schemeClr val="tx1"/>
              </a:solidFill>
            </a:rPr>
            <a:t>planta</a:t>
          </a:r>
          <a:r>
            <a:rPr lang="es-CL" sz="1600" baseline="0">
              <a:solidFill>
                <a:schemeClr val="tx1"/>
              </a:solidFill>
            </a:rPr>
            <a:t> de rechazos + Stock planta Rumo</a:t>
          </a:r>
          <a:endParaRPr lang="es-CL" sz="16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40"/>
  <sheetViews>
    <sheetView showGridLines="0" topLeftCell="B15" zoomScale="160" zoomScaleNormal="160" workbookViewId="0">
      <selection activeCell="D37" sqref="D37:F38"/>
    </sheetView>
  </sheetViews>
  <sheetFormatPr baseColWidth="10" defaultColWidth="6.33203125" defaultRowHeight="15" customHeight="1"/>
  <cols>
    <col min="1" max="2" width="2.1640625" style="109" customWidth="1"/>
    <col min="3" max="3" width="15.5" style="109" hidden="1" customWidth="1"/>
    <col min="4" max="5" width="12.83203125" style="109" customWidth="1"/>
    <col min="6" max="7" width="15.1640625" style="109" customWidth="1"/>
    <col min="8" max="8" width="12" style="109" customWidth="1"/>
    <col min="9" max="9" width="14.33203125" style="109" customWidth="1"/>
    <col min="10" max="10" width="13.5" style="109" customWidth="1"/>
    <col min="11" max="14" width="13" style="109" customWidth="1"/>
    <col min="15" max="15" width="14.83203125" style="109" customWidth="1"/>
    <col min="16" max="16" width="13.33203125" style="109" customWidth="1"/>
    <col min="17" max="17" width="13.5" style="109" customWidth="1"/>
    <col min="18" max="18" width="2.1640625" style="109" customWidth="1"/>
    <col min="19" max="19" width="13.83203125" style="109" customWidth="1"/>
    <col min="20" max="20" width="16" style="109" customWidth="1"/>
    <col min="21" max="22" width="10.6640625" style="109" customWidth="1"/>
    <col min="23" max="23" width="15.5" style="109" customWidth="1"/>
    <col min="24" max="24" width="11.5" style="109" customWidth="1"/>
    <col min="25" max="25" width="12" style="109" customWidth="1"/>
    <col min="26" max="26" width="11.5" style="109" customWidth="1"/>
    <col min="27" max="27" width="12" style="109" customWidth="1"/>
    <col min="28" max="28" width="11.5" style="109" customWidth="1"/>
    <col min="29" max="29" width="12.83203125" style="109" customWidth="1"/>
    <col min="30" max="30" width="10.6640625" style="109" customWidth="1"/>
    <col min="31" max="31" width="19" style="109" customWidth="1"/>
    <col min="32" max="32" width="13.33203125" style="109" customWidth="1"/>
    <col min="33" max="33" width="18" style="109" customWidth="1"/>
    <col min="34" max="34" width="42.5" style="109" customWidth="1"/>
    <col min="35" max="35" width="31" style="109" customWidth="1"/>
    <col min="36" max="36" width="35" style="109" customWidth="1"/>
    <col min="37" max="37" width="31" style="109" customWidth="1"/>
    <col min="38" max="38" width="35" style="109" customWidth="1"/>
    <col min="39" max="39" width="31" style="109" customWidth="1"/>
    <col min="40" max="40" width="37.83203125" style="109" customWidth="1"/>
    <col min="41" max="41" width="11.5" style="109" customWidth="1"/>
    <col min="42" max="42" width="54" style="109" customWidth="1"/>
    <col min="43" max="43" width="43.5" style="109" customWidth="1"/>
    <col min="44" max="44" width="44.6640625" style="109" customWidth="1"/>
    <col min="45" max="254" width="6.33203125" style="109"/>
    <col min="255" max="256" width="2.1640625" style="109" customWidth="1"/>
    <col min="257" max="257" width="0" style="109" hidden="1" customWidth="1"/>
    <col min="258" max="260" width="12.83203125" style="109" customWidth="1"/>
    <col min="261" max="261" width="12" style="109" customWidth="1"/>
    <col min="262" max="262" width="12.33203125" style="109" customWidth="1"/>
    <col min="263" max="263" width="13.5" style="109" customWidth="1"/>
    <col min="264" max="264" width="0" style="109" hidden="1" customWidth="1"/>
    <col min="265" max="267" width="13" style="109" customWidth="1"/>
    <col min="268" max="268" width="14.83203125" style="109" customWidth="1"/>
    <col min="269" max="269" width="13.33203125" style="109" customWidth="1"/>
    <col min="270" max="270" width="13.5" style="109" customWidth="1"/>
    <col min="271" max="271" width="2.1640625" style="109" customWidth="1"/>
    <col min="272" max="272" width="13.83203125" style="109" customWidth="1"/>
    <col min="273" max="273" width="10.6640625" style="109" customWidth="1"/>
    <col min="274" max="274" width="12" style="109" customWidth="1"/>
    <col min="275" max="275" width="11.5" style="109" customWidth="1"/>
    <col min="276" max="276" width="16" style="109" customWidth="1"/>
    <col min="277" max="278" width="10.6640625" style="109" customWidth="1"/>
    <col min="279" max="279" width="15.5" style="109" customWidth="1"/>
    <col min="280" max="280" width="11.5" style="109" customWidth="1"/>
    <col min="281" max="281" width="12" style="109" customWidth="1"/>
    <col min="282" max="282" width="11.5" style="109" customWidth="1"/>
    <col min="283" max="283" width="12" style="109" customWidth="1"/>
    <col min="284" max="284" width="11.5" style="109" customWidth="1"/>
    <col min="285" max="285" width="12.83203125" style="109" customWidth="1"/>
    <col min="286" max="286" width="10.6640625" style="109" customWidth="1"/>
    <col min="287" max="287" width="19" style="109" customWidth="1"/>
    <col min="288" max="288" width="13.33203125" style="109" customWidth="1"/>
    <col min="289" max="289" width="18" style="109" customWidth="1"/>
    <col min="290" max="290" width="42.5" style="109" customWidth="1"/>
    <col min="291" max="291" width="31" style="109" customWidth="1"/>
    <col min="292" max="292" width="35" style="109" customWidth="1"/>
    <col min="293" max="293" width="31" style="109" customWidth="1"/>
    <col min="294" max="294" width="35" style="109" customWidth="1"/>
    <col min="295" max="295" width="31" style="109" customWidth="1"/>
    <col min="296" max="296" width="37.83203125" style="109" customWidth="1"/>
    <col min="297" max="297" width="11.5" style="109" customWidth="1"/>
    <col min="298" max="298" width="54" style="109" customWidth="1"/>
    <col min="299" max="299" width="43.5" style="109" customWidth="1"/>
    <col min="300" max="300" width="44.6640625" style="109" customWidth="1"/>
    <col min="301" max="510" width="6.33203125" style="109"/>
    <col min="511" max="512" width="2.1640625" style="109" customWidth="1"/>
    <col min="513" max="513" width="0" style="109" hidden="1" customWidth="1"/>
    <col min="514" max="516" width="12.83203125" style="109" customWidth="1"/>
    <col min="517" max="517" width="12" style="109" customWidth="1"/>
    <col min="518" max="518" width="12.33203125" style="109" customWidth="1"/>
    <col min="519" max="519" width="13.5" style="109" customWidth="1"/>
    <col min="520" max="520" width="0" style="109" hidden="1" customWidth="1"/>
    <col min="521" max="523" width="13" style="109" customWidth="1"/>
    <col min="524" max="524" width="14.83203125" style="109" customWidth="1"/>
    <col min="525" max="525" width="13.33203125" style="109" customWidth="1"/>
    <col min="526" max="526" width="13.5" style="109" customWidth="1"/>
    <col min="527" max="527" width="2.1640625" style="109" customWidth="1"/>
    <col min="528" max="528" width="13.83203125" style="109" customWidth="1"/>
    <col min="529" max="529" width="10.6640625" style="109" customWidth="1"/>
    <col min="530" max="530" width="12" style="109" customWidth="1"/>
    <col min="531" max="531" width="11.5" style="109" customWidth="1"/>
    <col min="532" max="532" width="16" style="109" customWidth="1"/>
    <col min="533" max="534" width="10.6640625" style="109" customWidth="1"/>
    <col min="535" max="535" width="15.5" style="109" customWidth="1"/>
    <col min="536" max="536" width="11.5" style="109" customWidth="1"/>
    <col min="537" max="537" width="12" style="109" customWidth="1"/>
    <col min="538" max="538" width="11.5" style="109" customWidth="1"/>
    <col min="539" max="539" width="12" style="109" customWidth="1"/>
    <col min="540" max="540" width="11.5" style="109" customWidth="1"/>
    <col min="541" max="541" width="12.83203125" style="109" customWidth="1"/>
    <col min="542" max="542" width="10.6640625" style="109" customWidth="1"/>
    <col min="543" max="543" width="19" style="109" customWidth="1"/>
    <col min="544" max="544" width="13.33203125" style="109" customWidth="1"/>
    <col min="545" max="545" width="18" style="109" customWidth="1"/>
    <col min="546" max="546" width="42.5" style="109" customWidth="1"/>
    <col min="547" max="547" width="31" style="109" customWidth="1"/>
    <col min="548" max="548" width="35" style="109" customWidth="1"/>
    <col min="549" max="549" width="31" style="109" customWidth="1"/>
    <col min="550" max="550" width="35" style="109" customWidth="1"/>
    <col min="551" max="551" width="31" style="109" customWidth="1"/>
    <col min="552" max="552" width="37.83203125" style="109" customWidth="1"/>
    <col min="553" max="553" width="11.5" style="109" customWidth="1"/>
    <col min="554" max="554" width="54" style="109" customWidth="1"/>
    <col min="555" max="555" width="43.5" style="109" customWidth="1"/>
    <col min="556" max="556" width="44.6640625" style="109" customWidth="1"/>
    <col min="557" max="766" width="6.33203125" style="109"/>
    <col min="767" max="768" width="2.1640625" style="109" customWidth="1"/>
    <col min="769" max="769" width="0" style="109" hidden="1" customWidth="1"/>
    <col min="770" max="772" width="12.83203125" style="109" customWidth="1"/>
    <col min="773" max="773" width="12" style="109" customWidth="1"/>
    <col min="774" max="774" width="12.33203125" style="109" customWidth="1"/>
    <col min="775" max="775" width="13.5" style="109" customWidth="1"/>
    <col min="776" max="776" width="0" style="109" hidden="1" customWidth="1"/>
    <col min="777" max="779" width="13" style="109" customWidth="1"/>
    <col min="780" max="780" width="14.83203125" style="109" customWidth="1"/>
    <col min="781" max="781" width="13.33203125" style="109" customWidth="1"/>
    <col min="782" max="782" width="13.5" style="109" customWidth="1"/>
    <col min="783" max="783" width="2.1640625" style="109" customWidth="1"/>
    <col min="784" max="784" width="13.83203125" style="109" customWidth="1"/>
    <col min="785" max="785" width="10.6640625" style="109" customWidth="1"/>
    <col min="786" max="786" width="12" style="109" customWidth="1"/>
    <col min="787" max="787" width="11.5" style="109" customWidth="1"/>
    <col min="788" max="788" width="16" style="109" customWidth="1"/>
    <col min="789" max="790" width="10.6640625" style="109" customWidth="1"/>
    <col min="791" max="791" width="15.5" style="109" customWidth="1"/>
    <col min="792" max="792" width="11.5" style="109" customWidth="1"/>
    <col min="793" max="793" width="12" style="109" customWidth="1"/>
    <col min="794" max="794" width="11.5" style="109" customWidth="1"/>
    <col min="795" max="795" width="12" style="109" customWidth="1"/>
    <col min="796" max="796" width="11.5" style="109" customWidth="1"/>
    <col min="797" max="797" width="12.83203125" style="109" customWidth="1"/>
    <col min="798" max="798" width="10.6640625" style="109" customWidth="1"/>
    <col min="799" max="799" width="19" style="109" customWidth="1"/>
    <col min="800" max="800" width="13.33203125" style="109" customWidth="1"/>
    <col min="801" max="801" width="18" style="109" customWidth="1"/>
    <col min="802" max="802" width="42.5" style="109" customWidth="1"/>
    <col min="803" max="803" width="31" style="109" customWidth="1"/>
    <col min="804" max="804" width="35" style="109" customWidth="1"/>
    <col min="805" max="805" width="31" style="109" customWidth="1"/>
    <col min="806" max="806" width="35" style="109" customWidth="1"/>
    <col min="807" max="807" width="31" style="109" customWidth="1"/>
    <col min="808" max="808" width="37.83203125" style="109" customWidth="1"/>
    <col min="809" max="809" width="11.5" style="109" customWidth="1"/>
    <col min="810" max="810" width="54" style="109" customWidth="1"/>
    <col min="811" max="811" width="43.5" style="109" customWidth="1"/>
    <col min="812" max="812" width="44.6640625" style="109" customWidth="1"/>
    <col min="813" max="1022" width="6.33203125" style="109"/>
    <col min="1023" max="1024" width="2.1640625" style="109" customWidth="1"/>
    <col min="1025" max="1025" width="0" style="109" hidden="1" customWidth="1"/>
    <col min="1026" max="1028" width="12.83203125" style="109" customWidth="1"/>
    <col min="1029" max="1029" width="12" style="109" customWidth="1"/>
    <col min="1030" max="1030" width="12.33203125" style="109" customWidth="1"/>
    <col min="1031" max="1031" width="13.5" style="109" customWidth="1"/>
    <col min="1032" max="1032" width="0" style="109" hidden="1" customWidth="1"/>
    <col min="1033" max="1035" width="13" style="109" customWidth="1"/>
    <col min="1036" max="1036" width="14.83203125" style="109" customWidth="1"/>
    <col min="1037" max="1037" width="13.33203125" style="109" customWidth="1"/>
    <col min="1038" max="1038" width="13.5" style="109" customWidth="1"/>
    <col min="1039" max="1039" width="2.1640625" style="109" customWidth="1"/>
    <col min="1040" max="1040" width="13.83203125" style="109" customWidth="1"/>
    <col min="1041" max="1041" width="10.6640625" style="109" customWidth="1"/>
    <col min="1042" max="1042" width="12" style="109" customWidth="1"/>
    <col min="1043" max="1043" width="11.5" style="109" customWidth="1"/>
    <col min="1044" max="1044" width="16" style="109" customWidth="1"/>
    <col min="1045" max="1046" width="10.6640625" style="109" customWidth="1"/>
    <col min="1047" max="1047" width="15.5" style="109" customWidth="1"/>
    <col min="1048" max="1048" width="11.5" style="109" customWidth="1"/>
    <col min="1049" max="1049" width="12" style="109" customWidth="1"/>
    <col min="1050" max="1050" width="11.5" style="109" customWidth="1"/>
    <col min="1051" max="1051" width="12" style="109" customWidth="1"/>
    <col min="1052" max="1052" width="11.5" style="109" customWidth="1"/>
    <col min="1053" max="1053" width="12.83203125" style="109" customWidth="1"/>
    <col min="1054" max="1054" width="10.6640625" style="109" customWidth="1"/>
    <col min="1055" max="1055" width="19" style="109" customWidth="1"/>
    <col min="1056" max="1056" width="13.33203125" style="109" customWidth="1"/>
    <col min="1057" max="1057" width="18" style="109" customWidth="1"/>
    <col min="1058" max="1058" width="42.5" style="109" customWidth="1"/>
    <col min="1059" max="1059" width="31" style="109" customWidth="1"/>
    <col min="1060" max="1060" width="35" style="109" customWidth="1"/>
    <col min="1061" max="1061" width="31" style="109" customWidth="1"/>
    <col min="1062" max="1062" width="35" style="109" customWidth="1"/>
    <col min="1063" max="1063" width="31" style="109" customWidth="1"/>
    <col min="1064" max="1064" width="37.83203125" style="109" customWidth="1"/>
    <col min="1065" max="1065" width="11.5" style="109" customWidth="1"/>
    <col min="1066" max="1066" width="54" style="109" customWidth="1"/>
    <col min="1067" max="1067" width="43.5" style="109" customWidth="1"/>
    <col min="1068" max="1068" width="44.6640625" style="109" customWidth="1"/>
    <col min="1069" max="1278" width="6.33203125" style="109"/>
    <col min="1279" max="1280" width="2.1640625" style="109" customWidth="1"/>
    <col min="1281" max="1281" width="0" style="109" hidden="1" customWidth="1"/>
    <col min="1282" max="1284" width="12.83203125" style="109" customWidth="1"/>
    <col min="1285" max="1285" width="12" style="109" customWidth="1"/>
    <col min="1286" max="1286" width="12.33203125" style="109" customWidth="1"/>
    <col min="1287" max="1287" width="13.5" style="109" customWidth="1"/>
    <col min="1288" max="1288" width="0" style="109" hidden="1" customWidth="1"/>
    <col min="1289" max="1291" width="13" style="109" customWidth="1"/>
    <col min="1292" max="1292" width="14.83203125" style="109" customWidth="1"/>
    <col min="1293" max="1293" width="13.33203125" style="109" customWidth="1"/>
    <col min="1294" max="1294" width="13.5" style="109" customWidth="1"/>
    <col min="1295" max="1295" width="2.1640625" style="109" customWidth="1"/>
    <col min="1296" max="1296" width="13.83203125" style="109" customWidth="1"/>
    <col min="1297" max="1297" width="10.6640625" style="109" customWidth="1"/>
    <col min="1298" max="1298" width="12" style="109" customWidth="1"/>
    <col min="1299" max="1299" width="11.5" style="109" customWidth="1"/>
    <col min="1300" max="1300" width="16" style="109" customWidth="1"/>
    <col min="1301" max="1302" width="10.6640625" style="109" customWidth="1"/>
    <col min="1303" max="1303" width="15.5" style="109" customWidth="1"/>
    <col min="1304" max="1304" width="11.5" style="109" customWidth="1"/>
    <col min="1305" max="1305" width="12" style="109" customWidth="1"/>
    <col min="1306" max="1306" width="11.5" style="109" customWidth="1"/>
    <col min="1307" max="1307" width="12" style="109" customWidth="1"/>
    <col min="1308" max="1308" width="11.5" style="109" customWidth="1"/>
    <col min="1309" max="1309" width="12.83203125" style="109" customWidth="1"/>
    <col min="1310" max="1310" width="10.6640625" style="109" customWidth="1"/>
    <col min="1311" max="1311" width="19" style="109" customWidth="1"/>
    <col min="1312" max="1312" width="13.33203125" style="109" customWidth="1"/>
    <col min="1313" max="1313" width="18" style="109" customWidth="1"/>
    <col min="1314" max="1314" width="42.5" style="109" customWidth="1"/>
    <col min="1315" max="1315" width="31" style="109" customWidth="1"/>
    <col min="1316" max="1316" width="35" style="109" customWidth="1"/>
    <col min="1317" max="1317" width="31" style="109" customWidth="1"/>
    <col min="1318" max="1318" width="35" style="109" customWidth="1"/>
    <col min="1319" max="1319" width="31" style="109" customWidth="1"/>
    <col min="1320" max="1320" width="37.83203125" style="109" customWidth="1"/>
    <col min="1321" max="1321" width="11.5" style="109" customWidth="1"/>
    <col min="1322" max="1322" width="54" style="109" customWidth="1"/>
    <col min="1323" max="1323" width="43.5" style="109" customWidth="1"/>
    <col min="1324" max="1324" width="44.6640625" style="109" customWidth="1"/>
    <col min="1325" max="1534" width="6.33203125" style="109"/>
    <col min="1535" max="1536" width="2.1640625" style="109" customWidth="1"/>
    <col min="1537" max="1537" width="0" style="109" hidden="1" customWidth="1"/>
    <col min="1538" max="1540" width="12.83203125" style="109" customWidth="1"/>
    <col min="1541" max="1541" width="12" style="109" customWidth="1"/>
    <col min="1542" max="1542" width="12.33203125" style="109" customWidth="1"/>
    <col min="1543" max="1543" width="13.5" style="109" customWidth="1"/>
    <col min="1544" max="1544" width="0" style="109" hidden="1" customWidth="1"/>
    <col min="1545" max="1547" width="13" style="109" customWidth="1"/>
    <col min="1548" max="1548" width="14.83203125" style="109" customWidth="1"/>
    <col min="1549" max="1549" width="13.33203125" style="109" customWidth="1"/>
    <col min="1550" max="1550" width="13.5" style="109" customWidth="1"/>
    <col min="1551" max="1551" width="2.1640625" style="109" customWidth="1"/>
    <col min="1552" max="1552" width="13.83203125" style="109" customWidth="1"/>
    <col min="1553" max="1553" width="10.6640625" style="109" customWidth="1"/>
    <col min="1554" max="1554" width="12" style="109" customWidth="1"/>
    <col min="1555" max="1555" width="11.5" style="109" customWidth="1"/>
    <col min="1556" max="1556" width="16" style="109" customWidth="1"/>
    <col min="1557" max="1558" width="10.6640625" style="109" customWidth="1"/>
    <col min="1559" max="1559" width="15.5" style="109" customWidth="1"/>
    <col min="1560" max="1560" width="11.5" style="109" customWidth="1"/>
    <col min="1561" max="1561" width="12" style="109" customWidth="1"/>
    <col min="1562" max="1562" width="11.5" style="109" customWidth="1"/>
    <col min="1563" max="1563" width="12" style="109" customWidth="1"/>
    <col min="1564" max="1564" width="11.5" style="109" customWidth="1"/>
    <col min="1565" max="1565" width="12.83203125" style="109" customWidth="1"/>
    <col min="1566" max="1566" width="10.6640625" style="109" customWidth="1"/>
    <col min="1567" max="1567" width="19" style="109" customWidth="1"/>
    <col min="1568" max="1568" width="13.33203125" style="109" customWidth="1"/>
    <col min="1569" max="1569" width="18" style="109" customWidth="1"/>
    <col min="1570" max="1570" width="42.5" style="109" customWidth="1"/>
    <col min="1571" max="1571" width="31" style="109" customWidth="1"/>
    <col min="1572" max="1572" width="35" style="109" customWidth="1"/>
    <col min="1573" max="1573" width="31" style="109" customWidth="1"/>
    <col min="1574" max="1574" width="35" style="109" customWidth="1"/>
    <col min="1575" max="1575" width="31" style="109" customWidth="1"/>
    <col min="1576" max="1576" width="37.83203125" style="109" customWidth="1"/>
    <col min="1577" max="1577" width="11.5" style="109" customWidth="1"/>
    <col min="1578" max="1578" width="54" style="109" customWidth="1"/>
    <col min="1579" max="1579" width="43.5" style="109" customWidth="1"/>
    <col min="1580" max="1580" width="44.6640625" style="109" customWidth="1"/>
    <col min="1581" max="1790" width="6.33203125" style="109"/>
    <col min="1791" max="1792" width="2.1640625" style="109" customWidth="1"/>
    <col min="1793" max="1793" width="0" style="109" hidden="1" customWidth="1"/>
    <col min="1794" max="1796" width="12.83203125" style="109" customWidth="1"/>
    <col min="1797" max="1797" width="12" style="109" customWidth="1"/>
    <col min="1798" max="1798" width="12.33203125" style="109" customWidth="1"/>
    <col min="1799" max="1799" width="13.5" style="109" customWidth="1"/>
    <col min="1800" max="1800" width="0" style="109" hidden="1" customWidth="1"/>
    <col min="1801" max="1803" width="13" style="109" customWidth="1"/>
    <col min="1804" max="1804" width="14.83203125" style="109" customWidth="1"/>
    <col min="1805" max="1805" width="13.33203125" style="109" customWidth="1"/>
    <col min="1806" max="1806" width="13.5" style="109" customWidth="1"/>
    <col min="1807" max="1807" width="2.1640625" style="109" customWidth="1"/>
    <col min="1808" max="1808" width="13.83203125" style="109" customWidth="1"/>
    <col min="1809" max="1809" width="10.6640625" style="109" customWidth="1"/>
    <col min="1810" max="1810" width="12" style="109" customWidth="1"/>
    <col min="1811" max="1811" width="11.5" style="109" customWidth="1"/>
    <col min="1812" max="1812" width="16" style="109" customWidth="1"/>
    <col min="1813" max="1814" width="10.6640625" style="109" customWidth="1"/>
    <col min="1815" max="1815" width="15.5" style="109" customWidth="1"/>
    <col min="1816" max="1816" width="11.5" style="109" customWidth="1"/>
    <col min="1817" max="1817" width="12" style="109" customWidth="1"/>
    <col min="1818" max="1818" width="11.5" style="109" customWidth="1"/>
    <col min="1819" max="1819" width="12" style="109" customWidth="1"/>
    <col min="1820" max="1820" width="11.5" style="109" customWidth="1"/>
    <col min="1821" max="1821" width="12.83203125" style="109" customWidth="1"/>
    <col min="1822" max="1822" width="10.6640625" style="109" customWidth="1"/>
    <col min="1823" max="1823" width="19" style="109" customWidth="1"/>
    <col min="1824" max="1824" width="13.33203125" style="109" customWidth="1"/>
    <col min="1825" max="1825" width="18" style="109" customWidth="1"/>
    <col min="1826" max="1826" width="42.5" style="109" customWidth="1"/>
    <col min="1827" max="1827" width="31" style="109" customWidth="1"/>
    <col min="1828" max="1828" width="35" style="109" customWidth="1"/>
    <col min="1829" max="1829" width="31" style="109" customWidth="1"/>
    <col min="1830" max="1830" width="35" style="109" customWidth="1"/>
    <col min="1831" max="1831" width="31" style="109" customWidth="1"/>
    <col min="1832" max="1832" width="37.83203125" style="109" customWidth="1"/>
    <col min="1833" max="1833" width="11.5" style="109" customWidth="1"/>
    <col min="1834" max="1834" width="54" style="109" customWidth="1"/>
    <col min="1835" max="1835" width="43.5" style="109" customWidth="1"/>
    <col min="1836" max="1836" width="44.6640625" style="109" customWidth="1"/>
    <col min="1837" max="2046" width="6.33203125" style="109"/>
    <col min="2047" max="2048" width="2.1640625" style="109" customWidth="1"/>
    <col min="2049" max="2049" width="0" style="109" hidden="1" customWidth="1"/>
    <col min="2050" max="2052" width="12.83203125" style="109" customWidth="1"/>
    <col min="2053" max="2053" width="12" style="109" customWidth="1"/>
    <col min="2054" max="2054" width="12.33203125" style="109" customWidth="1"/>
    <col min="2055" max="2055" width="13.5" style="109" customWidth="1"/>
    <col min="2056" max="2056" width="0" style="109" hidden="1" customWidth="1"/>
    <col min="2057" max="2059" width="13" style="109" customWidth="1"/>
    <col min="2060" max="2060" width="14.83203125" style="109" customWidth="1"/>
    <col min="2061" max="2061" width="13.33203125" style="109" customWidth="1"/>
    <col min="2062" max="2062" width="13.5" style="109" customWidth="1"/>
    <col min="2063" max="2063" width="2.1640625" style="109" customWidth="1"/>
    <col min="2064" max="2064" width="13.83203125" style="109" customWidth="1"/>
    <col min="2065" max="2065" width="10.6640625" style="109" customWidth="1"/>
    <col min="2066" max="2066" width="12" style="109" customWidth="1"/>
    <col min="2067" max="2067" width="11.5" style="109" customWidth="1"/>
    <col min="2068" max="2068" width="16" style="109" customWidth="1"/>
    <col min="2069" max="2070" width="10.6640625" style="109" customWidth="1"/>
    <col min="2071" max="2071" width="15.5" style="109" customWidth="1"/>
    <col min="2072" max="2072" width="11.5" style="109" customWidth="1"/>
    <col min="2073" max="2073" width="12" style="109" customWidth="1"/>
    <col min="2074" max="2074" width="11.5" style="109" customWidth="1"/>
    <col min="2075" max="2075" width="12" style="109" customWidth="1"/>
    <col min="2076" max="2076" width="11.5" style="109" customWidth="1"/>
    <col min="2077" max="2077" width="12.83203125" style="109" customWidth="1"/>
    <col min="2078" max="2078" width="10.6640625" style="109" customWidth="1"/>
    <col min="2079" max="2079" width="19" style="109" customWidth="1"/>
    <col min="2080" max="2080" width="13.33203125" style="109" customWidth="1"/>
    <col min="2081" max="2081" width="18" style="109" customWidth="1"/>
    <col min="2082" max="2082" width="42.5" style="109" customWidth="1"/>
    <col min="2083" max="2083" width="31" style="109" customWidth="1"/>
    <col min="2084" max="2084" width="35" style="109" customWidth="1"/>
    <col min="2085" max="2085" width="31" style="109" customWidth="1"/>
    <col min="2086" max="2086" width="35" style="109" customWidth="1"/>
    <col min="2087" max="2087" width="31" style="109" customWidth="1"/>
    <col min="2088" max="2088" width="37.83203125" style="109" customWidth="1"/>
    <col min="2089" max="2089" width="11.5" style="109" customWidth="1"/>
    <col min="2090" max="2090" width="54" style="109" customWidth="1"/>
    <col min="2091" max="2091" width="43.5" style="109" customWidth="1"/>
    <col min="2092" max="2092" width="44.6640625" style="109" customWidth="1"/>
    <col min="2093" max="2302" width="6.33203125" style="109"/>
    <col min="2303" max="2304" width="2.1640625" style="109" customWidth="1"/>
    <col min="2305" max="2305" width="0" style="109" hidden="1" customWidth="1"/>
    <col min="2306" max="2308" width="12.83203125" style="109" customWidth="1"/>
    <col min="2309" max="2309" width="12" style="109" customWidth="1"/>
    <col min="2310" max="2310" width="12.33203125" style="109" customWidth="1"/>
    <col min="2311" max="2311" width="13.5" style="109" customWidth="1"/>
    <col min="2312" max="2312" width="0" style="109" hidden="1" customWidth="1"/>
    <col min="2313" max="2315" width="13" style="109" customWidth="1"/>
    <col min="2316" max="2316" width="14.83203125" style="109" customWidth="1"/>
    <col min="2317" max="2317" width="13.33203125" style="109" customWidth="1"/>
    <col min="2318" max="2318" width="13.5" style="109" customWidth="1"/>
    <col min="2319" max="2319" width="2.1640625" style="109" customWidth="1"/>
    <col min="2320" max="2320" width="13.83203125" style="109" customWidth="1"/>
    <col min="2321" max="2321" width="10.6640625" style="109" customWidth="1"/>
    <col min="2322" max="2322" width="12" style="109" customWidth="1"/>
    <col min="2323" max="2323" width="11.5" style="109" customWidth="1"/>
    <col min="2324" max="2324" width="16" style="109" customWidth="1"/>
    <col min="2325" max="2326" width="10.6640625" style="109" customWidth="1"/>
    <col min="2327" max="2327" width="15.5" style="109" customWidth="1"/>
    <col min="2328" max="2328" width="11.5" style="109" customWidth="1"/>
    <col min="2329" max="2329" width="12" style="109" customWidth="1"/>
    <col min="2330" max="2330" width="11.5" style="109" customWidth="1"/>
    <col min="2331" max="2331" width="12" style="109" customWidth="1"/>
    <col min="2332" max="2332" width="11.5" style="109" customWidth="1"/>
    <col min="2333" max="2333" width="12.83203125" style="109" customWidth="1"/>
    <col min="2334" max="2334" width="10.6640625" style="109" customWidth="1"/>
    <col min="2335" max="2335" width="19" style="109" customWidth="1"/>
    <col min="2336" max="2336" width="13.33203125" style="109" customWidth="1"/>
    <col min="2337" max="2337" width="18" style="109" customWidth="1"/>
    <col min="2338" max="2338" width="42.5" style="109" customWidth="1"/>
    <col min="2339" max="2339" width="31" style="109" customWidth="1"/>
    <col min="2340" max="2340" width="35" style="109" customWidth="1"/>
    <col min="2341" max="2341" width="31" style="109" customWidth="1"/>
    <col min="2342" max="2342" width="35" style="109" customWidth="1"/>
    <col min="2343" max="2343" width="31" style="109" customWidth="1"/>
    <col min="2344" max="2344" width="37.83203125" style="109" customWidth="1"/>
    <col min="2345" max="2345" width="11.5" style="109" customWidth="1"/>
    <col min="2346" max="2346" width="54" style="109" customWidth="1"/>
    <col min="2347" max="2347" width="43.5" style="109" customWidth="1"/>
    <col min="2348" max="2348" width="44.6640625" style="109" customWidth="1"/>
    <col min="2349" max="2558" width="6.33203125" style="109"/>
    <col min="2559" max="2560" width="2.1640625" style="109" customWidth="1"/>
    <col min="2561" max="2561" width="0" style="109" hidden="1" customWidth="1"/>
    <col min="2562" max="2564" width="12.83203125" style="109" customWidth="1"/>
    <col min="2565" max="2565" width="12" style="109" customWidth="1"/>
    <col min="2566" max="2566" width="12.33203125" style="109" customWidth="1"/>
    <col min="2567" max="2567" width="13.5" style="109" customWidth="1"/>
    <col min="2568" max="2568" width="0" style="109" hidden="1" customWidth="1"/>
    <col min="2569" max="2571" width="13" style="109" customWidth="1"/>
    <col min="2572" max="2572" width="14.83203125" style="109" customWidth="1"/>
    <col min="2573" max="2573" width="13.33203125" style="109" customWidth="1"/>
    <col min="2574" max="2574" width="13.5" style="109" customWidth="1"/>
    <col min="2575" max="2575" width="2.1640625" style="109" customWidth="1"/>
    <col min="2576" max="2576" width="13.83203125" style="109" customWidth="1"/>
    <col min="2577" max="2577" width="10.6640625" style="109" customWidth="1"/>
    <col min="2578" max="2578" width="12" style="109" customWidth="1"/>
    <col min="2579" max="2579" width="11.5" style="109" customWidth="1"/>
    <col min="2580" max="2580" width="16" style="109" customWidth="1"/>
    <col min="2581" max="2582" width="10.6640625" style="109" customWidth="1"/>
    <col min="2583" max="2583" width="15.5" style="109" customWidth="1"/>
    <col min="2584" max="2584" width="11.5" style="109" customWidth="1"/>
    <col min="2585" max="2585" width="12" style="109" customWidth="1"/>
    <col min="2586" max="2586" width="11.5" style="109" customWidth="1"/>
    <col min="2587" max="2587" width="12" style="109" customWidth="1"/>
    <col min="2588" max="2588" width="11.5" style="109" customWidth="1"/>
    <col min="2589" max="2589" width="12.83203125" style="109" customWidth="1"/>
    <col min="2590" max="2590" width="10.6640625" style="109" customWidth="1"/>
    <col min="2591" max="2591" width="19" style="109" customWidth="1"/>
    <col min="2592" max="2592" width="13.33203125" style="109" customWidth="1"/>
    <col min="2593" max="2593" width="18" style="109" customWidth="1"/>
    <col min="2594" max="2594" width="42.5" style="109" customWidth="1"/>
    <col min="2595" max="2595" width="31" style="109" customWidth="1"/>
    <col min="2596" max="2596" width="35" style="109" customWidth="1"/>
    <col min="2597" max="2597" width="31" style="109" customWidth="1"/>
    <col min="2598" max="2598" width="35" style="109" customWidth="1"/>
    <col min="2599" max="2599" width="31" style="109" customWidth="1"/>
    <col min="2600" max="2600" width="37.83203125" style="109" customWidth="1"/>
    <col min="2601" max="2601" width="11.5" style="109" customWidth="1"/>
    <col min="2602" max="2602" width="54" style="109" customWidth="1"/>
    <col min="2603" max="2603" width="43.5" style="109" customWidth="1"/>
    <col min="2604" max="2604" width="44.6640625" style="109" customWidth="1"/>
    <col min="2605" max="2814" width="6.33203125" style="109"/>
    <col min="2815" max="2816" width="2.1640625" style="109" customWidth="1"/>
    <col min="2817" max="2817" width="0" style="109" hidden="1" customWidth="1"/>
    <col min="2818" max="2820" width="12.83203125" style="109" customWidth="1"/>
    <col min="2821" max="2821" width="12" style="109" customWidth="1"/>
    <col min="2822" max="2822" width="12.33203125" style="109" customWidth="1"/>
    <col min="2823" max="2823" width="13.5" style="109" customWidth="1"/>
    <col min="2824" max="2824" width="0" style="109" hidden="1" customWidth="1"/>
    <col min="2825" max="2827" width="13" style="109" customWidth="1"/>
    <col min="2828" max="2828" width="14.83203125" style="109" customWidth="1"/>
    <col min="2829" max="2829" width="13.33203125" style="109" customWidth="1"/>
    <col min="2830" max="2830" width="13.5" style="109" customWidth="1"/>
    <col min="2831" max="2831" width="2.1640625" style="109" customWidth="1"/>
    <col min="2832" max="2832" width="13.83203125" style="109" customWidth="1"/>
    <col min="2833" max="2833" width="10.6640625" style="109" customWidth="1"/>
    <col min="2834" max="2834" width="12" style="109" customWidth="1"/>
    <col min="2835" max="2835" width="11.5" style="109" customWidth="1"/>
    <col min="2836" max="2836" width="16" style="109" customWidth="1"/>
    <col min="2837" max="2838" width="10.6640625" style="109" customWidth="1"/>
    <col min="2839" max="2839" width="15.5" style="109" customWidth="1"/>
    <col min="2840" max="2840" width="11.5" style="109" customWidth="1"/>
    <col min="2841" max="2841" width="12" style="109" customWidth="1"/>
    <col min="2842" max="2842" width="11.5" style="109" customWidth="1"/>
    <col min="2843" max="2843" width="12" style="109" customWidth="1"/>
    <col min="2844" max="2844" width="11.5" style="109" customWidth="1"/>
    <col min="2845" max="2845" width="12.83203125" style="109" customWidth="1"/>
    <col min="2846" max="2846" width="10.6640625" style="109" customWidth="1"/>
    <col min="2847" max="2847" width="19" style="109" customWidth="1"/>
    <col min="2848" max="2848" width="13.33203125" style="109" customWidth="1"/>
    <col min="2849" max="2849" width="18" style="109" customWidth="1"/>
    <col min="2850" max="2850" width="42.5" style="109" customWidth="1"/>
    <col min="2851" max="2851" width="31" style="109" customWidth="1"/>
    <col min="2852" max="2852" width="35" style="109" customWidth="1"/>
    <col min="2853" max="2853" width="31" style="109" customWidth="1"/>
    <col min="2854" max="2854" width="35" style="109" customWidth="1"/>
    <col min="2855" max="2855" width="31" style="109" customWidth="1"/>
    <col min="2856" max="2856" width="37.83203125" style="109" customWidth="1"/>
    <col min="2857" max="2857" width="11.5" style="109" customWidth="1"/>
    <col min="2858" max="2858" width="54" style="109" customWidth="1"/>
    <col min="2859" max="2859" width="43.5" style="109" customWidth="1"/>
    <col min="2860" max="2860" width="44.6640625" style="109" customWidth="1"/>
    <col min="2861" max="3070" width="6.33203125" style="109"/>
    <col min="3071" max="3072" width="2.1640625" style="109" customWidth="1"/>
    <col min="3073" max="3073" width="0" style="109" hidden="1" customWidth="1"/>
    <col min="3074" max="3076" width="12.83203125" style="109" customWidth="1"/>
    <col min="3077" max="3077" width="12" style="109" customWidth="1"/>
    <col min="3078" max="3078" width="12.33203125" style="109" customWidth="1"/>
    <col min="3079" max="3079" width="13.5" style="109" customWidth="1"/>
    <col min="3080" max="3080" width="0" style="109" hidden="1" customWidth="1"/>
    <col min="3081" max="3083" width="13" style="109" customWidth="1"/>
    <col min="3084" max="3084" width="14.83203125" style="109" customWidth="1"/>
    <col min="3085" max="3085" width="13.33203125" style="109" customWidth="1"/>
    <col min="3086" max="3086" width="13.5" style="109" customWidth="1"/>
    <col min="3087" max="3087" width="2.1640625" style="109" customWidth="1"/>
    <col min="3088" max="3088" width="13.83203125" style="109" customWidth="1"/>
    <col min="3089" max="3089" width="10.6640625" style="109" customWidth="1"/>
    <col min="3090" max="3090" width="12" style="109" customWidth="1"/>
    <col min="3091" max="3091" width="11.5" style="109" customWidth="1"/>
    <col min="3092" max="3092" width="16" style="109" customWidth="1"/>
    <col min="3093" max="3094" width="10.6640625" style="109" customWidth="1"/>
    <col min="3095" max="3095" width="15.5" style="109" customWidth="1"/>
    <col min="3096" max="3096" width="11.5" style="109" customWidth="1"/>
    <col min="3097" max="3097" width="12" style="109" customWidth="1"/>
    <col min="3098" max="3098" width="11.5" style="109" customWidth="1"/>
    <col min="3099" max="3099" width="12" style="109" customWidth="1"/>
    <col min="3100" max="3100" width="11.5" style="109" customWidth="1"/>
    <col min="3101" max="3101" width="12.83203125" style="109" customWidth="1"/>
    <col min="3102" max="3102" width="10.6640625" style="109" customWidth="1"/>
    <col min="3103" max="3103" width="19" style="109" customWidth="1"/>
    <col min="3104" max="3104" width="13.33203125" style="109" customWidth="1"/>
    <col min="3105" max="3105" width="18" style="109" customWidth="1"/>
    <col min="3106" max="3106" width="42.5" style="109" customWidth="1"/>
    <col min="3107" max="3107" width="31" style="109" customWidth="1"/>
    <col min="3108" max="3108" width="35" style="109" customWidth="1"/>
    <col min="3109" max="3109" width="31" style="109" customWidth="1"/>
    <col min="3110" max="3110" width="35" style="109" customWidth="1"/>
    <col min="3111" max="3111" width="31" style="109" customWidth="1"/>
    <col min="3112" max="3112" width="37.83203125" style="109" customWidth="1"/>
    <col min="3113" max="3113" width="11.5" style="109" customWidth="1"/>
    <col min="3114" max="3114" width="54" style="109" customWidth="1"/>
    <col min="3115" max="3115" width="43.5" style="109" customWidth="1"/>
    <col min="3116" max="3116" width="44.6640625" style="109" customWidth="1"/>
    <col min="3117" max="3326" width="6.33203125" style="109"/>
    <col min="3327" max="3328" width="2.1640625" style="109" customWidth="1"/>
    <col min="3329" max="3329" width="0" style="109" hidden="1" customWidth="1"/>
    <col min="3330" max="3332" width="12.83203125" style="109" customWidth="1"/>
    <col min="3333" max="3333" width="12" style="109" customWidth="1"/>
    <col min="3334" max="3334" width="12.33203125" style="109" customWidth="1"/>
    <col min="3335" max="3335" width="13.5" style="109" customWidth="1"/>
    <col min="3336" max="3336" width="0" style="109" hidden="1" customWidth="1"/>
    <col min="3337" max="3339" width="13" style="109" customWidth="1"/>
    <col min="3340" max="3340" width="14.83203125" style="109" customWidth="1"/>
    <col min="3341" max="3341" width="13.33203125" style="109" customWidth="1"/>
    <col min="3342" max="3342" width="13.5" style="109" customWidth="1"/>
    <col min="3343" max="3343" width="2.1640625" style="109" customWidth="1"/>
    <col min="3344" max="3344" width="13.83203125" style="109" customWidth="1"/>
    <col min="3345" max="3345" width="10.6640625" style="109" customWidth="1"/>
    <col min="3346" max="3346" width="12" style="109" customWidth="1"/>
    <col min="3347" max="3347" width="11.5" style="109" customWidth="1"/>
    <col min="3348" max="3348" width="16" style="109" customWidth="1"/>
    <col min="3349" max="3350" width="10.6640625" style="109" customWidth="1"/>
    <col min="3351" max="3351" width="15.5" style="109" customWidth="1"/>
    <col min="3352" max="3352" width="11.5" style="109" customWidth="1"/>
    <col min="3353" max="3353" width="12" style="109" customWidth="1"/>
    <col min="3354" max="3354" width="11.5" style="109" customWidth="1"/>
    <col min="3355" max="3355" width="12" style="109" customWidth="1"/>
    <col min="3356" max="3356" width="11.5" style="109" customWidth="1"/>
    <col min="3357" max="3357" width="12.83203125" style="109" customWidth="1"/>
    <col min="3358" max="3358" width="10.6640625" style="109" customWidth="1"/>
    <col min="3359" max="3359" width="19" style="109" customWidth="1"/>
    <col min="3360" max="3360" width="13.33203125" style="109" customWidth="1"/>
    <col min="3361" max="3361" width="18" style="109" customWidth="1"/>
    <col min="3362" max="3362" width="42.5" style="109" customWidth="1"/>
    <col min="3363" max="3363" width="31" style="109" customWidth="1"/>
    <col min="3364" max="3364" width="35" style="109" customWidth="1"/>
    <col min="3365" max="3365" width="31" style="109" customWidth="1"/>
    <col min="3366" max="3366" width="35" style="109" customWidth="1"/>
    <col min="3367" max="3367" width="31" style="109" customWidth="1"/>
    <col min="3368" max="3368" width="37.83203125" style="109" customWidth="1"/>
    <col min="3369" max="3369" width="11.5" style="109" customWidth="1"/>
    <col min="3370" max="3370" width="54" style="109" customWidth="1"/>
    <col min="3371" max="3371" width="43.5" style="109" customWidth="1"/>
    <col min="3372" max="3372" width="44.6640625" style="109" customWidth="1"/>
    <col min="3373" max="3582" width="6.33203125" style="109"/>
    <col min="3583" max="3584" width="2.1640625" style="109" customWidth="1"/>
    <col min="3585" max="3585" width="0" style="109" hidden="1" customWidth="1"/>
    <col min="3586" max="3588" width="12.83203125" style="109" customWidth="1"/>
    <col min="3589" max="3589" width="12" style="109" customWidth="1"/>
    <col min="3590" max="3590" width="12.33203125" style="109" customWidth="1"/>
    <col min="3591" max="3591" width="13.5" style="109" customWidth="1"/>
    <col min="3592" max="3592" width="0" style="109" hidden="1" customWidth="1"/>
    <col min="3593" max="3595" width="13" style="109" customWidth="1"/>
    <col min="3596" max="3596" width="14.83203125" style="109" customWidth="1"/>
    <col min="3597" max="3597" width="13.33203125" style="109" customWidth="1"/>
    <col min="3598" max="3598" width="13.5" style="109" customWidth="1"/>
    <col min="3599" max="3599" width="2.1640625" style="109" customWidth="1"/>
    <col min="3600" max="3600" width="13.83203125" style="109" customWidth="1"/>
    <col min="3601" max="3601" width="10.6640625" style="109" customWidth="1"/>
    <col min="3602" max="3602" width="12" style="109" customWidth="1"/>
    <col min="3603" max="3603" width="11.5" style="109" customWidth="1"/>
    <col min="3604" max="3604" width="16" style="109" customWidth="1"/>
    <col min="3605" max="3606" width="10.6640625" style="109" customWidth="1"/>
    <col min="3607" max="3607" width="15.5" style="109" customWidth="1"/>
    <col min="3608" max="3608" width="11.5" style="109" customWidth="1"/>
    <col min="3609" max="3609" width="12" style="109" customWidth="1"/>
    <col min="3610" max="3610" width="11.5" style="109" customWidth="1"/>
    <col min="3611" max="3611" width="12" style="109" customWidth="1"/>
    <col min="3612" max="3612" width="11.5" style="109" customWidth="1"/>
    <col min="3613" max="3613" width="12.83203125" style="109" customWidth="1"/>
    <col min="3614" max="3614" width="10.6640625" style="109" customWidth="1"/>
    <col min="3615" max="3615" width="19" style="109" customWidth="1"/>
    <col min="3616" max="3616" width="13.33203125" style="109" customWidth="1"/>
    <col min="3617" max="3617" width="18" style="109" customWidth="1"/>
    <col min="3618" max="3618" width="42.5" style="109" customWidth="1"/>
    <col min="3619" max="3619" width="31" style="109" customWidth="1"/>
    <col min="3620" max="3620" width="35" style="109" customWidth="1"/>
    <col min="3621" max="3621" width="31" style="109" customWidth="1"/>
    <col min="3622" max="3622" width="35" style="109" customWidth="1"/>
    <col min="3623" max="3623" width="31" style="109" customWidth="1"/>
    <col min="3624" max="3624" width="37.83203125" style="109" customWidth="1"/>
    <col min="3625" max="3625" width="11.5" style="109" customWidth="1"/>
    <col min="3626" max="3626" width="54" style="109" customWidth="1"/>
    <col min="3627" max="3627" width="43.5" style="109" customWidth="1"/>
    <col min="3628" max="3628" width="44.6640625" style="109" customWidth="1"/>
    <col min="3629" max="3838" width="6.33203125" style="109"/>
    <col min="3839" max="3840" width="2.1640625" style="109" customWidth="1"/>
    <col min="3841" max="3841" width="0" style="109" hidden="1" customWidth="1"/>
    <col min="3842" max="3844" width="12.83203125" style="109" customWidth="1"/>
    <col min="3845" max="3845" width="12" style="109" customWidth="1"/>
    <col min="3846" max="3846" width="12.33203125" style="109" customWidth="1"/>
    <col min="3847" max="3847" width="13.5" style="109" customWidth="1"/>
    <col min="3848" max="3848" width="0" style="109" hidden="1" customWidth="1"/>
    <col min="3849" max="3851" width="13" style="109" customWidth="1"/>
    <col min="3852" max="3852" width="14.83203125" style="109" customWidth="1"/>
    <col min="3853" max="3853" width="13.33203125" style="109" customWidth="1"/>
    <col min="3854" max="3854" width="13.5" style="109" customWidth="1"/>
    <col min="3855" max="3855" width="2.1640625" style="109" customWidth="1"/>
    <col min="3856" max="3856" width="13.83203125" style="109" customWidth="1"/>
    <col min="3857" max="3857" width="10.6640625" style="109" customWidth="1"/>
    <col min="3858" max="3858" width="12" style="109" customWidth="1"/>
    <col min="3859" max="3859" width="11.5" style="109" customWidth="1"/>
    <col min="3860" max="3860" width="16" style="109" customWidth="1"/>
    <col min="3861" max="3862" width="10.6640625" style="109" customWidth="1"/>
    <col min="3863" max="3863" width="15.5" style="109" customWidth="1"/>
    <col min="3864" max="3864" width="11.5" style="109" customWidth="1"/>
    <col min="3865" max="3865" width="12" style="109" customWidth="1"/>
    <col min="3866" max="3866" width="11.5" style="109" customWidth="1"/>
    <col min="3867" max="3867" width="12" style="109" customWidth="1"/>
    <col min="3868" max="3868" width="11.5" style="109" customWidth="1"/>
    <col min="3869" max="3869" width="12.83203125" style="109" customWidth="1"/>
    <col min="3870" max="3870" width="10.6640625" style="109" customWidth="1"/>
    <col min="3871" max="3871" width="19" style="109" customWidth="1"/>
    <col min="3872" max="3872" width="13.33203125" style="109" customWidth="1"/>
    <col min="3873" max="3873" width="18" style="109" customWidth="1"/>
    <col min="3874" max="3874" width="42.5" style="109" customWidth="1"/>
    <col min="3875" max="3875" width="31" style="109" customWidth="1"/>
    <col min="3876" max="3876" width="35" style="109" customWidth="1"/>
    <col min="3877" max="3877" width="31" style="109" customWidth="1"/>
    <col min="3878" max="3878" width="35" style="109" customWidth="1"/>
    <col min="3879" max="3879" width="31" style="109" customWidth="1"/>
    <col min="3880" max="3880" width="37.83203125" style="109" customWidth="1"/>
    <col min="3881" max="3881" width="11.5" style="109" customWidth="1"/>
    <col min="3882" max="3882" width="54" style="109" customWidth="1"/>
    <col min="3883" max="3883" width="43.5" style="109" customWidth="1"/>
    <col min="3884" max="3884" width="44.6640625" style="109" customWidth="1"/>
    <col min="3885" max="4094" width="6.33203125" style="109"/>
    <col min="4095" max="4096" width="2.1640625" style="109" customWidth="1"/>
    <col min="4097" max="4097" width="0" style="109" hidden="1" customWidth="1"/>
    <col min="4098" max="4100" width="12.83203125" style="109" customWidth="1"/>
    <col min="4101" max="4101" width="12" style="109" customWidth="1"/>
    <col min="4102" max="4102" width="12.33203125" style="109" customWidth="1"/>
    <col min="4103" max="4103" width="13.5" style="109" customWidth="1"/>
    <col min="4104" max="4104" width="0" style="109" hidden="1" customWidth="1"/>
    <col min="4105" max="4107" width="13" style="109" customWidth="1"/>
    <col min="4108" max="4108" width="14.83203125" style="109" customWidth="1"/>
    <col min="4109" max="4109" width="13.33203125" style="109" customWidth="1"/>
    <col min="4110" max="4110" width="13.5" style="109" customWidth="1"/>
    <col min="4111" max="4111" width="2.1640625" style="109" customWidth="1"/>
    <col min="4112" max="4112" width="13.83203125" style="109" customWidth="1"/>
    <col min="4113" max="4113" width="10.6640625" style="109" customWidth="1"/>
    <col min="4114" max="4114" width="12" style="109" customWidth="1"/>
    <col min="4115" max="4115" width="11.5" style="109" customWidth="1"/>
    <col min="4116" max="4116" width="16" style="109" customWidth="1"/>
    <col min="4117" max="4118" width="10.6640625" style="109" customWidth="1"/>
    <col min="4119" max="4119" width="15.5" style="109" customWidth="1"/>
    <col min="4120" max="4120" width="11.5" style="109" customWidth="1"/>
    <col min="4121" max="4121" width="12" style="109" customWidth="1"/>
    <col min="4122" max="4122" width="11.5" style="109" customWidth="1"/>
    <col min="4123" max="4123" width="12" style="109" customWidth="1"/>
    <col min="4124" max="4124" width="11.5" style="109" customWidth="1"/>
    <col min="4125" max="4125" width="12.83203125" style="109" customWidth="1"/>
    <col min="4126" max="4126" width="10.6640625" style="109" customWidth="1"/>
    <col min="4127" max="4127" width="19" style="109" customWidth="1"/>
    <col min="4128" max="4128" width="13.33203125" style="109" customWidth="1"/>
    <col min="4129" max="4129" width="18" style="109" customWidth="1"/>
    <col min="4130" max="4130" width="42.5" style="109" customWidth="1"/>
    <col min="4131" max="4131" width="31" style="109" customWidth="1"/>
    <col min="4132" max="4132" width="35" style="109" customWidth="1"/>
    <col min="4133" max="4133" width="31" style="109" customWidth="1"/>
    <col min="4134" max="4134" width="35" style="109" customWidth="1"/>
    <col min="4135" max="4135" width="31" style="109" customWidth="1"/>
    <col min="4136" max="4136" width="37.83203125" style="109" customWidth="1"/>
    <col min="4137" max="4137" width="11.5" style="109" customWidth="1"/>
    <col min="4138" max="4138" width="54" style="109" customWidth="1"/>
    <col min="4139" max="4139" width="43.5" style="109" customWidth="1"/>
    <col min="4140" max="4140" width="44.6640625" style="109" customWidth="1"/>
    <col min="4141" max="4350" width="6.33203125" style="109"/>
    <col min="4351" max="4352" width="2.1640625" style="109" customWidth="1"/>
    <col min="4353" max="4353" width="0" style="109" hidden="1" customWidth="1"/>
    <col min="4354" max="4356" width="12.83203125" style="109" customWidth="1"/>
    <col min="4357" max="4357" width="12" style="109" customWidth="1"/>
    <col min="4358" max="4358" width="12.33203125" style="109" customWidth="1"/>
    <col min="4359" max="4359" width="13.5" style="109" customWidth="1"/>
    <col min="4360" max="4360" width="0" style="109" hidden="1" customWidth="1"/>
    <col min="4361" max="4363" width="13" style="109" customWidth="1"/>
    <col min="4364" max="4364" width="14.83203125" style="109" customWidth="1"/>
    <col min="4365" max="4365" width="13.33203125" style="109" customWidth="1"/>
    <col min="4366" max="4366" width="13.5" style="109" customWidth="1"/>
    <col min="4367" max="4367" width="2.1640625" style="109" customWidth="1"/>
    <col min="4368" max="4368" width="13.83203125" style="109" customWidth="1"/>
    <col min="4369" max="4369" width="10.6640625" style="109" customWidth="1"/>
    <col min="4370" max="4370" width="12" style="109" customWidth="1"/>
    <col min="4371" max="4371" width="11.5" style="109" customWidth="1"/>
    <col min="4372" max="4372" width="16" style="109" customWidth="1"/>
    <col min="4373" max="4374" width="10.6640625" style="109" customWidth="1"/>
    <col min="4375" max="4375" width="15.5" style="109" customWidth="1"/>
    <col min="4376" max="4376" width="11.5" style="109" customWidth="1"/>
    <col min="4377" max="4377" width="12" style="109" customWidth="1"/>
    <col min="4378" max="4378" width="11.5" style="109" customWidth="1"/>
    <col min="4379" max="4379" width="12" style="109" customWidth="1"/>
    <col min="4380" max="4380" width="11.5" style="109" customWidth="1"/>
    <col min="4381" max="4381" width="12.83203125" style="109" customWidth="1"/>
    <col min="4382" max="4382" width="10.6640625" style="109" customWidth="1"/>
    <col min="4383" max="4383" width="19" style="109" customWidth="1"/>
    <col min="4384" max="4384" width="13.33203125" style="109" customWidth="1"/>
    <col min="4385" max="4385" width="18" style="109" customWidth="1"/>
    <col min="4386" max="4386" width="42.5" style="109" customWidth="1"/>
    <col min="4387" max="4387" width="31" style="109" customWidth="1"/>
    <col min="4388" max="4388" width="35" style="109" customWidth="1"/>
    <col min="4389" max="4389" width="31" style="109" customWidth="1"/>
    <col min="4390" max="4390" width="35" style="109" customWidth="1"/>
    <col min="4391" max="4391" width="31" style="109" customWidth="1"/>
    <col min="4392" max="4392" width="37.83203125" style="109" customWidth="1"/>
    <col min="4393" max="4393" width="11.5" style="109" customWidth="1"/>
    <col min="4394" max="4394" width="54" style="109" customWidth="1"/>
    <col min="4395" max="4395" width="43.5" style="109" customWidth="1"/>
    <col min="4396" max="4396" width="44.6640625" style="109" customWidth="1"/>
    <col min="4397" max="4606" width="6.33203125" style="109"/>
    <col min="4607" max="4608" width="2.1640625" style="109" customWidth="1"/>
    <col min="4609" max="4609" width="0" style="109" hidden="1" customWidth="1"/>
    <col min="4610" max="4612" width="12.83203125" style="109" customWidth="1"/>
    <col min="4613" max="4613" width="12" style="109" customWidth="1"/>
    <col min="4614" max="4614" width="12.33203125" style="109" customWidth="1"/>
    <col min="4615" max="4615" width="13.5" style="109" customWidth="1"/>
    <col min="4616" max="4616" width="0" style="109" hidden="1" customWidth="1"/>
    <col min="4617" max="4619" width="13" style="109" customWidth="1"/>
    <col min="4620" max="4620" width="14.83203125" style="109" customWidth="1"/>
    <col min="4621" max="4621" width="13.33203125" style="109" customWidth="1"/>
    <col min="4622" max="4622" width="13.5" style="109" customWidth="1"/>
    <col min="4623" max="4623" width="2.1640625" style="109" customWidth="1"/>
    <col min="4624" max="4624" width="13.83203125" style="109" customWidth="1"/>
    <col min="4625" max="4625" width="10.6640625" style="109" customWidth="1"/>
    <col min="4626" max="4626" width="12" style="109" customWidth="1"/>
    <col min="4627" max="4627" width="11.5" style="109" customWidth="1"/>
    <col min="4628" max="4628" width="16" style="109" customWidth="1"/>
    <col min="4629" max="4630" width="10.6640625" style="109" customWidth="1"/>
    <col min="4631" max="4631" width="15.5" style="109" customWidth="1"/>
    <col min="4632" max="4632" width="11.5" style="109" customWidth="1"/>
    <col min="4633" max="4633" width="12" style="109" customWidth="1"/>
    <col min="4634" max="4634" width="11.5" style="109" customWidth="1"/>
    <col min="4635" max="4635" width="12" style="109" customWidth="1"/>
    <col min="4636" max="4636" width="11.5" style="109" customWidth="1"/>
    <col min="4637" max="4637" width="12.83203125" style="109" customWidth="1"/>
    <col min="4638" max="4638" width="10.6640625" style="109" customWidth="1"/>
    <col min="4639" max="4639" width="19" style="109" customWidth="1"/>
    <col min="4640" max="4640" width="13.33203125" style="109" customWidth="1"/>
    <col min="4641" max="4641" width="18" style="109" customWidth="1"/>
    <col min="4642" max="4642" width="42.5" style="109" customWidth="1"/>
    <col min="4643" max="4643" width="31" style="109" customWidth="1"/>
    <col min="4644" max="4644" width="35" style="109" customWidth="1"/>
    <col min="4645" max="4645" width="31" style="109" customWidth="1"/>
    <col min="4646" max="4646" width="35" style="109" customWidth="1"/>
    <col min="4647" max="4647" width="31" style="109" customWidth="1"/>
    <col min="4648" max="4648" width="37.83203125" style="109" customWidth="1"/>
    <col min="4649" max="4649" width="11.5" style="109" customWidth="1"/>
    <col min="4650" max="4650" width="54" style="109" customWidth="1"/>
    <col min="4651" max="4651" width="43.5" style="109" customWidth="1"/>
    <col min="4652" max="4652" width="44.6640625" style="109" customWidth="1"/>
    <col min="4653" max="4862" width="6.33203125" style="109"/>
    <col min="4863" max="4864" width="2.1640625" style="109" customWidth="1"/>
    <col min="4865" max="4865" width="0" style="109" hidden="1" customWidth="1"/>
    <col min="4866" max="4868" width="12.83203125" style="109" customWidth="1"/>
    <col min="4869" max="4869" width="12" style="109" customWidth="1"/>
    <col min="4870" max="4870" width="12.33203125" style="109" customWidth="1"/>
    <col min="4871" max="4871" width="13.5" style="109" customWidth="1"/>
    <col min="4872" max="4872" width="0" style="109" hidden="1" customWidth="1"/>
    <col min="4873" max="4875" width="13" style="109" customWidth="1"/>
    <col min="4876" max="4876" width="14.83203125" style="109" customWidth="1"/>
    <col min="4877" max="4877" width="13.33203125" style="109" customWidth="1"/>
    <col min="4878" max="4878" width="13.5" style="109" customWidth="1"/>
    <col min="4879" max="4879" width="2.1640625" style="109" customWidth="1"/>
    <col min="4880" max="4880" width="13.83203125" style="109" customWidth="1"/>
    <col min="4881" max="4881" width="10.6640625" style="109" customWidth="1"/>
    <col min="4882" max="4882" width="12" style="109" customWidth="1"/>
    <col min="4883" max="4883" width="11.5" style="109" customWidth="1"/>
    <col min="4884" max="4884" width="16" style="109" customWidth="1"/>
    <col min="4885" max="4886" width="10.6640625" style="109" customWidth="1"/>
    <col min="4887" max="4887" width="15.5" style="109" customWidth="1"/>
    <col min="4888" max="4888" width="11.5" style="109" customWidth="1"/>
    <col min="4889" max="4889" width="12" style="109" customWidth="1"/>
    <col min="4890" max="4890" width="11.5" style="109" customWidth="1"/>
    <col min="4891" max="4891" width="12" style="109" customWidth="1"/>
    <col min="4892" max="4892" width="11.5" style="109" customWidth="1"/>
    <col min="4893" max="4893" width="12.83203125" style="109" customWidth="1"/>
    <col min="4894" max="4894" width="10.6640625" style="109" customWidth="1"/>
    <col min="4895" max="4895" width="19" style="109" customWidth="1"/>
    <col min="4896" max="4896" width="13.33203125" style="109" customWidth="1"/>
    <col min="4897" max="4897" width="18" style="109" customWidth="1"/>
    <col min="4898" max="4898" width="42.5" style="109" customWidth="1"/>
    <col min="4899" max="4899" width="31" style="109" customWidth="1"/>
    <col min="4900" max="4900" width="35" style="109" customWidth="1"/>
    <col min="4901" max="4901" width="31" style="109" customWidth="1"/>
    <col min="4902" max="4902" width="35" style="109" customWidth="1"/>
    <col min="4903" max="4903" width="31" style="109" customWidth="1"/>
    <col min="4904" max="4904" width="37.83203125" style="109" customWidth="1"/>
    <col min="4905" max="4905" width="11.5" style="109" customWidth="1"/>
    <col min="4906" max="4906" width="54" style="109" customWidth="1"/>
    <col min="4907" max="4907" width="43.5" style="109" customWidth="1"/>
    <col min="4908" max="4908" width="44.6640625" style="109" customWidth="1"/>
    <col min="4909" max="5118" width="6.33203125" style="109"/>
    <col min="5119" max="5120" width="2.1640625" style="109" customWidth="1"/>
    <col min="5121" max="5121" width="0" style="109" hidden="1" customWidth="1"/>
    <col min="5122" max="5124" width="12.83203125" style="109" customWidth="1"/>
    <col min="5125" max="5125" width="12" style="109" customWidth="1"/>
    <col min="5126" max="5126" width="12.33203125" style="109" customWidth="1"/>
    <col min="5127" max="5127" width="13.5" style="109" customWidth="1"/>
    <col min="5128" max="5128" width="0" style="109" hidden="1" customWidth="1"/>
    <col min="5129" max="5131" width="13" style="109" customWidth="1"/>
    <col min="5132" max="5132" width="14.83203125" style="109" customWidth="1"/>
    <col min="5133" max="5133" width="13.33203125" style="109" customWidth="1"/>
    <col min="5134" max="5134" width="13.5" style="109" customWidth="1"/>
    <col min="5135" max="5135" width="2.1640625" style="109" customWidth="1"/>
    <col min="5136" max="5136" width="13.83203125" style="109" customWidth="1"/>
    <col min="5137" max="5137" width="10.6640625" style="109" customWidth="1"/>
    <col min="5138" max="5138" width="12" style="109" customWidth="1"/>
    <col min="5139" max="5139" width="11.5" style="109" customWidth="1"/>
    <col min="5140" max="5140" width="16" style="109" customWidth="1"/>
    <col min="5141" max="5142" width="10.6640625" style="109" customWidth="1"/>
    <col min="5143" max="5143" width="15.5" style="109" customWidth="1"/>
    <col min="5144" max="5144" width="11.5" style="109" customWidth="1"/>
    <col min="5145" max="5145" width="12" style="109" customWidth="1"/>
    <col min="5146" max="5146" width="11.5" style="109" customWidth="1"/>
    <col min="5147" max="5147" width="12" style="109" customWidth="1"/>
    <col min="5148" max="5148" width="11.5" style="109" customWidth="1"/>
    <col min="5149" max="5149" width="12.83203125" style="109" customWidth="1"/>
    <col min="5150" max="5150" width="10.6640625" style="109" customWidth="1"/>
    <col min="5151" max="5151" width="19" style="109" customWidth="1"/>
    <col min="5152" max="5152" width="13.33203125" style="109" customWidth="1"/>
    <col min="5153" max="5153" width="18" style="109" customWidth="1"/>
    <col min="5154" max="5154" width="42.5" style="109" customWidth="1"/>
    <col min="5155" max="5155" width="31" style="109" customWidth="1"/>
    <col min="5156" max="5156" width="35" style="109" customWidth="1"/>
    <col min="5157" max="5157" width="31" style="109" customWidth="1"/>
    <col min="5158" max="5158" width="35" style="109" customWidth="1"/>
    <col min="5159" max="5159" width="31" style="109" customWidth="1"/>
    <col min="5160" max="5160" width="37.83203125" style="109" customWidth="1"/>
    <col min="5161" max="5161" width="11.5" style="109" customWidth="1"/>
    <col min="5162" max="5162" width="54" style="109" customWidth="1"/>
    <col min="5163" max="5163" width="43.5" style="109" customWidth="1"/>
    <col min="5164" max="5164" width="44.6640625" style="109" customWidth="1"/>
    <col min="5165" max="5374" width="6.33203125" style="109"/>
    <col min="5375" max="5376" width="2.1640625" style="109" customWidth="1"/>
    <col min="5377" max="5377" width="0" style="109" hidden="1" customWidth="1"/>
    <col min="5378" max="5380" width="12.83203125" style="109" customWidth="1"/>
    <col min="5381" max="5381" width="12" style="109" customWidth="1"/>
    <col min="5382" max="5382" width="12.33203125" style="109" customWidth="1"/>
    <col min="5383" max="5383" width="13.5" style="109" customWidth="1"/>
    <col min="5384" max="5384" width="0" style="109" hidden="1" customWidth="1"/>
    <col min="5385" max="5387" width="13" style="109" customWidth="1"/>
    <col min="5388" max="5388" width="14.83203125" style="109" customWidth="1"/>
    <col min="5389" max="5389" width="13.33203125" style="109" customWidth="1"/>
    <col min="5390" max="5390" width="13.5" style="109" customWidth="1"/>
    <col min="5391" max="5391" width="2.1640625" style="109" customWidth="1"/>
    <col min="5392" max="5392" width="13.83203125" style="109" customWidth="1"/>
    <col min="5393" max="5393" width="10.6640625" style="109" customWidth="1"/>
    <col min="5394" max="5394" width="12" style="109" customWidth="1"/>
    <col min="5395" max="5395" width="11.5" style="109" customWidth="1"/>
    <col min="5396" max="5396" width="16" style="109" customWidth="1"/>
    <col min="5397" max="5398" width="10.6640625" style="109" customWidth="1"/>
    <col min="5399" max="5399" width="15.5" style="109" customWidth="1"/>
    <col min="5400" max="5400" width="11.5" style="109" customWidth="1"/>
    <col min="5401" max="5401" width="12" style="109" customWidth="1"/>
    <col min="5402" max="5402" width="11.5" style="109" customWidth="1"/>
    <col min="5403" max="5403" width="12" style="109" customWidth="1"/>
    <col min="5404" max="5404" width="11.5" style="109" customWidth="1"/>
    <col min="5405" max="5405" width="12.83203125" style="109" customWidth="1"/>
    <col min="5406" max="5406" width="10.6640625" style="109" customWidth="1"/>
    <col min="5407" max="5407" width="19" style="109" customWidth="1"/>
    <col min="5408" max="5408" width="13.33203125" style="109" customWidth="1"/>
    <col min="5409" max="5409" width="18" style="109" customWidth="1"/>
    <col min="5410" max="5410" width="42.5" style="109" customWidth="1"/>
    <col min="5411" max="5411" width="31" style="109" customWidth="1"/>
    <col min="5412" max="5412" width="35" style="109" customWidth="1"/>
    <col min="5413" max="5413" width="31" style="109" customWidth="1"/>
    <col min="5414" max="5414" width="35" style="109" customWidth="1"/>
    <col min="5415" max="5415" width="31" style="109" customWidth="1"/>
    <col min="5416" max="5416" width="37.83203125" style="109" customWidth="1"/>
    <col min="5417" max="5417" width="11.5" style="109" customWidth="1"/>
    <col min="5418" max="5418" width="54" style="109" customWidth="1"/>
    <col min="5419" max="5419" width="43.5" style="109" customWidth="1"/>
    <col min="5420" max="5420" width="44.6640625" style="109" customWidth="1"/>
    <col min="5421" max="5630" width="6.33203125" style="109"/>
    <col min="5631" max="5632" width="2.1640625" style="109" customWidth="1"/>
    <col min="5633" max="5633" width="0" style="109" hidden="1" customWidth="1"/>
    <col min="5634" max="5636" width="12.83203125" style="109" customWidth="1"/>
    <col min="5637" max="5637" width="12" style="109" customWidth="1"/>
    <col min="5638" max="5638" width="12.33203125" style="109" customWidth="1"/>
    <col min="5639" max="5639" width="13.5" style="109" customWidth="1"/>
    <col min="5640" max="5640" width="0" style="109" hidden="1" customWidth="1"/>
    <col min="5641" max="5643" width="13" style="109" customWidth="1"/>
    <col min="5644" max="5644" width="14.83203125" style="109" customWidth="1"/>
    <col min="5645" max="5645" width="13.33203125" style="109" customWidth="1"/>
    <col min="5646" max="5646" width="13.5" style="109" customWidth="1"/>
    <col min="5647" max="5647" width="2.1640625" style="109" customWidth="1"/>
    <col min="5648" max="5648" width="13.83203125" style="109" customWidth="1"/>
    <col min="5649" max="5649" width="10.6640625" style="109" customWidth="1"/>
    <col min="5650" max="5650" width="12" style="109" customWidth="1"/>
    <col min="5651" max="5651" width="11.5" style="109" customWidth="1"/>
    <col min="5652" max="5652" width="16" style="109" customWidth="1"/>
    <col min="5653" max="5654" width="10.6640625" style="109" customWidth="1"/>
    <col min="5655" max="5655" width="15.5" style="109" customWidth="1"/>
    <col min="5656" max="5656" width="11.5" style="109" customWidth="1"/>
    <col min="5657" max="5657" width="12" style="109" customWidth="1"/>
    <col min="5658" max="5658" width="11.5" style="109" customWidth="1"/>
    <col min="5659" max="5659" width="12" style="109" customWidth="1"/>
    <col min="5660" max="5660" width="11.5" style="109" customWidth="1"/>
    <col min="5661" max="5661" width="12.83203125" style="109" customWidth="1"/>
    <col min="5662" max="5662" width="10.6640625" style="109" customWidth="1"/>
    <col min="5663" max="5663" width="19" style="109" customWidth="1"/>
    <col min="5664" max="5664" width="13.33203125" style="109" customWidth="1"/>
    <col min="5665" max="5665" width="18" style="109" customWidth="1"/>
    <col min="5666" max="5666" width="42.5" style="109" customWidth="1"/>
    <col min="5667" max="5667" width="31" style="109" customWidth="1"/>
    <col min="5668" max="5668" width="35" style="109" customWidth="1"/>
    <col min="5669" max="5669" width="31" style="109" customWidth="1"/>
    <col min="5670" max="5670" width="35" style="109" customWidth="1"/>
    <col min="5671" max="5671" width="31" style="109" customWidth="1"/>
    <col min="5672" max="5672" width="37.83203125" style="109" customWidth="1"/>
    <col min="5673" max="5673" width="11.5" style="109" customWidth="1"/>
    <col min="5674" max="5674" width="54" style="109" customWidth="1"/>
    <col min="5675" max="5675" width="43.5" style="109" customWidth="1"/>
    <col min="5676" max="5676" width="44.6640625" style="109" customWidth="1"/>
    <col min="5677" max="5886" width="6.33203125" style="109"/>
    <col min="5887" max="5888" width="2.1640625" style="109" customWidth="1"/>
    <col min="5889" max="5889" width="0" style="109" hidden="1" customWidth="1"/>
    <col min="5890" max="5892" width="12.83203125" style="109" customWidth="1"/>
    <col min="5893" max="5893" width="12" style="109" customWidth="1"/>
    <col min="5894" max="5894" width="12.33203125" style="109" customWidth="1"/>
    <col min="5895" max="5895" width="13.5" style="109" customWidth="1"/>
    <col min="5896" max="5896" width="0" style="109" hidden="1" customWidth="1"/>
    <col min="5897" max="5899" width="13" style="109" customWidth="1"/>
    <col min="5900" max="5900" width="14.83203125" style="109" customWidth="1"/>
    <col min="5901" max="5901" width="13.33203125" style="109" customWidth="1"/>
    <col min="5902" max="5902" width="13.5" style="109" customWidth="1"/>
    <col min="5903" max="5903" width="2.1640625" style="109" customWidth="1"/>
    <col min="5904" max="5904" width="13.83203125" style="109" customWidth="1"/>
    <col min="5905" max="5905" width="10.6640625" style="109" customWidth="1"/>
    <col min="5906" max="5906" width="12" style="109" customWidth="1"/>
    <col min="5907" max="5907" width="11.5" style="109" customWidth="1"/>
    <col min="5908" max="5908" width="16" style="109" customWidth="1"/>
    <col min="5909" max="5910" width="10.6640625" style="109" customWidth="1"/>
    <col min="5911" max="5911" width="15.5" style="109" customWidth="1"/>
    <col min="5912" max="5912" width="11.5" style="109" customWidth="1"/>
    <col min="5913" max="5913" width="12" style="109" customWidth="1"/>
    <col min="5914" max="5914" width="11.5" style="109" customWidth="1"/>
    <col min="5915" max="5915" width="12" style="109" customWidth="1"/>
    <col min="5916" max="5916" width="11.5" style="109" customWidth="1"/>
    <col min="5917" max="5917" width="12.83203125" style="109" customWidth="1"/>
    <col min="5918" max="5918" width="10.6640625" style="109" customWidth="1"/>
    <col min="5919" max="5919" width="19" style="109" customWidth="1"/>
    <col min="5920" max="5920" width="13.33203125" style="109" customWidth="1"/>
    <col min="5921" max="5921" width="18" style="109" customWidth="1"/>
    <col min="5922" max="5922" width="42.5" style="109" customWidth="1"/>
    <col min="5923" max="5923" width="31" style="109" customWidth="1"/>
    <col min="5924" max="5924" width="35" style="109" customWidth="1"/>
    <col min="5925" max="5925" width="31" style="109" customWidth="1"/>
    <col min="5926" max="5926" width="35" style="109" customWidth="1"/>
    <col min="5927" max="5927" width="31" style="109" customWidth="1"/>
    <col min="5928" max="5928" width="37.83203125" style="109" customWidth="1"/>
    <col min="5929" max="5929" width="11.5" style="109" customWidth="1"/>
    <col min="5930" max="5930" width="54" style="109" customWidth="1"/>
    <col min="5931" max="5931" width="43.5" style="109" customWidth="1"/>
    <col min="5932" max="5932" width="44.6640625" style="109" customWidth="1"/>
    <col min="5933" max="6142" width="6.33203125" style="109"/>
    <col min="6143" max="6144" width="2.1640625" style="109" customWidth="1"/>
    <col min="6145" max="6145" width="0" style="109" hidden="1" customWidth="1"/>
    <col min="6146" max="6148" width="12.83203125" style="109" customWidth="1"/>
    <col min="6149" max="6149" width="12" style="109" customWidth="1"/>
    <col min="6150" max="6150" width="12.33203125" style="109" customWidth="1"/>
    <col min="6151" max="6151" width="13.5" style="109" customWidth="1"/>
    <col min="6152" max="6152" width="0" style="109" hidden="1" customWidth="1"/>
    <col min="6153" max="6155" width="13" style="109" customWidth="1"/>
    <col min="6156" max="6156" width="14.83203125" style="109" customWidth="1"/>
    <col min="6157" max="6157" width="13.33203125" style="109" customWidth="1"/>
    <col min="6158" max="6158" width="13.5" style="109" customWidth="1"/>
    <col min="6159" max="6159" width="2.1640625" style="109" customWidth="1"/>
    <col min="6160" max="6160" width="13.83203125" style="109" customWidth="1"/>
    <col min="6161" max="6161" width="10.6640625" style="109" customWidth="1"/>
    <col min="6162" max="6162" width="12" style="109" customWidth="1"/>
    <col min="6163" max="6163" width="11.5" style="109" customWidth="1"/>
    <col min="6164" max="6164" width="16" style="109" customWidth="1"/>
    <col min="6165" max="6166" width="10.6640625" style="109" customWidth="1"/>
    <col min="6167" max="6167" width="15.5" style="109" customWidth="1"/>
    <col min="6168" max="6168" width="11.5" style="109" customWidth="1"/>
    <col min="6169" max="6169" width="12" style="109" customWidth="1"/>
    <col min="6170" max="6170" width="11.5" style="109" customWidth="1"/>
    <col min="6171" max="6171" width="12" style="109" customWidth="1"/>
    <col min="6172" max="6172" width="11.5" style="109" customWidth="1"/>
    <col min="6173" max="6173" width="12.83203125" style="109" customWidth="1"/>
    <col min="6174" max="6174" width="10.6640625" style="109" customWidth="1"/>
    <col min="6175" max="6175" width="19" style="109" customWidth="1"/>
    <col min="6176" max="6176" width="13.33203125" style="109" customWidth="1"/>
    <col min="6177" max="6177" width="18" style="109" customWidth="1"/>
    <col min="6178" max="6178" width="42.5" style="109" customWidth="1"/>
    <col min="6179" max="6179" width="31" style="109" customWidth="1"/>
    <col min="6180" max="6180" width="35" style="109" customWidth="1"/>
    <col min="6181" max="6181" width="31" style="109" customWidth="1"/>
    <col min="6182" max="6182" width="35" style="109" customWidth="1"/>
    <col min="6183" max="6183" width="31" style="109" customWidth="1"/>
    <col min="6184" max="6184" width="37.83203125" style="109" customWidth="1"/>
    <col min="6185" max="6185" width="11.5" style="109" customWidth="1"/>
    <col min="6186" max="6186" width="54" style="109" customWidth="1"/>
    <col min="6187" max="6187" width="43.5" style="109" customWidth="1"/>
    <col min="6188" max="6188" width="44.6640625" style="109" customWidth="1"/>
    <col min="6189" max="6398" width="6.33203125" style="109"/>
    <col min="6399" max="6400" width="2.1640625" style="109" customWidth="1"/>
    <col min="6401" max="6401" width="0" style="109" hidden="1" customWidth="1"/>
    <col min="6402" max="6404" width="12.83203125" style="109" customWidth="1"/>
    <col min="6405" max="6405" width="12" style="109" customWidth="1"/>
    <col min="6406" max="6406" width="12.33203125" style="109" customWidth="1"/>
    <col min="6407" max="6407" width="13.5" style="109" customWidth="1"/>
    <col min="6408" max="6408" width="0" style="109" hidden="1" customWidth="1"/>
    <col min="6409" max="6411" width="13" style="109" customWidth="1"/>
    <col min="6412" max="6412" width="14.83203125" style="109" customWidth="1"/>
    <col min="6413" max="6413" width="13.33203125" style="109" customWidth="1"/>
    <col min="6414" max="6414" width="13.5" style="109" customWidth="1"/>
    <col min="6415" max="6415" width="2.1640625" style="109" customWidth="1"/>
    <col min="6416" max="6416" width="13.83203125" style="109" customWidth="1"/>
    <col min="6417" max="6417" width="10.6640625" style="109" customWidth="1"/>
    <col min="6418" max="6418" width="12" style="109" customWidth="1"/>
    <col min="6419" max="6419" width="11.5" style="109" customWidth="1"/>
    <col min="6420" max="6420" width="16" style="109" customWidth="1"/>
    <col min="6421" max="6422" width="10.6640625" style="109" customWidth="1"/>
    <col min="6423" max="6423" width="15.5" style="109" customWidth="1"/>
    <col min="6424" max="6424" width="11.5" style="109" customWidth="1"/>
    <col min="6425" max="6425" width="12" style="109" customWidth="1"/>
    <col min="6426" max="6426" width="11.5" style="109" customWidth="1"/>
    <col min="6427" max="6427" width="12" style="109" customWidth="1"/>
    <col min="6428" max="6428" width="11.5" style="109" customWidth="1"/>
    <col min="6429" max="6429" width="12.83203125" style="109" customWidth="1"/>
    <col min="6430" max="6430" width="10.6640625" style="109" customWidth="1"/>
    <col min="6431" max="6431" width="19" style="109" customWidth="1"/>
    <col min="6432" max="6432" width="13.33203125" style="109" customWidth="1"/>
    <col min="6433" max="6433" width="18" style="109" customWidth="1"/>
    <col min="6434" max="6434" width="42.5" style="109" customWidth="1"/>
    <col min="6435" max="6435" width="31" style="109" customWidth="1"/>
    <col min="6436" max="6436" width="35" style="109" customWidth="1"/>
    <col min="6437" max="6437" width="31" style="109" customWidth="1"/>
    <col min="6438" max="6438" width="35" style="109" customWidth="1"/>
    <col min="6439" max="6439" width="31" style="109" customWidth="1"/>
    <col min="6440" max="6440" width="37.83203125" style="109" customWidth="1"/>
    <col min="6441" max="6441" width="11.5" style="109" customWidth="1"/>
    <col min="6442" max="6442" width="54" style="109" customWidth="1"/>
    <col min="6443" max="6443" width="43.5" style="109" customWidth="1"/>
    <col min="6444" max="6444" width="44.6640625" style="109" customWidth="1"/>
    <col min="6445" max="6654" width="6.33203125" style="109"/>
    <col min="6655" max="6656" width="2.1640625" style="109" customWidth="1"/>
    <col min="6657" max="6657" width="0" style="109" hidden="1" customWidth="1"/>
    <col min="6658" max="6660" width="12.83203125" style="109" customWidth="1"/>
    <col min="6661" max="6661" width="12" style="109" customWidth="1"/>
    <col min="6662" max="6662" width="12.33203125" style="109" customWidth="1"/>
    <col min="6663" max="6663" width="13.5" style="109" customWidth="1"/>
    <col min="6664" max="6664" width="0" style="109" hidden="1" customWidth="1"/>
    <col min="6665" max="6667" width="13" style="109" customWidth="1"/>
    <col min="6668" max="6668" width="14.83203125" style="109" customWidth="1"/>
    <col min="6669" max="6669" width="13.33203125" style="109" customWidth="1"/>
    <col min="6670" max="6670" width="13.5" style="109" customWidth="1"/>
    <col min="6671" max="6671" width="2.1640625" style="109" customWidth="1"/>
    <col min="6672" max="6672" width="13.83203125" style="109" customWidth="1"/>
    <col min="6673" max="6673" width="10.6640625" style="109" customWidth="1"/>
    <col min="6674" max="6674" width="12" style="109" customWidth="1"/>
    <col min="6675" max="6675" width="11.5" style="109" customWidth="1"/>
    <col min="6676" max="6676" width="16" style="109" customWidth="1"/>
    <col min="6677" max="6678" width="10.6640625" style="109" customWidth="1"/>
    <col min="6679" max="6679" width="15.5" style="109" customWidth="1"/>
    <col min="6680" max="6680" width="11.5" style="109" customWidth="1"/>
    <col min="6681" max="6681" width="12" style="109" customWidth="1"/>
    <col min="6682" max="6682" width="11.5" style="109" customWidth="1"/>
    <col min="6683" max="6683" width="12" style="109" customWidth="1"/>
    <col min="6684" max="6684" width="11.5" style="109" customWidth="1"/>
    <col min="6685" max="6685" width="12.83203125" style="109" customWidth="1"/>
    <col min="6686" max="6686" width="10.6640625" style="109" customWidth="1"/>
    <col min="6687" max="6687" width="19" style="109" customWidth="1"/>
    <col min="6688" max="6688" width="13.33203125" style="109" customWidth="1"/>
    <col min="6689" max="6689" width="18" style="109" customWidth="1"/>
    <col min="6690" max="6690" width="42.5" style="109" customWidth="1"/>
    <col min="6691" max="6691" width="31" style="109" customWidth="1"/>
    <col min="6692" max="6692" width="35" style="109" customWidth="1"/>
    <col min="6693" max="6693" width="31" style="109" customWidth="1"/>
    <col min="6694" max="6694" width="35" style="109" customWidth="1"/>
    <col min="6695" max="6695" width="31" style="109" customWidth="1"/>
    <col min="6696" max="6696" width="37.83203125" style="109" customWidth="1"/>
    <col min="6697" max="6697" width="11.5" style="109" customWidth="1"/>
    <col min="6698" max="6698" width="54" style="109" customWidth="1"/>
    <col min="6699" max="6699" width="43.5" style="109" customWidth="1"/>
    <col min="6700" max="6700" width="44.6640625" style="109" customWidth="1"/>
    <col min="6701" max="6910" width="6.33203125" style="109"/>
    <col min="6911" max="6912" width="2.1640625" style="109" customWidth="1"/>
    <col min="6913" max="6913" width="0" style="109" hidden="1" customWidth="1"/>
    <col min="6914" max="6916" width="12.83203125" style="109" customWidth="1"/>
    <col min="6917" max="6917" width="12" style="109" customWidth="1"/>
    <col min="6918" max="6918" width="12.33203125" style="109" customWidth="1"/>
    <col min="6919" max="6919" width="13.5" style="109" customWidth="1"/>
    <col min="6920" max="6920" width="0" style="109" hidden="1" customWidth="1"/>
    <col min="6921" max="6923" width="13" style="109" customWidth="1"/>
    <col min="6924" max="6924" width="14.83203125" style="109" customWidth="1"/>
    <col min="6925" max="6925" width="13.33203125" style="109" customWidth="1"/>
    <col min="6926" max="6926" width="13.5" style="109" customWidth="1"/>
    <col min="6927" max="6927" width="2.1640625" style="109" customWidth="1"/>
    <col min="6928" max="6928" width="13.83203125" style="109" customWidth="1"/>
    <col min="6929" max="6929" width="10.6640625" style="109" customWidth="1"/>
    <col min="6930" max="6930" width="12" style="109" customWidth="1"/>
    <col min="6931" max="6931" width="11.5" style="109" customWidth="1"/>
    <col min="6932" max="6932" width="16" style="109" customWidth="1"/>
    <col min="6933" max="6934" width="10.6640625" style="109" customWidth="1"/>
    <col min="6935" max="6935" width="15.5" style="109" customWidth="1"/>
    <col min="6936" max="6936" width="11.5" style="109" customWidth="1"/>
    <col min="6937" max="6937" width="12" style="109" customWidth="1"/>
    <col min="6938" max="6938" width="11.5" style="109" customWidth="1"/>
    <col min="6939" max="6939" width="12" style="109" customWidth="1"/>
    <col min="6940" max="6940" width="11.5" style="109" customWidth="1"/>
    <col min="6941" max="6941" width="12.83203125" style="109" customWidth="1"/>
    <col min="6942" max="6942" width="10.6640625" style="109" customWidth="1"/>
    <col min="6943" max="6943" width="19" style="109" customWidth="1"/>
    <col min="6944" max="6944" width="13.33203125" style="109" customWidth="1"/>
    <col min="6945" max="6945" width="18" style="109" customWidth="1"/>
    <col min="6946" max="6946" width="42.5" style="109" customWidth="1"/>
    <col min="6947" max="6947" width="31" style="109" customWidth="1"/>
    <col min="6948" max="6948" width="35" style="109" customWidth="1"/>
    <col min="6949" max="6949" width="31" style="109" customWidth="1"/>
    <col min="6950" max="6950" width="35" style="109" customWidth="1"/>
    <col min="6951" max="6951" width="31" style="109" customWidth="1"/>
    <col min="6952" max="6952" width="37.83203125" style="109" customWidth="1"/>
    <col min="6953" max="6953" width="11.5" style="109" customWidth="1"/>
    <col min="6954" max="6954" width="54" style="109" customWidth="1"/>
    <col min="6955" max="6955" width="43.5" style="109" customWidth="1"/>
    <col min="6956" max="6956" width="44.6640625" style="109" customWidth="1"/>
    <col min="6957" max="7166" width="6.33203125" style="109"/>
    <col min="7167" max="7168" width="2.1640625" style="109" customWidth="1"/>
    <col min="7169" max="7169" width="0" style="109" hidden="1" customWidth="1"/>
    <col min="7170" max="7172" width="12.83203125" style="109" customWidth="1"/>
    <col min="7173" max="7173" width="12" style="109" customWidth="1"/>
    <col min="7174" max="7174" width="12.33203125" style="109" customWidth="1"/>
    <col min="7175" max="7175" width="13.5" style="109" customWidth="1"/>
    <col min="7176" max="7176" width="0" style="109" hidden="1" customWidth="1"/>
    <col min="7177" max="7179" width="13" style="109" customWidth="1"/>
    <col min="7180" max="7180" width="14.83203125" style="109" customWidth="1"/>
    <col min="7181" max="7181" width="13.33203125" style="109" customWidth="1"/>
    <col min="7182" max="7182" width="13.5" style="109" customWidth="1"/>
    <col min="7183" max="7183" width="2.1640625" style="109" customWidth="1"/>
    <col min="7184" max="7184" width="13.83203125" style="109" customWidth="1"/>
    <col min="7185" max="7185" width="10.6640625" style="109" customWidth="1"/>
    <col min="7186" max="7186" width="12" style="109" customWidth="1"/>
    <col min="7187" max="7187" width="11.5" style="109" customWidth="1"/>
    <col min="7188" max="7188" width="16" style="109" customWidth="1"/>
    <col min="7189" max="7190" width="10.6640625" style="109" customWidth="1"/>
    <col min="7191" max="7191" width="15.5" style="109" customWidth="1"/>
    <col min="7192" max="7192" width="11.5" style="109" customWidth="1"/>
    <col min="7193" max="7193" width="12" style="109" customWidth="1"/>
    <col min="7194" max="7194" width="11.5" style="109" customWidth="1"/>
    <col min="7195" max="7195" width="12" style="109" customWidth="1"/>
    <col min="7196" max="7196" width="11.5" style="109" customWidth="1"/>
    <col min="7197" max="7197" width="12.83203125" style="109" customWidth="1"/>
    <col min="7198" max="7198" width="10.6640625" style="109" customWidth="1"/>
    <col min="7199" max="7199" width="19" style="109" customWidth="1"/>
    <col min="7200" max="7200" width="13.33203125" style="109" customWidth="1"/>
    <col min="7201" max="7201" width="18" style="109" customWidth="1"/>
    <col min="7202" max="7202" width="42.5" style="109" customWidth="1"/>
    <col min="7203" max="7203" width="31" style="109" customWidth="1"/>
    <col min="7204" max="7204" width="35" style="109" customWidth="1"/>
    <col min="7205" max="7205" width="31" style="109" customWidth="1"/>
    <col min="7206" max="7206" width="35" style="109" customWidth="1"/>
    <col min="7207" max="7207" width="31" style="109" customWidth="1"/>
    <col min="7208" max="7208" width="37.83203125" style="109" customWidth="1"/>
    <col min="7209" max="7209" width="11.5" style="109" customWidth="1"/>
    <col min="7210" max="7210" width="54" style="109" customWidth="1"/>
    <col min="7211" max="7211" width="43.5" style="109" customWidth="1"/>
    <col min="7212" max="7212" width="44.6640625" style="109" customWidth="1"/>
    <col min="7213" max="7422" width="6.33203125" style="109"/>
    <col min="7423" max="7424" width="2.1640625" style="109" customWidth="1"/>
    <col min="7425" max="7425" width="0" style="109" hidden="1" customWidth="1"/>
    <col min="7426" max="7428" width="12.83203125" style="109" customWidth="1"/>
    <col min="7429" max="7429" width="12" style="109" customWidth="1"/>
    <col min="7430" max="7430" width="12.33203125" style="109" customWidth="1"/>
    <col min="7431" max="7431" width="13.5" style="109" customWidth="1"/>
    <col min="7432" max="7432" width="0" style="109" hidden="1" customWidth="1"/>
    <col min="7433" max="7435" width="13" style="109" customWidth="1"/>
    <col min="7436" max="7436" width="14.83203125" style="109" customWidth="1"/>
    <col min="7437" max="7437" width="13.33203125" style="109" customWidth="1"/>
    <col min="7438" max="7438" width="13.5" style="109" customWidth="1"/>
    <col min="7439" max="7439" width="2.1640625" style="109" customWidth="1"/>
    <col min="7440" max="7440" width="13.83203125" style="109" customWidth="1"/>
    <col min="7441" max="7441" width="10.6640625" style="109" customWidth="1"/>
    <col min="7442" max="7442" width="12" style="109" customWidth="1"/>
    <col min="7443" max="7443" width="11.5" style="109" customWidth="1"/>
    <col min="7444" max="7444" width="16" style="109" customWidth="1"/>
    <col min="7445" max="7446" width="10.6640625" style="109" customWidth="1"/>
    <col min="7447" max="7447" width="15.5" style="109" customWidth="1"/>
    <col min="7448" max="7448" width="11.5" style="109" customWidth="1"/>
    <col min="7449" max="7449" width="12" style="109" customWidth="1"/>
    <col min="7450" max="7450" width="11.5" style="109" customWidth="1"/>
    <col min="7451" max="7451" width="12" style="109" customWidth="1"/>
    <col min="7452" max="7452" width="11.5" style="109" customWidth="1"/>
    <col min="7453" max="7453" width="12.83203125" style="109" customWidth="1"/>
    <col min="7454" max="7454" width="10.6640625" style="109" customWidth="1"/>
    <col min="7455" max="7455" width="19" style="109" customWidth="1"/>
    <col min="7456" max="7456" width="13.33203125" style="109" customWidth="1"/>
    <col min="7457" max="7457" width="18" style="109" customWidth="1"/>
    <col min="7458" max="7458" width="42.5" style="109" customWidth="1"/>
    <col min="7459" max="7459" width="31" style="109" customWidth="1"/>
    <col min="7460" max="7460" width="35" style="109" customWidth="1"/>
    <col min="7461" max="7461" width="31" style="109" customWidth="1"/>
    <col min="7462" max="7462" width="35" style="109" customWidth="1"/>
    <col min="7463" max="7463" width="31" style="109" customWidth="1"/>
    <col min="7464" max="7464" width="37.83203125" style="109" customWidth="1"/>
    <col min="7465" max="7465" width="11.5" style="109" customWidth="1"/>
    <col min="7466" max="7466" width="54" style="109" customWidth="1"/>
    <col min="7467" max="7467" width="43.5" style="109" customWidth="1"/>
    <col min="7468" max="7468" width="44.6640625" style="109" customWidth="1"/>
    <col min="7469" max="7678" width="6.33203125" style="109"/>
    <col min="7679" max="7680" width="2.1640625" style="109" customWidth="1"/>
    <col min="7681" max="7681" width="0" style="109" hidden="1" customWidth="1"/>
    <col min="7682" max="7684" width="12.83203125" style="109" customWidth="1"/>
    <col min="7685" max="7685" width="12" style="109" customWidth="1"/>
    <col min="7686" max="7686" width="12.33203125" style="109" customWidth="1"/>
    <col min="7687" max="7687" width="13.5" style="109" customWidth="1"/>
    <col min="7688" max="7688" width="0" style="109" hidden="1" customWidth="1"/>
    <col min="7689" max="7691" width="13" style="109" customWidth="1"/>
    <col min="7692" max="7692" width="14.83203125" style="109" customWidth="1"/>
    <col min="7693" max="7693" width="13.33203125" style="109" customWidth="1"/>
    <col min="7694" max="7694" width="13.5" style="109" customWidth="1"/>
    <col min="7695" max="7695" width="2.1640625" style="109" customWidth="1"/>
    <col min="7696" max="7696" width="13.83203125" style="109" customWidth="1"/>
    <col min="7697" max="7697" width="10.6640625" style="109" customWidth="1"/>
    <col min="7698" max="7698" width="12" style="109" customWidth="1"/>
    <col min="7699" max="7699" width="11.5" style="109" customWidth="1"/>
    <col min="7700" max="7700" width="16" style="109" customWidth="1"/>
    <col min="7701" max="7702" width="10.6640625" style="109" customWidth="1"/>
    <col min="7703" max="7703" width="15.5" style="109" customWidth="1"/>
    <col min="7704" max="7704" width="11.5" style="109" customWidth="1"/>
    <col min="7705" max="7705" width="12" style="109" customWidth="1"/>
    <col min="7706" max="7706" width="11.5" style="109" customWidth="1"/>
    <col min="7707" max="7707" width="12" style="109" customWidth="1"/>
    <col min="7708" max="7708" width="11.5" style="109" customWidth="1"/>
    <col min="7709" max="7709" width="12.83203125" style="109" customWidth="1"/>
    <col min="7710" max="7710" width="10.6640625" style="109" customWidth="1"/>
    <col min="7711" max="7711" width="19" style="109" customWidth="1"/>
    <col min="7712" max="7712" width="13.33203125" style="109" customWidth="1"/>
    <col min="7713" max="7713" width="18" style="109" customWidth="1"/>
    <col min="7714" max="7714" width="42.5" style="109" customWidth="1"/>
    <col min="7715" max="7715" width="31" style="109" customWidth="1"/>
    <col min="7716" max="7716" width="35" style="109" customWidth="1"/>
    <col min="7717" max="7717" width="31" style="109" customWidth="1"/>
    <col min="7718" max="7718" width="35" style="109" customWidth="1"/>
    <col min="7719" max="7719" width="31" style="109" customWidth="1"/>
    <col min="7720" max="7720" width="37.83203125" style="109" customWidth="1"/>
    <col min="7721" max="7721" width="11.5" style="109" customWidth="1"/>
    <col min="7722" max="7722" width="54" style="109" customWidth="1"/>
    <col min="7723" max="7723" width="43.5" style="109" customWidth="1"/>
    <col min="7724" max="7724" width="44.6640625" style="109" customWidth="1"/>
    <col min="7725" max="7934" width="6.33203125" style="109"/>
    <col min="7935" max="7936" width="2.1640625" style="109" customWidth="1"/>
    <col min="7937" max="7937" width="0" style="109" hidden="1" customWidth="1"/>
    <col min="7938" max="7940" width="12.83203125" style="109" customWidth="1"/>
    <col min="7941" max="7941" width="12" style="109" customWidth="1"/>
    <col min="7942" max="7942" width="12.33203125" style="109" customWidth="1"/>
    <col min="7943" max="7943" width="13.5" style="109" customWidth="1"/>
    <col min="7944" max="7944" width="0" style="109" hidden="1" customWidth="1"/>
    <col min="7945" max="7947" width="13" style="109" customWidth="1"/>
    <col min="7948" max="7948" width="14.83203125" style="109" customWidth="1"/>
    <col min="7949" max="7949" width="13.33203125" style="109" customWidth="1"/>
    <col min="7950" max="7950" width="13.5" style="109" customWidth="1"/>
    <col min="7951" max="7951" width="2.1640625" style="109" customWidth="1"/>
    <col min="7952" max="7952" width="13.83203125" style="109" customWidth="1"/>
    <col min="7953" max="7953" width="10.6640625" style="109" customWidth="1"/>
    <col min="7954" max="7954" width="12" style="109" customWidth="1"/>
    <col min="7955" max="7955" width="11.5" style="109" customWidth="1"/>
    <col min="7956" max="7956" width="16" style="109" customWidth="1"/>
    <col min="7957" max="7958" width="10.6640625" style="109" customWidth="1"/>
    <col min="7959" max="7959" width="15.5" style="109" customWidth="1"/>
    <col min="7960" max="7960" width="11.5" style="109" customWidth="1"/>
    <col min="7961" max="7961" width="12" style="109" customWidth="1"/>
    <col min="7962" max="7962" width="11.5" style="109" customWidth="1"/>
    <col min="7963" max="7963" width="12" style="109" customWidth="1"/>
    <col min="7964" max="7964" width="11.5" style="109" customWidth="1"/>
    <col min="7965" max="7965" width="12.83203125" style="109" customWidth="1"/>
    <col min="7966" max="7966" width="10.6640625" style="109" customWidth="1"/>
    <col min="7967" max="7967" width="19" style="109" customWidth="1"/>
    <col min="7968" max="7968" width="13.33203125" style="109" customWidth="1"/>
    <col min="7969" max="7969" width="18" style="109" customWidth="1"/>
    <col min="7970" max="7970" width="42.5" style="109" customWidth="1"/>
    <col min="7971" max="7971" width="31" style="109" customWidth="1"/>
    <col min="7972" max="7972" width="35" style="109" customWidth="1"/>
    <col min="7973" max="7973" width="31" style="109" customWidth="1"/>
    <col min="7974" max="7974" width="35" style="109" customWidth="1"/>
    <col min="7975" max="7975" width="31" style="109" customWidth="1"/>
    <col min="7976" max="7976" width="37.83203125" style="109" customWidth="1"/>
    <col min="7977" max="7977" width="11.5" style="109" customWidth="1"/>
    <col min="7978" max="7978" width="54" style="109" customWidth="1"/>
    <col min="7979" max="7979" width="43.5" style="109" customWidth="1"/>
    <col min="7980" max="7980" width="44.6640625" style="109" customWidth="1"/>
    <col min="7981" max="8190" width="6.33203125" style="109"/>
    <col min="8191" max="8192" width="2.1640625" style="109" customWidth="1"/>
    <col min="8193" max="8193" width="0" style="109" hidden="1" customWidth="1"/>
    <col min="8194" max="8196" width="12.83203125" style="109" customWidth="1"/>
    <col min="8197" max="8197" width="12" style="109" customWidth="1"/>
    <col min="8198" max="8198" width="12.33203125" style="109" customWidth="1"/>
    <col min="8199" max="8199" width="13.5" style="109" customWidth="1"/>
    <col min="8200" max="8200" width="0" style="109" hidden="1" customWidth="1"/>
    <col min="8201" max="8203" width="13" style="109" customWidth="1"/>
    <col min="8204" max="8204" width="14.83203125" style="109" customWidth="1"/>
    <col min="8205" max="8205" width="13.33203125" style="109" customWidth="1"/>
    <col min="8206" max="8206" width="13.5" style="109" customWidth="1"/>
    <col min="8207" max="8207" width="2.1640625" style="109" customWidth="1"/>
    <col min="8208" max="8208" width="13.83203125" style="109" customWidth="1"/>
    <col min="8209" max="8209" width="10.6640625" style="109" customWidth="1"/>
    <col min="8210" max="8210" width="12" style="109" customWidth="1"/>
    <col min="8211" max="8211" width="11.5" style="109" customWidth="1"/>
    <col min="8212" max="8212" width="16" style="109" customWidth="1"/>
    <col min="8213" max="8214" width="10.6640625" style="109" customWidth="1"/>
    <col min="8215" max="8215" width="15.5" style="109" customWidth="1"/>
    <col min="8216" max="8216" width="11.5" style="109" customWidth="1"/>
    <col min="8217" max="8217" width="12" style="109" customWidth="1"/>
    <col min="8218" max="8218" width="11.5" style="109" customWidth="1"/>
    <col min="8219" max="8219" width="12" style="109" customWidth="1"/>
    <col min="8220" max="8220" width="11.5" style="109" customWidth="1"/>
    <col min="8221" max="8221" width="12.83203125" style="109" customWidth="1"/>
    <col min="8222" max="8222" width="10.6640625" style="109" customWidth="1"/>
    <col min="8223" max="8223" width="19" style="109" customWidth="1"/>
    <col min="8224" max="8224" width="13.33203125" style="109" customWidth="1"/>
    <col min="8225" max="8225" width="18" style="109" customWidth="1"/>
    <col min="8226" max="8226" width="42.5" style="109" customWidth="1"/>
    <col min="8227" max="8227" width="31" style="109" customWidth="1"/>
    <col min="8228" max="8228" width="35" style="109" customWidth="1"/>
    <col min="8229" max="8229" width="31" style="109" customWidth="1"/>
    <col min="8230" max="8230" width="35" style="109" customWidth="1"/>
    <col min="8231" max="8231" width="31" style="109" customWidth="1"/>
    <col min="8232" max="8232" width="37.83203125" style="109" customWidth="1"/>
    <col min="8233" max="8233" width="11.5" style="109" customWidth="1"/>
    <col min="8234" max="8234" width="54" style="109" customWidth="1"/>
    <col min="8235" max="8235" width="43.5" style="109" customWidth="1"/>
    <col min="8236" max="8236" width="44.6640625" style="109" customWidth="1"/>
    <col min="8237" max="8446" width="6.33203125" style="109"/>
    <col min="8447" max="8448" width="2.1640625" style="109" customWidth="1"/>
    <col min="8449" max="8449" width="0" style="109" hidden="1" customWidth="1"/>
    <col min="8450" max="8452" width="12.83203125" style="109" customWidth="1"/>
    <col min="8453" max="8453" width="12" style="109" customWidth="1"/>
    <col min="8454" max="8454" width="12.33203125" style="109" customWidth="1"/>
    <col min="8455" max="8455" width="13.5" style="109" customWidth="1"/>
    <col min="8456" max="8456" width="0" style="109" hidden="1" customWidth="1"/>
    <col min="8457" max="8459" width="13" style="109" customWidth="1"/>
    <col min="8460" max="8460" width="14.83203125" style="109" customWidth="1"/>
    <col min="8461" max="8461" width="13.33203125" style="109" customWidth="1"/>
    <col min="8462" max="8462" width="13.5" style="109" customWidth="1"/>
    <col min="8463" max="8463" width="2.1640625" style="109" customWidth="1"/>
    <col min="8464" max="8464" width="13.83203125" style="109" customWidth="1"/>
    <col min="8465" max="8465" width="10.6640625" style="109" customWidth="1"/>
    <col min="8466" max="8466" width="12" style="109" customWidth="1"/>
    <col min="8467" max="8467" width="11.5" style="109" customWidth="1"/>
    <col min="8468" max="8468" width="16" style="109" customWidth="1"/>
    <col min="8469" max="8470" width="10.6640625" style="109" customWidth="1"/>
    <col min="8471" max="8471" width="15.5" style="109" customWidth="1"/>
    <col min="8472" max="8472" width="11.5" style="109" customWidth="1"/>
    <col min="8473" max="8473" width="12" style="109" customWidth="1"/>
    <col min="8474" max="8474" width="11.5" style="109" customWidth="1"/>
    <col min="8475" max="8475" width="12" style="109" customWidth="1"/>
    <col min="8476" max="8476" width="11.5" style="109" customWidth="1"/>
    <col min="8477" max="8477" width="12.83203125" style="109" customWidth="1"/>
    <col min="8478" max="8478" width="10.6640625" style="109" customWidth="1"/>
    <col min="8479" max="8479" width="19" style="109" customWidth="1"/>
    <col min="8480" max="8480" width="13.33203125" style="109" customWidth="1"/>
    <col min="8481" max="8481" width="18" style="109" customWidth="1"/>
    <col min="8482" max="8482" width="42.5" style="109" customWidth="1"/>
    <col min="8483" max="8483" width="31" style="109" customWidth="1"/>
    <col min="8484" max="8484" width="35" style="109" customWidth="1"/>
    <col min="8485" max="8485" width="31" style="109" customWidth="1"/>
    <col min="8486" max="8486" width="35" style="109" customWidth="1"/>
    <col min="8487" max="8487" width="31" style="109" customWidth="1"/>
    <col min="8488" max="8488" width="37.83203125" style="109" customWidth="1"/>
    <col min="8489" max="8489" width="11.5" style="109" customWidth="1"/>
    <col min="8490" max="8490" width="54" style="109" customWidth="1"/>
    <col min="8491" max="8491" width="43.5" style="109" customWidth="1"/>
    <col min="8492" max="8492" width="44.6640625" style="109" customWidth="1"/>
    <col min="8493" max="8702" width="6.33203125" style="109"/>
    <col min="8703" max="8704" width="2.1640625" style="109" customWidth="1"/>
    <col min="8705" max="8705" width="0" style="109" hidden="1" customWidth="1"/>
    <col min="8706" max="8708" width="12.83203125" style="109" customWidth="1"/>
    <col min="8709" max="8709" width="12" style="109" customWidth="1"/>
    <col min="8710" max="8710" width="12.33203125" style="109" customWidth="1"/>
    <col min="8711" max="8711" width="13.5" style="109" customWidth="1"/>
    <col min="8712" max="8712" width="0" style="109" hidden="1" customWidth="1"/>
    <col min="8713" max="8715" width="13" style="109" customWidth="1"/>
    <col min="8716" max="8716" width="14.83203125" style="109" customWidth="1"/>
    <col min="8717" max="8717" width="13.33203125" style="109" customWidth="1"/>
    <col min="8718" max="8718" width="13.5" style="109" customWidth="1"/>
    <col min="8719" max="8719" width="2.1640625" style="109" customWidth="1"/>
    <col min="8720" max="8720" width="13.83203125" style="109" customWidth="1"/>
    <col min="8721" max="8721" width="10.6640625" style="109" customWidth="1"/>
    <col min="8722" max="8722" width="12" style="109" customWidth="1"/>
    <col min="8723" max="8723" width="11.5" style="109" customWidth="1"/>
    <col min="8724" max="8724" width="16" style="109" customWidth="1"/>
    <col min="8725" max="8726" width="10.6640625" style="109" customWidth="1"/>
    <col min="8727" max="8727" width="15.5" style="109" customWidth="1"/>
    <col min="8728" max="8728" width="11.5" style="109" customWidth="1"/>
    <col min="8729" max="8729" width="12" style="109" customWidth="1"/>
    <col min="8730" max="8730" width="11.5" style="109" customWidth="1"/>
    <col min="8731" max="8731" width="12" style="109" customWidth="1"/>
    <col min="8732" max="8732" width="11.5" style="109" customWidth="1"/>
    <col min="8733" max="8733" width="12.83203125" style="109" customWidth="1"/>
    <col min="8734" max="8734" width="10.6640625" style="109" customWidth="1"/>
    <col min="8735" max="8735" width="19" style="109" customWidth="1"/>
    <col min="8736" max="8736" width="13.33203125" style="109" customWidth="1"/>
    <col min="8737" max="8737" width="18" style="109" customWidth="1"/>
    <col min="8738" max="8738" width="42.5" style="109" customWidth="1"/>
    <col min="8739" max="8739" width="31" style="109" customWidth="1"/>
    <col min="8740" max="8740" width="35" style="109" customWidth="1"/>
    <col min="8741" max="8741" width="31" style="109" customWidth="1"/>
    <col min="8742" max="8742" width="35" style="109" customWidth="1"/>
    <col min="8743" max="8743" width="31" style="109" customWidth="1"/>
    <col min="8744" max="8744" width="37.83203125" style="109" customWidth="1"/>
    <col min="8745" max="8745" width="11.5" style="109" customWidth="1"/>
    <col min="8746" max="8746" width="54" style="109" customWidth="1"/>
    <col min="8747" max="8747" width="43.5" style="109" customWidth="1"/>
    <col min="8748" max="8748" width="44.6640625" style="109" customWidth="1"/>
    <col min="8749" max="8958" width="6.33203125" style="109"/>
    <col min="8959" max="8960" width="2.1640625" style="109" customWidth="1"/>
    <col min="8961" max="8961" width="0" style="109" hidden="1" customWidth="1"/>
    <col min="8962" max="8964" width="12.83203125" style="109" customWidth="1"/>
    <col min="8965" max="8965" width="12" style="109" customWidth="1"/>
    <col min="8966" max="8966" width="12.33203125" style="109" customWidth="1"/>
    <col min="8967" max="8967" width="13.5" style="109" customWidth="1"/>
    <col min="8968" max="8968" width="0" style="109" hidden="1" customWidth="1"/>
    <col min="8969" max="8971" width="13" style="109" customWidth="1"/>
    <col min="8972" max="8972" width="14.83203125" style="109" customWidth="1"/>
    <col min="8973" max="8973" width="13.33203125" style="109" customWidth="1"/>
    <col min="8974" max="8974" width="13.5" style="109" customWidth="1"/>
    <col min="8975" max="8975" width="2.1640625" style="109" customWidth="1"/>
    <col min="8976" max="8976" width="13.83203125" style="109" customWidth="1"/>
    <col min="8977" max="8977" width="10.6640625" style="109" customWidth="1"/>
    <col min="8978" max="8978" width="12" style="109" customWidth="1"/>
    <col min="8979" max="8979" width="11.5" style="109" customWidth="1"/>
    <col min="8980" max="8980" width="16" style="109" customWidth="1"/>
    <col min="8981" max="8982" width="10.6640625" style="109" customWidth="1"/>
    <col min="8983" max="8983" width="15.5" style="109" customWidth="1"/>
    <col min="8984" max="8984" width="11.5" style="109" customWidth="1"/>
    <col min="8985" max="8985" width="12" style="109" customWidth="1"/>
    <col min="8986" max="8986" width="11.5" style="109" customWidth="1"/>
    <col min="8987" max="8987" width="12" style="109" customWidth="1"/>
    <col min="8988" max="8988" width="11.5" style="109" customWidth="1"/>
    <col min="8989" max="8989" width="12.83203125" style="109" customWidth="1"/>
    <col min="8990" max="8990" width="10.6640625" style="109" customWidth="1"/>
    <col min="8991" max="8991" width="19" style="109" customWidth="1"/>
    <col min="8992" max="8992" width="13.33203125" style="109" customWidth="1"/>
    <col min="8993" max="8993" width="18" style="109" customWidth="1"/>
    <col min="8994" max="8994" width="42.5" style="109" customWidth="1"/>
    <col min="8995" max="8995" width="31" style="109" customWidth="1"/>
    <col min="8996" max="8996" width="35" style="109" customWidth="1"/>
    <col min="8997" max="8997" width="31" style="109" customWidth="1"/>
    <col min="8998" max="8998" width="35" style="109" customWidth="1"/>
    <col min="8999" max="8999" width="31" style="109" customWidth="1"/>
    <col min="9000" max="9000" width="37.83203125" style="109" customWidth="1"/>
    <col min="9001" max="9001" width="11.5" style="109" customWidth="1"/>
    <col min="9002" max="9002" width="54" style="109" customWidth="1"/>
    <col min="9003" max="9003" width="43.5" style="109" customWidth="1"/>
    <col min="9004" max="9004" width="44.6640625" style="109" customWidth="1"/>
    <col min="9005" max="9214" width="6.33203125" style="109"/>
    <col min="9215" max="9216" width="2.1640625" style="109" customWidth="1"/>
    <col min="9217" max="9217" width="0" style="109" hidden="1" customWidth="1"/>
    <col min="9218" max="9220" width="12.83203125" style="109" customWidth="1"/>
    <col min="9221" max="9221" width="12" style="109" customWidth="1"/>
    <col min="9222" max="9222" width="12.33203125" style="109" customWidth="1"/>
    <col min="9223" max="9223" width="13.5" style="109" customWidth="1"/>
    <col min="9224" max="9224" width="0" style="109" hidden="1" customWidth="1"/>
    <col min="9225" max="9227" width="13" style="109" customWidth="1"/>
    <col min="9228" max="9228" width="14.83203125" style="109" customWidth="1"/>
    <col min="9229" max="9229" width="13.33203125" style="109" customWidth="1"/>
    <col min="9230" max="9230" width="13.5" style="109" customWidth="1"/>
    <col min="9231" max="9231" width="2.1640625" style="109" customWidth="1"/>
    <col min="9232" max="9232" width="13.83203125" style="109" customWidth="1"/>
    <col min="9233" max="9233" width="10.6640625" style="109" customWidth="1"/>
    <col min="9234" max="9234" width="12" style="109" customWidth="1"/>
    <col min="9235" max="9235" width="11.5" style="109" customWidth="1"/>
    <col min="9236" max="9236" width="16" style="109" customWidth="1"/>
    <col min="9237" max="9238" width="10.6640625" style="109" customWidth="1"/>
    <col min="9239" max="9239" width="15.5" style="109" customWidth="1"/>
    <col min="9240" max="9240" width="11.5" style="109" customWidth="1"/>
    <col min="9241" max="9241" width="12" style="109" customWidth="1"/>
    <col min="9242" max="9242" width="11.5" style="109" customWidth="1"/>
    <col min="9243" max="9243" width="12" style="109" customWidth="1"/>
    <col min="9244" max="9244" width="11.5" style="109" customWidth="1"/>
    <col min="9245" max="9245" width="12.83203125" style="109" customWidth="1"/>
    <col min="9246" max="9246" width="10.6640625" style="109" customWidth="1"/>
    <col min="9247" max="9247" width="19" style="109" customWidth="1"/>
    <col min="9248" max="9248" width="13.33203125" style="109" customWidth="1"/>
    <col min="9249" max="9249" width="18" style="109" customWidth="1"/>
    <col min="9250" max="9250" width="42.5" style="109" customWidth="1"/>
    <col min="9251" max="9251" width="31" style="109" customWidth="1"/>
    <col min="9252" max="9252" width="35" style="109" customWidth="1"/>
    <col min="9253" max="9253" width="31" style="109" customWidth="1"/>
    <col min="9254" max="9254" width="35" style="109" customWidth="1"/>
    <col min="9255" max="9255" width="31" style="109" customWidth="1"/>
    <col min="9256" max="9256" width="37.83203125" style="109" customWidth="1"/>
    <col min="9257" max="9257" width="11.5" style="109" customWidth="1"/>
    <col min="9258" max="9258" width="54" style="109" customWidth="1"/>
    <col min="9259" max="9259" width="43.5" style="109" customWidth="1"/>
    <col min="9260" max="9260" width="44.6640625" style="109" customWidth="1"/>
    <col min="9261" max="9470" width="6.33203125" style="109"/>
    <col min="9471" max="9472" width="2.1640625" style="109" customWidth="1"/>
    <col min="9473" max="9473" width="0" style="109" hidden="1" customWidth="1"/>
    <col min="9474" max="9476" width="12.83203125" style="109" customWidth="1"/>
    <col min="9477" max="9477" width="12" style="109" customWidth="1"/>
    <col min="9478" max="9478" width="12.33203125" style="109" customWidth="1"/>
    <col min="9479" max="9479" width="13.5" style="109" customWidth="1"/>
    <col min="9480" max="9480" width="0" style="109" hidden="1" customWidth="1"/>
    <col min="9481" max="9483" width="13" style="109" customWidth="1"/>
    <col min="9484" max="9484" width="14.83203125" style="109" customWidth="1"/>
    <col min="9485" max="9485" width="13.33203125" style="109" customWidth="1"/>
    <col min="9486" max="9486" width="13.5" style="109" customWidth="1"/>
    <col min="9487" max="9487" width="2.1640625" style="109" customWidth="1"/>
    <col min="9488" max="9488" width="13.83203125" style="109" customWidth="1"/>
    <col min="9489" max="9489" width="10.6640625" style="109" customWidth="1"/>
    <col min="9490" max="9490" width="12" style="109" customWidth="1"/>
    <col min="9491" max="9491" width="11.5" style="109" customWidth="1"/>
    <col min="9492" max="9492" width="16" style="109" customWidth="1"/>
    <col min="9493" max="9494" width="10.6640625" style="109" customWidth="1"/>
    <col min="9495" max="9495" width="15.5" style="109" customWidth="1"/>
    <col min="9496" max="9496" width="11.5" style="109" customWidth="1"/>
    <col min="9497" max="9497" width="12" style="109" customWidth="1"/>
    <col min="9498" max="9498" width="11.5" style="109" customWidth="1"/>
    <col min="9499" max="9499" width="12" style="109" customWidth="1"/>
    <col min="9500" max="9500" width="11.5" style="109" customWidth="1"/>
    <col min="9501" max="9501" width="12.83203125" style="109" customWidth="1"/>
    <col min="9502" max="9502" width="10.6640625" style="109" customWidth="1"/>
    <col min="9503" max="9503" width="19" style="109" customWidth="1"/>
    <col min="9504" max="9504" width="13.33203125" style="109" customWidth="1"/>
    <col min="9505" max="9505" width="18" style="109" customWidth="1"/>
    <col min="9506" max="9506" width="42.5" style="109" customWidth="1"/>
    <col min="9507" max="9507" width="31" style="109" customWidth="1"/>
    <col min="9508" max="9508" width="35" style="109" customWidth="1"/>
    <col min="9509" max="9509" width="31" style="109" customWidth="1"/>
    <col min="9510" max="9510" width="35" style="109" customWidth="1"/>
    <col min="9511" max="9511" width="31" style="109" customWidth="1"/>
    <col min="9512" max="9512" width="37.83203125" style="109" customWidth="1"/>
    <col min="9513" max="9513" width="11.5" style="109" customWidth="1"/>
    <col min="9514" max="9514" width="54" style="109" customWidth="1"/>
    <col min="9515" max="9515" width="43.5" style="109" customWidth="1"/>
    <col min="9516" max="9516" width="44.6640625" style="109" customWidth="1"/>
    <col min="9517" max="9726" width="6.33203125" style="109"/>
    <col min="9727" max="9728" width="2.1640625" style="109" customWidth="1"/>
    <col min="9729" max="9729" width="0" style="109" hidden="1" customWidth="1"/>
    <col min="9730" max="9732" width="12.83203125" style="109" customWidth="1"/>
    <col min="9733" max="9733" width="12" style="109" customWidth="1"/>
    <col min="9734" max="9734" width="12.33203125" style="109" customWidth="1"/>
    <col min="9735" max="9735" width="13.5" style="109" customWidth="1"/>
    <col min="9736" max="9736" width="0" style="109" hidden="1" customWidth="1"/>
    <col min="9737" max="9739" width="13" style="109" customWidth="1"/>
    <col min="9740" max="9740" width="14.83203125" style="109" customWidth="1"/>
    <col min="9741" max="9741" width="13.33203125" style="109" customWidth="1"/>
    <col min="9742" max="9742" width="13.5" style="109" customWidth="1"/>
    <col min="9743" max="9743" width="2.1640625" style="109" customWidth="1"/>
    <col min="9744" max="9744" width="13.83203125" style="109" customWidth="1"/>
    <col min="9745" max="9745" width="10.6640625" style="109" customWidth="1"/>
    <col min="9746" max="9746" width="12" style="109" customWidth="1"/>
    <col min="9747" max="9747" width="11.5" style="109" customWidth="1"/>
    <col min="9748" max="9748" width="16" style="109" customWidth="1"/>
    <col min="9749" max="9750" width="10.6640625" style="109" customWidth="1"/>
    <col min="9751" max="9751" width="15.5" style="109" customWidth="1"/>
    <col min="9752" max="9752" width="11.5" style="109" customWidth="1"/>
    <col min="9753" max="9753" width="12" style="109" customWidth="1"/>
    <col min="9754" max="9754" width="11.5" style="109" customWidth="1"/>
    <col min="9755" max="9755" width="12" style="109" customWidth="1"/>
    <col min="9756" max="9756" width="11.5" style="109" customWidth="1"/>
    <col min="9757" max="9757" width="12.83203125" style="109" customWidth="1"/>
    <col min="9758" max="9758" width="10.6640625" style="109" customWidth="1"/>
    <col min="9759" max="9759" width="19" style="109" customWidth="1"/>
    <col min="9760" max="9760" width="13.33203125" style="109" customWidth="1"/>
    <col min="9761" max="9761" width="18" style="109" customWidth="1"/>
    <col min="9762" max="9762" width="42.5" style="109" customWidth="1"/>
    <col min="9763" max="9763" width="31" style="109" customWidth="1"/>
    <col min="9764" max="9764" width="35" style="109" customWidth="1"/>
    <col min="9765" max="9765" width="31" style="109" customWidth="1"/>
    <col min="9766" max="9766" width="35" style="109" customWidth="1"/>
    <col min="9767" max="9767" width="31" style="109" customWidth="1"/>
    <col min="9768" max="9768" width="37.83203125" style="109" customWidth="1"/>
    <col min="9769" max="9769" width="11.5" style="109" customWidth="1"/>
    <col min="9770" max="9770" width="54" style="109" customWidth="1"/>
    <col min="9771" max="9771" width="43.5" style="109" customWidth="1"/>
    <col min="9772" max="9772" width="44.6640625" style="109" customWidth="1"/>
    <col min="9773" max="9982" width="6.33203125" style="109"/>
    <col min="9983" max="9984" width="2.1640625" style="109" customWidth="1"/>
    <col min="9985" max="9985" width="0" style="109" hidden="1" customWidth="1"/>
    <col min="9986" max="9988" width="12.83203125" style="109" customWidth="1"/>
    <col min="9989" max="9989" width="12" style="109" customWidth="1"/>
    <col min="9990" max="9990" width="12.33203125" style="109" customWidth="1"/>
    <col min="9991" max="9991" width="13.5" style="109" customWidth="1"/>
    <col min="9992" max="9992" width="0" style="109" hidden="1" customWidth="1"/>
    <col min="9993" max="9995" width="13" style="109" customWidth="1"/>
    <col min="9996" max="9996" width="14.83203125" style="109" customWidth="1"/>
    <col min="9997" max="9997" width="13.33203125" style="109" customWidth="1"/>
    <col min="9998" max="9998" width="13.5" style="109" customWidth="1"/>
    <col min="9999" max="9999" width="2.1640625" style="109" customWidth="1"/>
    <col min="10000" max="10000" width="13.83203125" style="109" customWidth="1"/>
    <col min="10001" max="10001" width="10.6640625" style="109" customWidth="1"/>
    <col min="10002" max="10002" width="12" style="109" customWidth="1"/>
    <col min="10003" max="10003" width="11.5" style="109" customWidth="1"/>
    <col min="10004" max="10004" width="16" style="109" customWidth="1"/>
    <col min="10005" max="10006" width="10.6640625" style="109" customWidth="1"/>
    <col min="10007" max="10007" width="15.5" style="109" customWidth="1"/>
    <col min="10008" max="10008" width="11.5" style="109" customWidth="1"/>
    <col min="10009" max="10009" width="12" style="109" customWidth="1"/>
    <col min="10010" max="10010" width="11.5" style="109" customWidth="1"/>
    <col min="10011" max="10011" width="12" style="109" customWidth="1"/>
    <col min="10012" max="10012" width="11.5" style="109" customWidth="1"/>
    <col min="10013" max="10013" width="12.83203125" style="109" customWidth="1"/>
    <col min="10014" max="10014" width="10.6640625" style="109" customWidth="1"/>
    <col min="10015" max="10015" width="19" style="109" customWidth="1"/>
    <col min="10016" max="10016" width="13.33203125" style="109" customWidth="1"/>
    <col min="10017" max="10017" width="18" style="109" customWidth="1"/>
    <col min="10018" max="10018" width="42.5" style="109" customWidth="1"/>
    <col min="10019" max="10019" width="31" style="109" customWidth="1"/>
    <col min="10020" max="10020" width="35" style="109" customWidth="1"/>
    <col min="10021" max="10021" width="31" style="109" customWidth="1"/>
    <col min="10022" max="10022" width="35" style="109" customWidth="1"/>
    <col min="10023" max="10023" width="31" style="109" customWidth="1"/>
    <col min="10024" max="10024" width="37.83203125" style="109" customWidth="1"/>
    <col min="10025" max="10025" width="11.5" style="109" customWidth="1"/>
    <col min="10026" max="10026" width="54" style="109" customWidth="1"/>
    <col min="10027" max="10027" width="43.5" style="109" customWidth="1"/>
    <col min="10028" max="10028" width="44.6640625" style="109" customWidth="1"/>
    <col min="10029" max="10238" width="6.33203125" style="109"/>
    <col min="10239" max="10240" width="2.1640625" style="109" customWidth="1"/>
    <col min="10241" max="10241" width="0" style="109" hidden="1" customWidth="1"/>
    <col min="10242" max="10244" width="12.83203125" style="109" customWidth="1"/>
    <col min="10245" max="10245" width="12" style="109" customWidth="1"/>
    <col min="10246" max="10246" width="12.33203125" style="109" customWidth="1"/>
    <col min="10247" max="10247" width="13.5" style="109" customWidth="1"/>
    <col min="10248" max="10248" width="0" style="109" hidden="1" customWidth="1"/>
    <col min="10249" max="10251" width="13" style="109" customWidth="1"/>
    <col min="10252" max="10252" width="14.83203125" style="109" customWidth="1"/>
    <col min="10253" max="10253" width="13.33203125" style="109" customWidth="1"/>
    <col min="10254" max="10254" width="13.5" style="109" customWidth="1"/>
    <col min="10255" max="10255" width="2.1640625" style="109" customWidth="1"/>
    <col min="10256" max="10256" width="13.83203125" style="109" customWidth="1"/>
    <col min="10257" max="10257" width="10.6640625" style="109" customWidth="1"/>
    <col min="10258" max="10258" width="12" style="109" customWidth="1"/>
    <col min="10259" max="10259" width="11.5" style="109" customWidth="1"/>
    <col min="10260" max="10260" width="16" style="109" customWidth="1"/>
    <col min="10261" max="10262" width="10.6640625" style="109" customWidth="1"/>
    <col min="10263" max="10263" width="15.5" style="109" customWidth="1"/>
    <col min="10264" max="10264" width="11.5" style="109" customWidth="1"/>
    <col min="10265" max="10265" width="12" style="109" customWidth="1"/>
    <col min="10266" max="10266" width="11.5" style="109" customWidth="1"/>
    <col min="10267" max="10267" width="12" style="109" customWidth="1"/>
    <col min="10268" max="10268" width="11.5" style="109" customWidth="1"/>
    <col min="10269" max="10269" width="12.83203125" style="109" customWidth="1"/>
    <col min="10270" max="10270" width="10.6640625" style="109" customWidth="1"/>
    <col min="10271" max="10271" width="19" style="109" customWidth="1"/>
    <col min="10272" max="10272" width="13.33203125" style="109" customWidth="1"/>
    <col min="10273" max="10273" width="18" style="109" customWidth="1"/>
    <col min="10274" max="10274" width="42.5" style="109" customWidth="1"/>
    <col min="10275" max="10275" width="31" style="109" customWidth="1"/>
    <col min="10276" max="10276" width="35" style="109" customWidth="1"/>
    <col min="10277" max="10277" width="31" style="109" customWidth="1"/>
    <col min="10278" max="10278" width="35" style="109" customWidth="1"/>
    <col min="10279" max="10279" width="31" style="109" customWidth="1"/>
    <col min="10280" max="10280" width="37.83203125" style="109" customWidth="1"/>
    <col min="10281" max="10281" width="11.5" style="109" customWidth="1"/>
    <col min="10282" max="10282" width="54" style="109" customWidth="1"/>
    <col min="10283" max="10283" width="43.5" style="109" customWidth="1"/>
    <col min="10284" max="10284" width="44.6640625" style="109" customWidth="1"/>
    <col min="10285" max="10494" width="6.33203125" style="109"/>
    <col min="10495" max="10496" width="2.1640625" style="109" customWidth="1"/>
    <col min="10497" max="10497" width="0" style="109" hidden="1" customWidth="1"/>
    <col min="10498" max="10500" width="12.83203125" style="109" customWidth="1"/>
    <col min="10501" max="10501" width="12" style="109" customWidth="1"/>
    <col min="10502" max="10502" width="12.33203125" style="109" customWidth="1"/>
    <col min="10503" max="10503" width="13.5" style="109" customWidth="1"/>
    <col min="10504" max="10504" width="0" style="109" hidden="1" customWidth="1"/>
    <col min="10505" max="10507" width="13" style="109" customWidth="1"/>
    <col min="10508" max="10508" width="14.83203125" style="109" customWidth="1"/>
    <col min="10509" max="10509" width="13.33203125" style="109" customWidth="1"/>
    <col min="10510" max="10510" width="13.5" style="109" customWidth="1"/>
    <col min="10511" max="10511" width="2.1640625" style="109" customWidth="1"/>
    <col min="10512" max="10512" width="13.83203125" style="109" customWidth="1"/>
    <col min="10513" max="10513" width="10.6640625" style="109" customWidth="1"/>
    <col min="10514" max="10514" width="12" style="109" customWidth="1"/>
    <col min="10515" max="10515" width="11.5" style="109" customWidth="1"/>
    <col min="10516" max="10516" width="16" style="109" customWidth="1"/>
    <col min="10517" max="10518" width="10.6640625" style="109" customWidth="1"/>
    <col min="10519" max="10519" width="15.5" style="109" customWidth="1"/>
    <col min="10520" max="10520" width="11.5" style="109" customWidth="1"/>
    <col min="10521" max="10521" width="12" style="109" customWidth="1"/>
    <col min="10522" max="10522" width="11.5" style="109" customWidth="1"/>
    <col min="10523" max="10523" width="12" style="109" customWidth="1"/>
    <col min="10524" max="10524" width="11.5" style="109" customWidth="1"/>
    <col min="10525" max="10525" width="12.83203125" style="109" customWidth="1"/>
    <col min="10526" max="10526" width="10.6640625" style="109" customWidth="1"/>
    <col min="10527" max="10527" width="19" style="109" customWidth="1"/>
    <col min="10528" max="10528" width="13.33203125" style="109" customWidth="1"/>
    <col min="10529" max="10529" width="18" style="109" customWidth="1"/>
    <col min="10530" max="10530" width="42.5" style="109" customWidth="1"/>
    <col min="10531" max="10531" width="31" style="109" customWidth="1"/>
    <col min="10532" max="10532" width="35" style="109" customWidth="1"/>
    <col min="10533" max="10533" width="31" style="109" customWidth="1"/>
    <col min="10534" max="10534" width="35" style="109" customWidth="1"/>
    <col min="10535" max="10535" width="31" style="109" customWidth="1"/>
    <col min="10536" max="10536" width="37.83203125" style="109" customWidth="1"/>
    <col min="10537" max="10537" width="11.5" style="109" customWidth="1"/>
    <col min="10538" max="10538" width="54" style="109" customWidth="1"/>
    <col min="10539" max="10539" width="43.5" style="109" customWidth="1"/>
    <col min="10540" max="10540" width="44.6640625" style="109" customWidth="1"/>
    <col min="10541" max="10750" width="6.33203125" style="109"/>
    <col min="10751" max="10752" width="2.1640625" style="109" customWidth="1"/>
    <col min="10753" max="10753" width="0" style="109" hidden="1" customWidth="1"/>
    <col min="10754" max="10756" width="12.83203125" style="109" customWidth="1"/>
    <col min="10757" max="10757" width="12" style="109" customWidth="1"/>
    <col min="10758" max="10758" width="12.33203125" style="109" customWidth="1"/>
    <col min="10759" max="10759" width="13.5" style="109" customWidth="1"/>
    <col min="10760" max="10760" width="0" style="109" hidden="1" customWidth="1"/>
    <col min="10761" max="10763" width="13" style="109" customWidth="1"/>
    <col min="10764" max="10764" width="14.83203125" style="109" customWidth="1"/>
    <col min="10765" max="10765" width="13.33203125" style="109" customWidth="1"/>
    <col min="10766" max="10766" width="13.5" style="109" customWidth="1"/>
    <col min="10767" max="10767" width="2.1640625" style="109" customWidth="1"/>
    <col min="10768" max="10768" width="13.83203125" style="109" customWidth="1"/>
    <col min="10769" max="10769" width="10.6640625" style="109" customWidth="1"/>
    <col min="10770" max="10770" width="12" style="109" customWidth="1"/>
    <col min="10771" max="10771" width="11.5" style="109" customWidth="1"/>
    <col min="10772" max="10772" width="16" style="109" customWidth="1"/>
    <col min="10773" max="10774" width="10.6640625" style="109" customWidth="1"/>
    <col min="10775" max="10775" width="15.5" style="109" customWidth="1"/>
    <col min="10776" max="10776" width="11.5" style="109" customWidth="1"/>
    <col min="10777" max="10777" width="12" style="109" customWidth="1"/>
    <col min="10778" max="10778" width="11.5" style="109" customWidth="1"/>
    <col min="10779" max="10779" width="12" style="109" customWidth="1"/>
    <col min="10780" max="10780" width="11.5" style="109" customWidth="1"/>
    <col min="10781" max="10781" width="12.83203125" style="109" customWidth="1"/>
    <col min="10782" max="10782" width="10.6640625" style="109" customWidth="1"/>
    <col min="10783" max="10783" width="19" style="109" customWidth="1"/>
    <col min="10784" max="10784" width="13.33203125" style="109" customWidth="1"/>
    <col min="10785" max="10785" width="18" style="109" customWidth="1"/>
    <col min="10786" max="10786" width="42.5" style="109" customWidth="1"/>
    <col min="10787" max="10787" width="31" style="109" customWidth="1"/>
    <col min="10788" max="10788" width="35" style="109" customWidth="1"/>
    <col min="10789" max="10789" width="31" style="109" customWidth="1"/>
    <col min="10790" max="10790" width="35" style="109" customWidth="1"/>
    <col min="10791" max="10791" width="31" style="109" customWidth="1"/>
    <col min="10792" max="10792" width="37.83203125" style="109" customWidth="1"/>
    <col min="10793" max="10793" width="11.5" style="109" customWidth="1"/>
    <col min="10794" max="10794" width="54" style="109" customWidth="1"/>
    <col min="10795" max="10795" width="43.5" style="109" customWidth="1"/>
    <col min="10796" max="10796" width="44.6640625" style="109" customWidth="1"/>
    <col min="10797" max="11006" width="6.33203125" style="109"/>
    <col min="11007" max="11008" width="2.1640625" style="109" customWidth="1"/>
    <col min="11009" max="11009" width="0" style="109" hidden="1" customWidth="1"/>
    <col min="11010" max="11012" width="12.83203125" style="109" customWidth="1"/>
    <col min="11013" max="11013" width="12" style="109" customWidth="1"/>
    <col min="11014" max="11014" width="12.33203125" style="109" customWidth="1"/>
    <col min="11015" max="11015" width="13.5" style="109" customWidth="1"/>
    <col min="11016" max="11016" width="0" style="109" hidden="1" customWidth="1"/>
    <col min="11017" max="11019" width="13" style="109" customWidth="1"/>
    <col min="11020" max="11020" width="14.83203125" style="109" customWidth="1"/>
    <col min="11021" max="11021" width="13.33203125" style="109" customWidth="1"/>
    <col min="11022" max="11022" width="13.5" style="109" customWidth="1"/>
    <col min="11023" max="11023" width="2.1640625" style="109" customWidth="1"/>
    <col min="11024" max="11024" width="13.83203125" style="109" customWidth="1"/>
    <col min="11025" max="11025" width="10.6640625" style="109" customWidth="1"/>
    <col min="11026" max="11026" width="12" style="109" customWidth="1"/>
    <col min="11027" max="11027" width="11.5" style="109" customWidth="1"/>
    <col min="11028" max="11028" width="16" style="109" customWidth="1"/>
    <col min="11029" max="11030" width="10.6640625" style="109" customWidth="1"/>
    <col min="11031" max="11031" width="15.5" style="109" customWidth="1"/>
    <col min="11032" max="11032" width="11.5" style="109" customWidth="1"/>
    <col min="11033" max="11033" width="12" style="109" customWidth="1"/>
    <col min="11034" max="11034" width="11.5" style="109" customWidth="1"/>
    <col min="11035" max="11035" width="12" style="109" customWidth="1"/>
    <col min="11036" max="11036" width="11.5" style="109" customWidth="1"/>
    <col min="11037" max="11037" width="12.83203125" style="109" customWidth="1"/>
    <col min="11038" max="11038" width="10.6640625" style="109" customWidth="1"/>
    <col min="11039" max="11039" width="19" style="109" customWidth="1"/>
    <col min="11040" max="11040" width="13.33203125" style="109" customWidth="1"/>
    <col min="11041" max="11041" width="18" style="109" customWidth="1"/>
    <col min="11042" max="11042" width="42.5" style="109" customWidth="1"/>
    <col min="11043" max="11043" width="31" style="109" customWidth="1"/>
    <col min="11044" max="11044" width="35" style="109" customWidth="1"/>
    <col min="11045" max="11045" width="31" style="109" customWidth="1"/>
    <col min="11046" max="11046" width="35" style="109" customWidth="1"/>
    <col min="11047" max="11047" width="31" style="109" customWidth="1"/>
    <col min="11048" max="11048" width="37.83203125" style="109" customWidth="1"/>
    <col min="11049" max="11049" width="11.5" style="109" customWidth="1"/>
    <col min="11050" max="11050" width="54" style="109" customWidth="1"/>
    <col min="11051" max="11051" width="43.5" style="109" customWidth="1"/>
    <col min="11052" max="11052" width="44.6640625" style="109" customWidth="1"/>
    <col min="11053" max="11262" width="6.33203125" style="109"/>
    <col min="11263" max="11264" width="2.1640625" style="109" customWidth="1"/>
    <col min="11265" max="11265" width="0" style="109" hidden="1" customWidth="1"/>
    <col min="11266" max="11268" width="12.83203125" style="109" customWidth="1"/>
    <col min="11269" max="11269" width="12" style="109" customWidth="1"/>
    <col min="11270" max="11270" width="12.33203125" style="109" customWidth="1"/>
    <col min="11271" max="11271" width="13.5" style="109" customWidth="1"/>
    <col min="11272" max="11272" width="0" style="109" hidden="1" customWidth="1"/>
    <col min="11273" max="11275" width="13" style="109" customWidth="1"/>
    <col min="11276" max="11276" width="14.83203125" style="109" customWidth="1"/>
    <col min="11277" max="11277" width="13.33203125" style="109" customWidth="1"/>
    <col min="11278" max="11278" width="13.5" style="109" customWidth="1"/>
    <col min="11279" max="11279" width="2.1640625" style="109" customWidth="1"/>
    <col min="11280" max="11280" width="13.83203125" style="109" customWidth="1"/>
    <col min="11281" max="11281" width="10.6640625" style="109" customWidth="1"/>
    <col min="11282" max="11282" width="12" style="109" customWidth="1"/>
    <col min="11283" max="11283" width="11.5" style="109" customWidth="1"/>
    <col min="11284" max="11284" width="16" style="109" customWidth="1"/>
    <col min="11285" max="11286" width="10.6640625" style="109" customWidth="1"/>
    <col min="11287" max="11287" width="15.5" style="109" customWidth="1"/>
    <col min="11288" max="11288" width="11.5" style="109" customWidth="1"/>
    <col min="11289" max="11289" width="12" style="109" customWidth="1"/>
    <col min="11290" max="11290" width="11.5" style="109" customWidth="1"/>
    <col min="11291" max="11291" width="12" style="109" customWidth="1"/>
    <col min="11292" max="11292" width="11.5" style="109" customWidth="1"/>
    <col min="11293" max="11293" width="12.83203125" style="109" customWidth="1"/>
    <col min="11294" max="11294" width="10.6640625" style="109" customWidth="1"/>
    <col min="11295" max="11295" width="19" style="109" customWidth="1"/>
    <col min="11296" max="11296" width="13.33203125" style="109" customWidth="1"/>
    <col min="11297" max="11297" width="18" style="109" customWidth="1"/>
    <col min="11298" max="11298" width="42.5" style="109" customWidth="1"/>
    <col min="11299" max="11299" width="31" style="109" customWidth="1"/>
    <col min="11300" max="11300" width="35" style="109" customWidth="1"/>
    <col min="11301" max="11301" width="31" style="109" customWidth="1"/>
    <col min="11302" max="11302" width="35" style="109" customWidth="1"/>
    <col min="11303" max="11303" width="31" style="109" customWidth="1"/>
    <col min="11304" max="11304" width="37.83203125" style="109" customWidth="1"/>
    <col min="11305" max="11305" width="11.5" style="109" customWidth="1"/>
    <col min="11306" max="11306" width="54" style="109" customWidth="1"/>
    <col min="11307" max="11307" width="43.5" style="109" customWidth="1"/>
    <col min="11308" max="11308" width="44.6640625" style="109" customWidth="1"/>
    <col min="11309" max="11518" width="6.33203125" style="109"/>
    <col min="11519" max="11520" width="2.1640625" style="109" customWidth="1"/>
    <col min="11521" max="11521" width="0" style="109" hidden="1" customWidth="1"/>
    <col min="11522" max="11524" width="12.83203125" style="109" customWidth="1"/>
    <col min="11525" max="11525" width="12" style="109" customWidth="1"/>
    <col min="11526" max="11526" width="12.33203125" style="109" customWidth="1"/>
    <col min="11527" max="11527" width="13.5" style="109" customWidth="1"/>
    <col min="11528" max="11528" width="0" style="109" hidden="1" customWidth="1"/>
    <col min="11529" max="11531" width="13" style="109" customWidth="1"/>
    <col min="11532" max="11532" width="14.83203125" style="109" customWidth="1"/>
    <col min="11533" max="11533" width="13.33203125" style="109" customWidth="1"/>
    <col min="11534" max="11534" width="13.5" style="109" customWidth="1"/>
    <col min="11535" max="11535" width="2.1640625" style="109" customWidth="1"/>
    <col min="11536" max="11536" width="13.83203125" style="109" customWidth="1"/>
    <col min="11537" max="11537" width="10.6640625" style="109" customWidth="1"/>
    <col min="11538" max="11538" width="12" style="109" customWidth="1"/>
    <col min="11539" max="11539" width="11.5" style="109" customWidth="1"/>
    <col min="11540" max="11540" width="16" style="109" customWidth="1"/>
    <col min="11541" max="11542" width="10.6640625" style="109" customWidth="1"/>
    <col min="11543" max="11543" width="15.5" style="109" customWidth="1"/>
    <col min="11544" max="11544" width="11.5" style="109" customWidth="1"/>
    <col min="11545" max="11545" width="12" style="109" customWidth="1"/>
    <col min="11546" max="11546" width="11.5" style="109" customWidth="1"/>
    <col min="11547" max="11547" width="12" style="109" customWidth="1"/>
    <col min="11548" max="11548" width="11.5" style="109" customWidth="1"/>
    <col min="11549" max="11549" width="12.83203125" style="109" customWidth="1"/>
    <col min="11550" max="11550" width="10.6640625" style="109" customWidth="1"/>
    <col min="11551" max="11551" width="19" style="109" customWidth="1"/>
    <col min="11552" max="11552" width="13.33203125" style="109" customWidth="1"/>
    <col min="11553" max="11553" width="18" style="109" customWidth="1"/>
    <col min="11554" max="11554" width="42.5" style="109" customWidth="1"/>
    <col min="11555" max="11555" width="31" style="109" customWidth="1"/>
    <col min="11556" max="11556" width="35" style="109" customWidth="1"/>
    <col min="11557" max="11557" width="31" style="109" customWidth="1"/>
    <col min="11558" max="11558" width="35" style="109" customWidth="1"/>
    <col min="11559" max="11559" width="31" style="109" customWidth="1"/>
    <col min="11560" max="11560" width="37.83203125" style="109" customWidth="1"/>
    <col min="11561" max="11561" width="11.5" style="109" customWidth="1"/>
    <col min="11562" max="11562" width="54" style="109" customWidth="1"/>
    <col min="11563" max="11563" width="43.5" style="109" customWidth="1"/>
    <col min="11564" max="11564" width="44.6640625" style="109" customWidth="1"/>
    <col min="11565" max="11774" width="6.33203125" style="109"/>
    <col min="11775" max="11776" width="2.1640625" style="109" customWidth="1"/>
    <col min="11777" max="11777" width="0" style="109" hidden="1" customWidth="1"/>
    <col min="11778" max="11780" width="12.83203125" style="109" customWidth="1"/>
    <col min="11781" max="11781" width="12" style="109" customWidth="1"/>
    <col min="11782" max="11782" width="12.33203125" style="109" customWidth="1"/>
    <col min="11783" max="11783" width="13.5" style="109" customWidth="1"/>
    <col min="11784" max="11784" width="0" style="109" hidden="1" customWidth="1"/>
    <col min="11785" max="11787" width="13" style="109" customWidth="1"/>
    <col min="11788" max="11788" width="14.83203125" style="109" customWidth="1"/>
    <col min="11789" max="11789" width="13.33203125" style="109" customWidth="1"/>
    <col min="11790" max="11790" width="13.5" style="109" customWidth="1"/>
    <col min="11791" max="11791" width="2.1640625" style="109" customWidth="1"/>
    <col min="11792" max="11792" width="13.83203125" style="109" customWidth="1"/>
    <col min="11793" max="11793" width="10.6640625" style="109" customWidth="1"/>
    <col min="11794" max="11794" width="12" style="109" customWidth="1"/>
    <col min="11795" max="11795" width="11.5" style="109" customWidth="1"/>
    <col min="11796" max="11796" width="16" style="109" customWidth="1"/>
    <col min="11797" max="11798" width="10.6640625" style="109" customWidth="1"/>
    <col min="11799" max="11799" width="15.5" style="109" customWidth="1"/>
    <col min="11800" max="11800" width="11.5" style="109" customWidth="1"/>
    <col min="11801" max="11801" width="12" style="109" customWidth="1"/>
    <col min="11802" max="11802" width="11.5" style="109" customWidth="1"/>
    <col min="11803" max="11803" width="12" style="109" customWidth="1"/>
    <col min="11804" max="11804" width="11.5" style="109" customWidth="1"/>
    <col min="11805" max="11805" width="12.83203125" style="109" customWidth="1"/>
    <col min="11806" max="11806" width="10.6640625" style="109" customWidth="1"/>
    <col min="11807" max="11807" width="19" style="109" customWidth="1"/>
    <col min="11808" max="11808" width="13.33203125" style="109" customWidth="1"/>
    <col min="11809" max="11809" width="18" style="109" customWidth="1"/>
    <col min="11810" max="11810" width="42.5" style="109" customWidth="1"/>
    <col min="11811" max="11811" width="31" style="109" customWidth="1"/>
    <col min="11812" max="11812" width="35" style="109" customWidth="1"/>
    <col min="11813" max="11813" width="31" style="109" customWidth="1"/>
    <col min="11814" max="11814" width="35" style="109" customWidth="1"/>
    <col min="11815" max="11815" width="31" style="109" customWidth="1"/>
    <col min="11816" max="11816" width="37.83203125" style="109" customWidth="1"/>
    <col min="11817" max="11817" width="11.5" style="109" customWidth="1"/>
    <col min="11818" max="11818" width="54" style="109" customWidth="1"/>
    <col min="11819" max="11819" width="43.5" style="109" customWidth="1"/>
    <col min="11820" max="11820" width="44.6640625" style="109" customWidth="1"/>
    <col min="11821" max="12030" width="6.33203125" style="109"/>
    <col min="12031" max="12032" width="2.1640625" style="109" customWidth="1"/>
    <col min="12033" max="12033" width="0" style="109" hidden="1" customWidth="1"/>
    <col min="12034" max="12036" width="12.83203125" style="109" customWidth="1"/>
    <col min="12037" max="12037" width="12" style="109" customWidth="1"/>
    <col min="12038" max="12038" width="12.33203125" style="109" customWidth="1"/>
    <col min="12039" max="12039" width="13.5" style="109" customWidth="1"/>
    <col min="12040" max="12040" width="0" style="109" hidden="1" customWidth="1"/>
    <col min="12041" max="12043" width="13" style="109" customWidth="1"/>
    <col min="12044" max="12044" width="14.83203125" style="109" customWidth="1"/>
    <col min="12045" max="12045" width="13.33203125" style="109" customWidth="1"/>
    <col min="12046" max="12046" width="13.5" style="109" customWidth="1"/>
    <col min="12047" max="12047" width="2.1640625" style="109" customWidth="1"/>
    <col min="12048" max="12048" width="13.83203125" style="109" customWidth="1"/>
    <col min="12049" max="12049" width="10.6640625" style="109" customWidth="1"/>
    <col min="12050" max="12050" width="12" style="109" customWidth="1"/>
    <col min="12051" max="12051" width="11.5" style="109" customWidth="1"/>
    <col min="12052" max="12052" width="16" style="109" customWidth="1"/>
    <col min="12053" max="12054" width="10.6640625" style="109" customWidth="1"/>
    <col min="12055" max="12055" width="15.5" style="109" customWidth="1"/>
    <col min="12056" max="12056" width="11.5" style="109" customWidth="1"/>
    <col min="12057" max="12057" width="12" style="109" customWidth="1"/>
    <col min="12058" max="12058" width="11.5" style="109" customWidth="1"/>
    <col min="12059" max="12059" width="12" style="109" customWidth="1"/>
    <col min="12060" max="12060" width="11.5" style="109" customWidth="1"/>
    <col min="12061" max="12061" width="12.83203125" style="109" customWidth="1"/>
    <col min="12062" max="12062" width="10.6640625" style="109" customWidth="1"/>
    <col min="12063" max="12063" width="19" style="109" customWidth="1"/>
    <col min="12064" max="12064" width="13.33203125" style="109" customWidth="1"/>
    <col min="12065" max="12065" width="18" style="109" customWidth="1"/>
    <col min="12066" max="12066" width="42.5" style="109" customWidth="1"/>
    <col min="12067" max="12067" width="31" style="109" customWidth="1"/>
    <col min="12068" max="12068" width="35" style="109" customWidth="1"/>
    <col min="12069" max="12069" width="31" style="109" customWidth="1"/>
    <col min="12070" max="12070" width="35" style="109" customWidth="1"/>
    <col min="12071" max="12071" width="31" style="109" customWidth="1"/>
    <col min="12072" max="12072" width="37.83203125" style="109" customWidth="1"/>
    <col min="12073" max="12073" width="11.5" style="109" customWidth="1"/>
    <col min="12074" max="12074" width="54" style="109" customWidth="1"/>
    <col min="12075" max="12075" width="43.5" style="109" customWidth="1"/>
    <col min="12076" max="12076" width="44.6640625" style="109" customWidth="1"/>
    <col min="12077" max="12286" width="6.33203125" style="109"/>
    <col min="12287" max="12288" width="2.1640625" style="109" customWidth="1"/>
    <col min="12289" max="12289" width="0" style="109" hidden="1" customWidth="1"/>
    <col min="12290" max="12292" width="12.83203125" style="109" customWidth="1"/>
    <col min="12293" max="12293" width="12" style="109" customWidth="1"/>
    <col min="12294" max="12294" width="12.33203125" style="109" customWidth="1"/>
    <col min="12295" max="12295" width="13.5" style="109" customWidth="1"/>
    <col min="12296" max="12296" width="0" style="109" hidden="1" customWidth="1"/>
    <col min="12297" max="12299" width="13" style="109" customWidth="1"/>
    <col min="12300" max="12300" width="14.83203125" style="109" customWidth="1"/>
    <col min="12301" max="12301" width="13.33203125" style="109" customWidth="1"/>
    <col min="12302" max="12302" width="13.5" style="109" customWidth="1"/>
    <col min="12303" max="12303" width="2.1640625" style="109" customWidth="1"/>
    <col min="12304" max="12304" width="13.83203125" style="109" customWidth="1"/>
    <col min="12305" max="12305" width="10.6640625" style="109" customWidth="1"/>
    <col min="12306" max="12306" width="12" style="109" customWidth="1"/>
    <col min="12307" max="12307" width="11.5" style="109" customWidth="1"/>
    <col min="12308" max="12308" width="16" style="109" customWidth="1"/>
    <col min="12309" max="12310" width="10.6640625" style="109" customWidth="1"/>
    <col min="12311" max="12311" width="15.5" style="109" customWidth="1"/>
    <col min="12312" max="12312" width="11.5" style="109" customWidth="1"/>
    <col min="12313" max="12313" width="12" style="109" customWidth="1"/>
    <col min="12314" max="12314" width="11.5" style="109" customWidth="1"/>
    <col min="12315" max="12315" width="12" style="109" customWidth="1"/>
    <col min="12316" max="12316" width="11.5" style="109" customWidth="1"/>
    <col min="12317" max="12317" width="12.83203125" style="109" customWidth="1"/>
    <col min="12318" max="12318" width="10.6640625" style="109" customWidth="1"/>
    <col min="12319" max="12319" width="19" style="109" customWidth="1"/>
    <col min="12320" max="12320" width="13.33203125" style="109" customWidth="1"/>
    <col min="12321" max="12321" width="18" style="109" customWidth="1"/>
    <col min="12322" max="12322" width="42.5" style="109" customWidth="1"/>
    <col min="12323" max="12323" width="31" style="109" customWidth="1"/>
    <col min="12324" max="12324" width="35" style="109" customWidth="1"/>
    <col min="12325" max="12325" width="31" style="109" customWidth="1"/>
    <col min="12326" max="12326" width="35" style="109" customWidth="1"/>
    <col min="12327" max="12327" width="31" style="109" customWidth="1"/>
    <col min="12328" max="12328" width="37.83203125" style="109" customWidth="1"/>
    <col min="12329" max="12329" width="11.5" style="109" customWidth="1"/>
    <col min="12330" max="12330" width="54" style="109" customWidth="1"/>
    <col min="12331" max="12331" width="43.5" style="109" customWidth="1"/>
    <col min="12332" max="12332" width="44.6640625" style="109" customWidth="1"/>
    <col min="12333" max="12542" width="6.33203125" style="109"/>
    <col min="12543" max="12544" width="2.1640625" style="109" customWidth="1"/>
    <col min="12545" max="12545" width="0" style="109" hidden="1" customWidth="1"/>
    <col min="12546" max="12548" width="12.83203125" style="109" customWidth="1"/>
    <col min="12549" max="12549" width="12" style="109" customWidth="1"/>
    <col min="12550" max="12550" width="12.33203125" style="109" customWidth="1"/>
    <col min="12551" max="12551" width="13.5" style="109" customWidth="1"/>
    <col min="12552" max="12552" width="0" style="109" hidden="1" customWidth="1"/>
    <col min="12553" max="12555" width="13" style="109" customWidth="1"/>
    <col min="12556" max="12556" width="14.83203125" style="109" customWidth="1"/>
    <col min="12557" max="12557" width="13.33203125" style="109" customWidth="1"/>
    <col min="12558" max="12558" width="13.5" style="109" customWidth="1"/>
    <col min="12559" max="12559" width="2.1640625" style="109" customWidth="1"/>
    <col min="12560" max="12560" width="13.83203125" style="109" customWidth="1"/>
    <col min="12561" max="12561" width="10.6640625" style="109" customWidth="1"/>
    <col min="12562" max="12562" width="12" style="109" customWidth="1"/>
    <col min="12563" max="12563" width="11.5" style="109" customWidth="1"/>
    <col min="12564" max="12564" width="16" style="109" customWidth="1"/>
    <col min="12565" max="12566" width="10.6640625" style="109" customWidth="1"/>
    <col min="12567" max="12567" width="15.5" style="109" customWidth="1"/>
    <col min="12568" max="12568" width="11.5" style="109" customWidth="1"/>
    <col min="12569" max="12569" width="12" style="109" customWidth="1"/>
    <col min="12570" max="12570" width="11.5" style="109" customWidth="1"/>
    <col min="12571" max="12571" width="12" style="109" customWidth="1"/>
    <col min="12572" max="12572" width="11.5" style="109" customWidth="1"/>
    <col min="12573" max="12573" width="12.83203125" style="109" customWidth="1"/>
    <col min="12574" max="12574" width="10.6640625" style="109" customWidth="1"/>
    <col min="12575" max="12575" width="19" style="109" customWidth="1"/>
    <col min="12576" max="12576" width="13.33203125" style="109" customWidth="1"/>
    <col min="12577" max="12577" width="18" style="109" customWidth="1"/>
    <col min="12578" max="12578" width="42.5" style="109" customWidth="1"/>
    <col min="12579" max="12579" width="31" style="109" customWidth="1"/>
    <col min="12580" max="12580" width="35" style="109" customWidth="1"/>
    <col min="12581" max="12581" width="31" style="109" customWidth="1"/>
    <col min="12582" max="12582" width="35" style="109" customWidth="1"/>
    <col min="12583" max="12583" width="31" style="109" customWidth="1"/>
    <col min="12584" max="12584" width="37.83203125" style="109" customWidth="1"/>
    <col min="12585" max="12585" width="11.5" style="109" customWidth="1"/>
    <col min="12586" max="12586" width="54" style="109" customWidth="1"/>
    <col min="12587" max="12587" width="43.5" style="109" customWidth="1"/>
    <col min="12588" max="12588" width="44.6640625" style="109" customWidth="1"/>
    <col min="12589" max="12798" width="6.33203125" style="109"/>
    <col min="12799" max="12800" width="2.1640625" style="109" customWidth="1"/>
    <col min="12801" max="12801" width="0" style="109" hidden="1" customWidth="1"/>
    <col min="12802" max="12804" width="12.83203125" style="109" customWidth="1"/>
    <col min="12805" max="12805" width="12" style="109" customWidth="1"/>
    <col min="12806" max="12806" width="12.33203125" style="109" customWidth="1"/>
    <col min="12807" max="12807" width="13.5" style="109" customWidth="1"/>
    <col min="12808" max="12808" width="0" style="109" hidden="1" customWidth="1"/>
    <col min="12809" max="12811" width="13" style="109" customWidth="1"/>
    <col min="12812" max="12812" width="14.83203125" style="109" customWidth="1"/>
    <col min="12813" max="12813" width="13.33203125" style="109" customWidth="1"/>
    <col min="12814" max="12814" width="13.5" style="109" customWidth="1"/>
    <col min="12815" max="12815" width="2.1640625" style="109" customWidth="1"/>
    <col min="12816" max="12816" width="13.83203125" style="109" customWidth="1"/>
    <col min="12817" max="12817" width="10.6640625" style="109" customWidth="1"/>
    <col min="12818" max="12818" width="12" style="109" customWidth="1"/>
    <col min="12819" max="12819" width="11.5" style="109" customWidth="1"/>
    <col min="12820" max="12820" width="16" style="109" customWidth="1"/>
    <col min="12821" max="12822" width="10.6640625" style="109" customWidth="1"/>
    <col min="12823" max="12823" width="15.5" style="109" customWidth="1"/>
    <col min="12824" max="12824" width="11.5" style="109" customWidth="1"/>
    <col min="12825" max="12825" width="12" style="109" customWidth="1"/>
    <col min="12826" max="12826" width="11.5" style="109" customWidth="1"/>
    <col min="12827" max="12827" width="12" style="109" customWidth="1"/>
    <col min="12828" max="12828" width="11.5" style="109" customWidth="1"/>
    <col min="12829" max="12829" width="12.83203125" style="109" customWidth="1"/>
    <col min="12830" max="12830" width="10.6640625" style="109" customWidth="1"/>
    <col min="12831" max="12831" width="19" style="109" customWidth="1"/>
    <col min="12832" max="12832" width="13.33203125" style="109" customWidth="1"/>
    <col min="12833" max="12833" width="18" style="109" customWidth="1"/>
    <col min="12834" max="12834" width="42.5" style="109" customWidth="1"/>
    <col min="12835" max="12835" width="31" style="109" customWidth="1"/>
    <col min="12836" max="12836" width="35" style="109" customWidth="1"/>
    <col min="12837" max="12837" width="31" style="109" customWidth="1"/>
    <col min="12838" max="12838" width="35" style="109" customWidth="1"/>
    <col min="12839" max="12839" width="31" style="109" customWidth="1"/>
    <col min="12840" max="12840" width="37.83203125" style="109" customWidth="1"/>
    <col min="12841" max="12841" width="11.5" style="109" customWidth="1"/>
    <col min="12842" max="12842" width="54" style="109" customWidth="1"/>
    <col min="12843" max="12843" width="43.5" style="109" customWidth="1"/>
    <col min="12844" max="12844" width="44.6640625" style="109" customWidth="1"/>
    <col min="12845" max="13054" width="6.33203125" style="109"/>
    <col min="13055" max="13056" width="2.1640625" style="109" customWidth="1"/>
    <col min="13057" max="13057" width="0" style="109" hidden="1" customWidth="1"/>
    <col min="13058" max="13060" width="12.83203125" style="109" customWidth="1"/>
    <col min="13061" max="13061" width="12" style="109" customWidth="1"/>
    <col min="13062" max="13062" width="12.33203125" style="109" customWidth="1"/>
    <col min="13063" max="13063" width="13.5" style="109" customWidth="1"/>
    <col min="13064" max="13064" width="0" style="109" hidden="1" customWidth="1"/>
    <col min="13065" max="13067" width="13" style="109" customWidth="1"/>
    <col min="13068" max="13068" width="14.83203125" style="109" customWidth="1"/>
    <col min="13069" max="13069" width="13.33203125" style="109" customWidth="1"/>
    <col min="13070" max="13070" width="13.5" style="109" customWidth="1"/>
    <col min="13071" max="13071" width="2.1640625" style="109" customWidth="1"/>
    <col min="13072" max="13072" width="13.83203125" style="109" customWidth="1"/>
    <col min="13073" max="13073" width="10.6640625" style="109" customWidth="1"/>
    <col min="13074" max="13074" width="12" style="109" customWidth="1"/>
    <col min="13075" max="13075" width="11.5" style="109" customWidth="1"/>
    <col min="13076" max="13076" width="16" style="109" customWidth="1"/>
    <col min="13077" max="13078" width="10.6640625" style="109" customWidth="1"/>
    <col min="13079" max="13079" width="15.5" style="109" customWidth="1"/>
    <col min="13080" max="13080" width="11.5" style="109" customWidth="1"/>
    <col min="13081" max="13081" width="12" style="109" customWidth="1"/>
    <col min="13082" max="13082" width="11.5" style="109" customWidth="1"/>
    <col min="13083" max="13083" width="12" style="109" customWidth="1"/>
    <col min="13084" max="13084" width="11.5" style="109" customWidth="1"/>
    <col min="13085" max="13085" width="12.83203125" style="109" customWidth="1"/>
    <col min="13086" max="13086" width="10.6640625" style="109" customWidth="1"/>
    <col min="13087" max="13087" width="19" style="109" customWidth="1"/>
    <col min="13088" max="13088" width="13.33203125" style="109" customWidth="1"/>
    <col min="13089" max="13089" width="18" style="109" customWidth="1"/>
    <col min="13090" max="13090" width="42.5" style="109" customWidth="1"/>
    <col min="13091" max="13091" width="31" style="109" customWidth="1"/>
    <col min="13092" max="13092" width="35" style="109" customWidth="1"/>
    <col min="13093" max="13093" width="31" style="109" customWidth="1"/>
    <col min="13094" max="13094" width="35" style="109" customWidth="1"/>
    <col min="13095" max="13095" width="31" style="109" customWidth="1"/>
    <col min="13096" max="13096" width="37.83203125" style="109" customWidth="1"/>
    <col min="13097" max="13097" width="11.5" style="109" customWidth="1"/>
    <col min="13098" max="13098" width="54" style="109" customWidth="1"/>
    <col min="13099" max="13099" width="43.5" style="109" customWidth="1"/>
    <col min="13100" max="13100" width="44.6640625" style="109" customWidth="1"/>
    <col min="13101" max="13310" width="6.33203125" style="109"/>
    <col min="13311" max="13312" width="2.1640625" style="109" customWidth="1"/>
    <col min="13313" max="13313" width="0" style="109" hidden="1" customWidth="1"/>
    <col min="13314" max="13316" width="12.83203125" style="109" customWidth="1"/>
    <col min="13317" max="13317" width="12" style="109" customWidth="1"/>
    <col min="13318" max="13318" width="12.33203125" style="109" customWidth="1"/>
    <col min="13319" max="13319" width="13.5" style="109" customWidth="1"/>
    <col min="13320" max="13320" width="0" style="109" hidden="1" customWidth="1"/>
    <col min="13321" max="13323" width="13" style="109" customWidth="1"/>
    <col min="13324" max="13324" width="14.83203125" style="109" customWidth="1"/>
    <col min="13325" max="13325" width="13.33203125" style="109" customWidth="1"/>
    <col min="13326" max="13326" width="13.5" style="109" customWidth="1"/>
    <col min="13327" max="13327" width="2.1640625" style="109" customWidth="1"/>
    <col min="13328" max="13328" width="13.83203125" style="109" customWidth="1"/>
    <col min="13329" max="13329" width="10.6640625" style="109" customWidth="1"/>
    <col min="13330" max="13330" width="12" style="109" customWidth="1"/>
    <col min="13331" max="13331" width="11.5" style="109" customWidth="1"/>
    <col min="13332" max="13332" width="16" style="109" customWidth="1"/>
    <col min="13333" max="13334" width="10.6640625" style="109" customWidth="1"/>
    <col min="13335" max="13335" width="15.5" style="109" customWidth="1"/>
    <col min="13336" max="13336" width="11.5" style="109" customWidth="1"/>
    <col min="13337" max="13337" width="12" style="109" customWidth="1"/>
    <col min="13338" max="13338" width="11.5" style="109" customWidth="1"/>
    <col min="13339" max="13339" width="12" style="109" customWidth="1"/>
    <col min="13340" max="13340" width="11.5" style="109" customWidth="1"/>
    <col min="13341" max="13341" width="12.83203125" style="109" customWidth="1"/>
    <col min="13342" max="13342" width="10.6640625" style="109" customWidth="1"/>
    <col min="13343" max="13343" width="19" style="109" customWidth="1"/>
    <col min="13344" max="13344" width="13.33203125" style="109" customWidth="1"/>
    <col min="13345" max="13345" width="18" style="109" customWidth="1"/>
    <col min="13346" max="13346" width="42.5" style="109" customWidth="1"/>
    <col min="13347" max="13347" width="31" style="109" customWidth="1"/>
    <col min="13348" max="13348" width="35" style="109" customWidth="1"/>
    <col min="13349" max="13349" width="31" style="109" customWidth="1"/>
    <col min="13350" max="13350" width="35" style="109" customWidth="1"/>
    <col min="13351" max="13351" width="31" style="109" customWidth="1"/>
    <col min="13352" max="13352" width="37.83203125" style="109" customWidth="1"/>
    <col min="13353" max="13353" width="11.5" style="109" customWidth="1"/>
    <col min="13354" max="13354" width="54" style="109" customWidth="1"/>
    <col min="13355" max="13355" width="43.5" style="109" customWidth="1"/>
    <col min="13356" max="13356" width="44.6640625" style="109" customWidth="1"/>
    <col min="13357" max="13566" width="6.33203125" style="109"/>
    <col min="13567" max="13568" width="2.1640625" style="109" customWidth="1"/>
    <col min="13569" max="13569" width="0" style="109" hidden="1" customWidth="1"/>
    <col min="13570" max="13572" width="12.83203125" style="109" customWidth="1"/>
    <col min="13573" max="13573" width="12" style="109" customWidth="1"/>
    <col min="13574" max="13574" width="12.33203125" style="109" customWidth="1"/>
    <col min="13575" max="13575" width="13.5" style="109" customWidth="1"/>
    <col min="13576" max="13576" width="0" style="109" hidden="1" customWidth="1"/>
    <col min="13577" max="13579" width="13" style="109" customWidth="1"/>
    <col min="13580" max="13580" width="14.83203125" style="109" customWidth="1"/>
    <col min="13581" max="13581" width="13.33203125" style="109" customWidth="1"/>
    <col min="13582" max="13582" width="13.5" style="109" customWidth="1"/>
    <col min="13583" max="13583" width="2.1640625" style="109" customWidth="1"/>
    <col min="13584" max="13584" width="13.83203125" style="109" customWidth="1"/>
    <col min="13585" max="13585" width="10.6640625" style="109" customWidth="1"/>
    <col min="13586" max="13586" width="12" style="109" customWidth="1"/>
    <col min="13587" max="13587" width="11.5" style="109" customWidth="1"/>
    <col min="13588" max="13588" width="16" style="109" customWidth="1"/>
    <col min="13589" max="13590" width="10.6640625" style="109" customWidth="1"/>
    <col min="13591" max="13591" width="15.5" style="109" customWidth="1"/>
    <col min="13592" max="13592" width="11.5" style="109" customWidth="1"/>
    <col min="13593" max="13593" width="12" style="109" customWidth="1"/>
    <col min="13594" max="13594" width="11.5" style="109" customWidth="1"/>
    <col min="13595" max="13595" width="12" style="109" customWidth="1"/>
    <col min="13596" max="13596" width="11.5" style="109" customWidth="1"/>
    <col min="13597" max="13597" width="12.83203125" style="109" customWidth="1"/>
    <col min="13598" max="13598" width="10.6640625" style="109" customWidth="1"/>
    <col min="13599" max="13599" width="19" style="109" customWidth="1"/>
    <col min="13600" max="13600" width="13.33203125" style="109" customWidth="1"/>
    <col min="13601" max="13601" width="18" style="109" customWidth="1"/>
    <col min="13602" max="13602" width="42.5" style="109" customWidth="1"/>
    <col min="13603" max="13603" width="31" style="109" customWidth="1"/>
    <col min="13604" max="13604" width="35" style="109" customWidth="1"/>
    <col min="13605" max="13605" width="31" style="109" customWidth="1"/>
    <col min="13606" max="13606" width="35" style="109" customWidth="1"/>
    <col min="13607" max="13607" width="31" style="109" customWidth="1"/>
    <col min="13608" max="13608" width="37.83203125" style="109" customWidth="1"/>
    <col min="13609" max="13609" width="11.5" style="109" customWidth="1"/>
    <col min="13610" max="13610" width="54" style="109" customWidth="1"/>
    <col min="13611" max="13611" width="43.5" style="109" customWidth="1"/>
    <col min="13612" max="13612" width="44.6640625" style="109" customWidth="1"/>
    <col min="13613" max="13822" width="6.33203125" style="109"/>
    <col min="13823" max="13824" width="2.1640625" style="109" customWidth="1"/>
    <col min="13825" max="13825" width="0" style="109" hidden="1" customWidth="1"/>
    <col min="13826" max="13828" width="12.83203125" style="109" customWidth="1"/>
    <col min="13829" max="13829" width="12" style="109" customWidth="1"/>
    <col min="13830" max="13830" width="12.33203125" style="109" customWidth="1"/>
    <col min="13831" max="13831" width="13.5" style="109" customWidth="1"/>
    <col min="13832" max="13832" width="0" style="109" hidden="1" customWidth="1"/>
    <col min="13833" max="13835" width="13" style="109" customWidth="1"/>
    <col min="13836" max="13836" width="14.83203125" style="109" customWidth="1"/>
    <col min="13837" max="13837" width="13.33203125" style="109" customWidth="1"/>
    <col min="13838" max="13838" width="13.5" style="109" customWidth="1"/>
    <col min="13839" max="13839" width="2.1640625" style="109" customWidth="1"/>
    <col min="13840" max="13840" width="13.83203125" style="109" customWidth="1"/>
    <col min="13841" max="13841" width="10.6640625" style="109" customWidth="1"/>
    <col min="13842" max="13842" width="12" style="109" customWidth="1"/>
    <col min="13843" max="13843" width="11.5" style="109" customWidth="1"/>
    <col min="13844" max="13844" width="16" style="109" customWidth="1"/>
    <col min="13845" max="13846" width="10.6640625" style="109" customWidth="1"/>
    <col min="13847" max="13847" width="15.5" style="109" customWidth="1"/>
    <col min="13848" max="13848" width="11.5" style="109" customWidth="1"/>
    <col min="13849" max="13849" width="12" style="109" customWidth="1"/>
    <col min="13850" max="13850" width="11.5" style="109" customWidth="1"/>
    <col min="13851" max="13851" width="12" style="109" customWidth="1"/>
    <col min="13852" max="13852" width="11.5" style="109" customWidth="1"/>
    <col min="13853" max="13853" width="12.83203125" style="109" customWidth="1"/>
    <col min="13854" max="13854" width="10.6640625" style="109" customWidth="1"/>
    <col min="13855" max="13855" width="19" style="109" customWidth="1"/>
    <col min="13856" max="13856" width="13.33203125" style="109" customWidth="1"/>
    <col min="13857" max="13857" width="18" style="109" customWidth="1"/>
    <col min="13858" max="13858" width="42.5" style="109" customWidth="1"/>
    <col min="13859" max="13859" width="31" style="109" customWidth="1"/>
    <col min="13860" max="13860" width="35" style="109" customWidth="1"/>
    <col min="13861" max="13861" width="31" style="109" customWidth="1"/>
    <col min="13862" max="13862" width="35" style="109" customWidth="1"/>
    <col min="13863" max="13863" width="31" style="109" customWidth="1"/>
    <col min="13864" max="13864" width="37.83203125" style="109" customWidth="1"/>
    <col min="13865" max="13865" width="11.5" style="109" customWidth="1"/>
    <col min="13866" max="13866" width="54" style="109" customWidth="1"/>
    <col min="13867" max="13867" width="43.5" style="109" customWidth="1"/>
    <col min="13868" max="13868" width="44.6640625" style="109" customWidth="1"/>
    <col min="13869" max="14078" width="6.33203125" style="109"/>
    <col min="14079" max="14080" width="2.1640625" style="109" customWidth="1"/>
    <col min="14081" max="14081" width="0" style="109" hidden="1" customWidth="1"/>
    <col min="14082" max="14084" width="12.83203125" style="109" customWidth="1"/>
    <col min="14085" max="14085" width="12" style="109" customWidth="1"/>
    <col min="14086" max="14086" width="12.33203125" style="109" customWidth="1"/>
    <col min="14087" max="14087" width="13.5" style="109" customWidth="1"/>
    <col min="14088" max="14088" width="0" style="109" hidden="1" customWidth="1"/>
    <col min="14089" max="14091" width="13" style="109" customWidth="1"/>
    <col min="14092" max="14092" width="14.83203125" style="109" customWidth="1"/>
    <col min="14093" max="14093" width="13.33203125" style="109" customWidth="1"/>
    <col min="14094" max="14094" width="13.5" style="109" customWidth="1"/>
    <col min="14095" max="14095" width="2.1640625" style="109" customWidth="1"/>
    <col min="14096" max="14096" width="13.83203125" style="109" customWidth="1"/>
    <col min="14097" max="14097" width="10.6640625" style="109" customWidth="1"/>
    <col min="14098" max="14098" width="12" style="109" customWidth="1"/>
    <col min="14099" max="14099" width="11.5" style="109" customWidth="1"/>
    <col min="14100" max="14100" width="16" style="109" customWidth="1"/>
    <col min="14101" max="14102" width="10.6640625" style="109" customWidth="1"/>
    <col min="14103" max="14103" width="15.5" style="109" customWidth="1"/>
    <col min="14104" max="14104" width="11.5" style="109" customWidth="1"/>
    <col min="14105" max="14105" width="12" style="109" customWidth="1"/>
    <col min="14106" max="14106" width="11.5" style="109" customWidth="1"/>
    <col min="14107" max="14107" width="12" style="109" customWidth="1"/>
    <col min="14108" max="14108" width="11.5" style="109" customWidth="1"/>
    <col min="14109" max="14109" width="12.83203125" style="109" customWidth="1"/>
    <col min="14110" max="14110" width="10.6640625" style="109" customWidth="1"/>
    <col min="14111" max="14111" width="19" style="109" customWidth="1"/>
    <col min="14112" max="14112" width="13.33203125" style="109" customWidth="1"/>
    <col min="14113" max="14113" width="18" style="109" customWidth="1"/>
    <col min="14114" max="14114" width="42.5" style="109" customWidth="1"/>
    <col min="14115" max="14115" width="31" style="109" customWidth="1"/>
    <col min="14116" max="14116" width="35" style="109" customWidth="1"/>
    <col min="14117" max="14117" width="31" style="109" customWidth="1"/>
    <col min="14118" max="14118" width="35" style="109" customWidth="1"/>
    <col min="14119" max="14119" width="31" style="109" customWidth="1"/>
    <col min="14120" max="14120" width="37.83203125" style="109" customWidth="1"/>
    <col min="14121" max="14121" width="11.5" style="109" customWidth="1"/>
    <col min="14122" max="14122" width="54" style="109" customWidth="1"/>
    <col min="14123" max="14123" width="43.5" style="109" customWidth="1"/>
    <col min="14124" max="14124" width="44.6640625" style="109" customWidth="1"/>
    <col min="14125" max="14334" width="6.33203125" style="109"/>
    <col min="14335" max="14336" width="2.1640625" style="109" customWidth="1"/>
    <col min="14337" max="14337" width="0" style="109" hidden="1" customWidth="1"/>
    <col min="14338" max="14340" width="12.83203125" style="109" customWidth="1"/>
    <col min="14341" max="14341" width="12" style="109" customWidth="1"/>
    <col min="14342" max="14342" width="12.33203125" style="109" customWidth="1"/>
    <col min="14343" max="14343" width="13.5" style="109" customWidth="1"/>
    <col min="14344" max="14344" width="0" style="109" hidden="1" customWidth="1"/>
    <col min="14345" max="14347" width="13" style="109" customWidth="1"/>
    <col min="14348" max="14348" width="14.83203125" style="109" customWidth="1"/>
    <col min="14349" max="14349" width="13.33203125" style="109" customWidth="1"/>
    <col min="14350" max="14350" width="13.5" style="109" customWidth="1"/>
    <col min="14351" max="14351" width="2.1640625" style="109" customWidth="1"/>
    <col min="14352" max="14352" width="13.83203125" style="109" customWidth="1"/>
    <col min="14353" max="14353" width="10.6640625" style="109" customWidth="1"/>
    <col min="14354" max="14354" width="12" style="109" customWidth="1"/>
    <col min="14355" max="14355" width="11.5" style="109" customWidth="1"/>
    <col min="14356" max="14356" width="16" style="109" customWidth="1"/>
    <col min="14357" max="14358" width="10.6640625" style="109" customWidth="1"/>
    <col min="14359" max="14359" width="15.5" style="109" customWidth="1"/>
    <col min="14360" max="14360" width="11.5" style="109" customWidth="1"/>
    <col min="14361" max="14361" width="12" style="109" customWidth="1"/>
    <col min="14362" max="14362" width="11.5" style="109" customWidth="1"/>
    <col min="14363" max="14363" width="12" style="109" customWidth="1"/>
    <col min="14364" max="14364" width="11.5" style="109" customWidth="1"/>
    <col min="14365" max="14365" width="12.83203125" style="109" customWidth="1"/>
    <col min="14366" max="14366" width="10.6640625" style="109" customWidth="1"/>
    <col min="14367" max="14367" width="19" style="109" customWidth="1"/>
    <col min="14368" max="14368" width="13.33203125" style="109" customWidth="1"/>
    <col min="14369" max="14369" width="18" style="109" customWidth="1"/>
    <col min="14370" max="14370" width="42.5" style="109" customWidth="1"/>
    <col min="14371" max="14371" width="31" style="109" customWidth="1"/>
    <col min="14372" max="14372" width="35" style="109" customWidth="1"/>
    <col min="14373" max="14373" width="31" style="109" customWidth="1"/>
    <col min="14374" max="14374" width="35" style="109" customWidth="1"/>
    <col min="14375" max="14375" width="31" style="109" customWidth="1"/>
    <col min="14376" max="14376" width="37.83203125" style="109" customWidth="1"/>
    <col min="14377" max="14377" width="11.5" style="109" customWidth="1"/>
    <col min="14378" max="14378" width="54" style="109" customWidth="1"/>
    <col min="14379" max="14379" width="43.5" style="109" customWidth="1"/>
    <col min="14380" max="14380" width="44.6640625" style="109" customWidth="1"/>
    <col min="14381" max="14590" width="6.33203125" style="109"/>
    <col min="14591" max="14592" width="2.1640625" style="109" customWidth="1"/>
    <col min="14593" max="14593" width="0" style="109" hidden="1" customWidth="1"/>
    <col min="14594" max="14596" width="12.83203125" style="109" customWidth="1"/>
    <col min="14597" max="14597" width="12" style="109" customWidth="1"/>
    <col min="14598" max="14598" width="12.33203125" style="109" customWidth="1"/>
    <col min="14599" max="14599" width="13.5" style="109" customWidth="1"/>
    <col min="14600" max="14600" width="0" style="109" hidden="1" customWidth="1"/>
    <col min="14601" max="14603" width="13" style="109" customWidth="1"/>
    <col min="14604" max="14604" width="14.83203125" style="109" customWidth="1"/>
    <col min="14605" max="14605" width="13.33203125" style="109" customWidth="1"/>
    <col min="14606" max="14606" width="13.5" style="109" customWidth="1"/>
    <col min="14607" max="14607" width="2.1640625" style="109" customWidth="1"/>
    <col min="14608" max="14608" width="13.83203125" style="109" customWidth="1"/>
    <col min="14609" max="14609" width="10.6640625" style="109" customWidth="1"/>
    <col min="14610" max="14610" width="12" style="109" customWidth="1"/>
    <col min="14611" max="14611" width="11.5" style="109" customWidth="1"/>
    <col min="14612" max="14612" width="16" style="109" customWidth="1"/>
    <col min="14613" max="14614" width="10.6640625" style="109" customWidth="1"/>
    <col min="14615" max="14615" width="15.5" style="109" customWidth="1"/>
    <col min="14616" max="14616" width="11.5" style="109" customWidth="1"/>
    <col min="14617" max="14617" width="12" style="109" customWidth="1"/>
    <col min="14618" max="14618" width="11.5" style="109" customWidth="1"/>
    <col min="14619" max="14619" width="12" style="109" customWidth="1"/>
    <col min="14620" max="14620" width="11.5" style="109" customWidth="1"/>
    <col min="14621" max="14621" width="12.83203125" style="109" customWidth="1"/>
    <col min="14622" max="14622" width="10.6640625" style="109" customWidth="1"/>
    <col min="14623" max="14623" width="19" style="109" customWidth="1"/>
    <col min="14624" max="14624" width="13.33203125" style="109" customWidth="1"/>
    <col min="14625" max="14625" width="18" style="109" customWidth="1"/>
    <col min="14626" max="14626" width="42.5" style="109" customWidth="1"/>
    <col min="14627" max="14627" width="31" style="109" customWidth="1"/>
    <col min="14628" max="14628" width="35" style="109" customWidth="1"/>
    <col min="14629" max="14629" width="31" style="109" customWidth="1"/>
    <col min="14630" max="14630" width="35" style="109" customWidth="1"/>
    <col min="14631" max="14631" width="31" style="109" customWidth="1"/>
    <col min="14632" max="14632" width="37.83203125" style="109" customWidth="1"/>
    <col min="14633" max="14633" width="11.5" style="109" customWidth="1"/>
    <col min="14634" max="14634" width="54" style="109" customWidth="1"/>
    <col min="14635" max="14635" width="43.5" style="109" customWidth="1"/>
    <col min="14636" max="14636" width="44.6640625" style="109" customWidth="1"/>
    <col min="14637" max="14846" width="6.33203125" style="109"/>
    <col min="14847" max="14848" width="2.1640625" style="109" customWidth="1"/>
    <col min="14849" max="14849" width="0" style="109" hidden="1" customWidth="1"/>
    <col min="14850" max="14852" width="12.83203125" style="109" customWidth="1"/>
    <col min="14853" max="14853" width="12" style="109" customWidth="1"/>
    <col min="14854" max="14854" width="12.33203125" style="109" customWidth="1"/>
    <col min="14855" max="14855" width="13.5" style="109" customWidth="1"/>
    <col min="14856" max="14856" width="0" style="109" hidden="1" customWidth="1"/>
    <col min="14857" max="14859" width="13" style="109" customWidth="1"/>
    <col min="14860" max="14860" width="14.83203125" style="109" customWidth="1"/>
    <col min="14861" max="14861" width="13.33203125" style="109" customWidth="1"/>
    <col min="14862" max="14862" width="13.5" style="109" customWidth="1"/>
    <col min="14863" max="14863" width="2.1640625" style="109" customWidth="1"/>
    <col min="14864" max="14864" width="13.83203125" style="109" customWidth="1"/>
    <col min="14865" max="14865" width="10.6640625" style="109" customWidth="1"/>
    <col min="14866" max="14866" width="12" style="109" customWidth="1"/>
    <col min="14867" max="14867" width="11.5" style="109" customWidth="1"/>
    <col min="14868" max="14868" width="16" style="109" customWidth="1"/>
    <col min="14869" max="14870" width="10.6640625" style="109" customWidth="1"/>
    <col min="14871" max="14871" width="15.5" style="109" customWidth="1"/>
    <col min="14872" max="14872" width="11.5" style="109" customWidth="1"/>
    <col min="14873" max="14873" width="12" style="109" customWidth="1"/>
    <col min="14874" max="14874" width="11.5" style="109" customWidth="1"/>
    <col min="14875" max="14875" width="12" style="109" customWidth="1"/>
    <col min="14876" max="14876" width="11.5" style="109" customWidth="1"/>
    <col min="14877" max="14877" width="12.83203125" style="109" customWidth="1"/>
    <col min="14878" max="14878" width="10.6640625" style="109" customWidth="1"/>
    <col min="14879" max="14879" width="19" style="109" customWidth="1"/>
    <col min="14880" max="14880" width="13.33203125" style="109" customWidth="1"/>
    <col min="14881" max="14881" width="18" style="109" customWidth="1"/>
    <col min="14882" max="14882" width="42.5" style="109" customWidth="1"/>
    <col min="14883" max="14883" width="31" style="109" customWidth="1"/>
    <col min="14884" max="14884" width="35" style="109" customWidth="1"/>
    <col min="14885" max="14885" width="31" style="109" customWidth="1"/>
    <col min="14886" max="14886" width="35" style="109" customWidth="1"/>
    <col min="14887" max="14887" width="31" style="109" customWidth="1"/>
    <col min="14888" max="14888" width="37.83203125" style="109" customWidth="1"/>
    <col min="14889" max="14889" width="11.5" style="109" customWidth="1"/>
    <col min="14890" max="14890" width="54" style="109" customWidth="1"/>
    <col min="14891" max="14891" width="43.5" style="109" customWidth="1"/>
    <col min="14892" max="14892" width="44.6640625" style="109" customWidth="1"/>
    <col min="14893" max="15102" width="6.33203125" style="109"/>
    <col min="15103" max="15104" width="2.1640625" style="109" customWidth="1"/>
    <col min="15105" max="15105" width="0" style="109" hidden="1" customWidth="1"/>
    <col min="15106" max="15108" width="12.83203125" style="109" customWidth="1"/>
    <col min="15109" max="15109" width="12" style="109" customWidth="1"/>
    <col min="15110" max="15110" width="12.33203125" style="109" customWidth="1"/>
    <col min="15111" max="15111" width="13.5" style="109" customWidth="1"/>
    <col min="15112" max="15112" width="0" style="109" hidden="1" customWidth="1"/>
    <col min="15113" max="15115" width="13" style="109" customWidth="1"/>
    <col min="15116" max="15116" width="14.83203125" style="109" customWidth="1"/>
    <col min="15117" max="15117" width="13.33203125" style="109" customWidth="1"/>
    <col min="15118" max="15118" width="13.5" style="109" customWidth="1"/>
    <col min="15119" max="15119" width="2.1640625" style="109" customWidth="1"/>
    <col min="15120" max="15120" width="13.83203125" style="109" customWidth="1"/>
    <col min="15121" max="15121" width="10.6640625" style="109" customWidth="1"/>
    <col min="15122" max="15122" width="12" style="109" customWidth="1"/>
    <col min="15123" max="15123" width="11.5" style="109" customWidth="1"/>
    <col min="15124" max="15124" width="16" style="109" customWidth="1"/>
    <col min="15125" max="15126" width="10.6640625" style="109" customWidth="1"/>
    <col min="15127" max="15127" width="15.5" style="109" customWidth="1"/>
    <col min="15128" max="15128" width="11.5" style="109" customWidth="1"/>
    <col min="15129" max="15129" width="12" style="109" customWidth="1"/>
    <col min="15130" max="15130" width="11.5" style="109" customWidth="1"/>
    <col min="15131" max="15131" width="12" style="109" customWidth="1"/>
    <col min="15132" max="15132" width="11.5" style="109" customWidth="1"/>
    <col min="15133" max="15133" width="12.83203125" style="109" customWidth="1"/>
    <col min="15134" max="15134" width="10.6640625" style="109" customWidth="1"/>
    <col min="15135" max="15135" width="19" style="109" customWidth="1"/>
    <col min="15136" max="15136" width="13.33203125" style="109" customWidth="1"/>
    <col min="15137" max="15137" width="18" style="109" customWidth="1"/>
    <col min="15138" max="15138" width="42.5" style="109" customWidth="1"/>
    <col min="15139" max="15139" width="31" style="109" customWidth="1"/>
    <col min="15140" max="15140" width="35" style="109" customWidth="1"/>
    <col min="15141" max="15141" width="31" style="109" customWidth="1"/>
    <col min="15142" max="15142" width="35" style="109" customWidth="1"/>
    <col min="15143" max="15143" width="31" style="109" customWidth="1"/>
    <col min="15144" max="15144" width="37.83203125" style="109" customWidth="1"/>
    <col min="15145" max="15145" width="11.5" style="109" customWidth="1"/>
    <col min="15146" max="15146" width="54" style="109" customWidth="1"/>
    <col min="15147" max="15147" width="43.5" style="109" customWidth="1"/>
    <col min="15148" max="15148" width="44.6640625" style="109" customWidth="1"/>
    <col min="15149" max="15358" width="6.33203125" style="109"/>
    <col min="15359" max="15360" width="2.1640625" style="109" customWidth="1"/>
    <col min="15361" max="15361" width="0" style="109" hidden="1" customWidth="1"/>
    <col min="15362" max="15364" width="12.83203125" style="109" customWidth="1"/>
    <col min="15365" max="15365" width="12" style="109" customWidth="1"/>
    <col min="15366" max="15366" width="12.33203125" style="109" customWidth="1"/>
    <col min="15367" max="15367" width="13.5" style="109" customWidth="1"/>
    <col min="15368" max="15368" width="0" style="109" hidden="1" customWidth="1"/>
    <col min="15369" max="15371" width="13" style="109" customWidth="1"/>
    <col min="15372" max="15372" width="14.83203125" style="109" customWidth="1"/>
    <col min="15373" max="15373" width="13.33203125" style="109" customWidth="1"/>
    <col min="15374" max="15374" width="13.5" style="109" customWidth="1"/>
    <col min="15375" max="15375" width="2.1640625" style="109" customWidth="1"/>
    <col min="15376" max="15376" width="13.83203125" style="109" customWidth="1"/>
    <col min="15377" max="15377" width="10.6640625" style="109" customWidth="1"/>
    <col min="15378" max="15378" width="12" style="109" customWidth="1"/>
    <col min="15379" max="15379" width="11.5" style="109" customWidth="1"/>
    <col min="15380" max="15380" width="16" style="109" customWidth="1"/>
    <col min="15381" max="15382" width="10.6640625" style="109" customWidth="1"/>
    <col min="15383" max="15383" width="15.5" style="109" customWidth="1"/>
    <col min="15384" max="15384" width="11.5" style="109" customWidth="1"/>
    <col min="15385" max="15385" width="12" style="109" customWidth="1"/>
    <col min="15386" max="15386" width="11.5" style="109" customWidth="1"/>
    <col min="15387" max="15387" width="12" style="109" customWidth="1"/>
    <col min="15388" max="15388" width="11.5" style="109" customWidth="1"/>
    <col min="15389" max="15389" width="12.83203125" style="109" customWidth="1"/>
    <col min="15390" max="15390" width="10.6640625" style="109" customWidth="1"/>
    <col min="15391" max="15391" width="19" style="109" customWidth="1"/>
    <col min="15392" max="15392" width="13.33203125" style="109" customWidth="1"/>
    <col min="15393" max="15393" width="18" style="109" customWidth="1"/>
    <col min="15394" max="15394" width="42.5" style="109" customWidth="1"/>
    <col min="15395" max="15395" width="31" style="109" customWidth="1"/>
    <col min="15396" max="15396" width="35" style="109" customWidth="1"/>
    <col min="15397" max="15397" width="31" style="109" customWidth="1"/>
    <col min="15398" max="15398" width="35" style="109" customWidth="1"/>
    <col min="15399" max="15399" width="31" style="109" customWidth="1"/>
    <col min="15400" max="15400" width="37.83203125" style="109" customWidth="1"/>
    <col min="15401" max="15401" width="11.5" style="109" customWidth="1"/>
    <col min="15402" max="15402" width="54" style="109" customWidth="1"/>
    <col min="15403" max="15403" width="43.5" style="109" customWidth="1"/>
    <col min="15404" max="15404" width="44.6640625" style="109" customWidth="1"/>
    <col min="15405" max="15614" width="6.33203125" style="109"/>
    <col min="15615" max="15616" width="2.1640625" style="109" customWidth="1"/>
    <col min="15617" max="15617" width="0" style="109" hidden="1" customWidth="1"/>
    <col min="15618" max="15620" width="12.83203125" style="109" customWidth="1"/>
    <col min="15621" max="15621" width="12" style="109" customWidth="1"/>
    <col min="15622" max="15622" width="12.33203125" style="109" customWidth="1"/>
    <col min="15623" max="15623" width="13.5" style="109" customWidth="1"/>
    <col min="15624" max="15624" width="0" style="109" hidden="1" customWidth="1"/>
    <col min="15625" max="15627" width="13" style="109" customWidth="1"/>
    <col min="15628" max="15628" width="14.83203125" style="109" customWidth="1"/>
    <col min="15629" max="15629" width="13.33203125" style="109" customWidth="1"/>
    <col min="15630" max="15630" width="13.5" style="109" customWidth="1"/>
    <col min="15631" max="15631" width="2.1640625" style="109" customWidth="1"/>
    <col min="15632" max="15632" width="13.83203125" style="109" customWidth="1"/>
    <col min="15633" max="15633" width="10.6640625" style="109" customWidth="1"/>
    <col min="15634" max="15634" width="12" style="109" customWidth="1"/>
    <col min="15635" max="15635" width="11.5" style="109" customWidth="1"/>
    <col min="15636" max="15636" width="16" style="109" customWidth="1"/>
    <col min="15637" max="15638" width="10.6640625" style="109" customWidth="1"/>
    <col min="15639" max="15639" width="15.5" style="109" customWidth="1"/>
    <col min="15640" max="15640" width="11.5" style="109" customWidth="1"/>
    <col min="15641" max="15641" width="12" style="109" customWidth="1"/>
    <col min="15642" max="15642" width="11.5" style="109" customWidth="1"/>
    <col min="15643" max="15643" width="12" style="109" customWidth="1"/>
    <col min="15644" max="15644" width="11.5" style="109" customWidth="1"/>
    <col min="15645" max="15645" width="12.83203125" style="109" customWidth="1"/>
    <col min="15646" max="15646" width="10.6640625" style="109" customWidth="1"/>
    <col min="15647" max="15647" width="19" style="109" customWidth="1"/>
    <col min="15648" max="15648" width="13.33203125" style="109" customWidth="1"/>
    <col min="15649" max="15649" width="18" style="109" customWidth="1"/>
    <col min="15650" max="15650" width="42.5" style="109" customWidth="1"/>
    <col min="15651" max="15651" width="31" style="109" customWidth="1"/>
    <col min="15652" max="15652" width="35" style="109" customWidth="1"/>
    <col min="15653" max="15653" width="31" style="109" customWidth="1"/>
    <col min="15654" max="15654" width="35" style="109" customWidth="1"/>
    <col min="15655" max="15655" width="31" style="109" customWidth="1"/>
    <col min="15656" max="15656" width="37.83203125" style="109" customWidth="1"/>
    <col min="15657" max="15657" width="11.5" style="109" customWidth="1"/>
    <col min="15658" max="15658" width="54" style="109" customWidth="1"/>
    <col min="15659" max="15659" width="43.5" style="109" customWidth="1"/>
    <col min="15660" max="15660" width="44.6640625" style="109" customWidth="1"/>
    <col min="15661" max="15870" width="6.33203125" style="109"/>
    <col min="15871" max="15872" width="2.1640625" style="109" customWidth="1"/>
    <col min="15873" max="15873" width="0" style="109" hidden="1" customWidth="1"/>
    <col min="15874" max="15876" width="12.83203125" style="109" customWidth="1"/>
    <col min="15877" max="15877" width="12" style="109" customWidth="1"/>
    <col min="15878" max="15878" width="12.33203125" style="109" customWidth="1"/>
    <col min="15879" max="15879" width="13.5" style="109" customWidth="1"/>
    <col min="15880" max="15880" width="0" style="109" hidden="1" customWidth="1"/>
    <col min="15881" max="15883" width="13" style="109" customWidth="1"/>
    <col min="15884" max="15884" width="14.83203125" style="109" customWidth="1"/>
    <col min="15885" max="15885" width="13.33203125" style="109" customWidth="1"/>
    <col min="15886" max="15886" width="13.5" style="109" customWidth="1"/>
    <col min="15887" max="15887" width="2.1640625" style="109" customWidth="1"/>
    <col min="15888" max="15888" width="13.83203125" style="109" customWidth="1"/>
    <col min="15889" max="15889" width="10.6640625" style="109" customWidth="1"/>
    <col min="15890" max="15890" width="12" style="109" customWidth="1"/>
    <col min="15891" max="15891" width="11.5" style="109" customWidth="1"/>
    <col min="15892" max="15892" width="16" style="109" customWidth="1"/>
    <col min="15893" max="15894" width="10.6640625" style="109" customWidth="1"/>
    <col min="15895" max="15895" width="15.5" style="109" customWidth="1"/>
    <col min="15896" max="15896" width="11.5" style="109" customWidth="1"/>
    <col min="15897" max="15897" width="12" style="109" customWidth="1"/>
    <col min="15898" max="15898" width="11.5" style="109" customWidth="1"/>
    <col min="15899" max="15899" width="12" style="109" customWidth="1"/>
    <col min="15900" max="15900" width="11.5" style="109" customWidth="1"/>
    <col min="15901" max="15901" width="12.83203125" style="109" customWidth="1"/>
    <col min="15902" max="15902" width="10.6640625" style="109" customWidth="1"/>
    <col min="15903" max="15903" width="19" style="109" customWidth="1"/>
    <col min="15904" max="15904" width="13.33203125" style="109" customWidth="1"/>
    <col min="15905" max="15905" width="18" style="109" customWidth="1"/>
    <col min="15906" max="15906" width="42.5" style="109" customWidth="1"/>
    <col min="15907" max="15907" width="31" style="109" customWidth="1"/>
    <col min="15908" max="15908" width="35" style="109" customWidth="1"/>
    <col min="15909" max="15909" width="31" style="109" customWidth="1"/>
    <col min="15910" max="15910" width="35" style="109" customWidth="1"/>
    <col min="15911" max="15911" width="31" style="109" customWidth="1"/>
    <col min="15912" max="15912" width="37.83203125" style="109" customWidth="1"/>
    <col min="15913" max="15913" width="11.5" style="109" customWidth="1"/>
    <col min="15914" max="15914" width="54" style="109" customWidth="1"/>
    <col min="15915" max="15915" width="43.5" style="109" customWidth="1"/>
    <col min="15916" max="15916" width="44.6640625" style="109" customWidth="1"/>
    <col min="15917" max="16126" width="6.33203125" style="109"/>
    <col min="16127" max="16128" width="2.1640625" style="109" customWidth="1"/>
    <col min="16129" max="16129" width="0" style="109" hidden="1" customWidth="1"/>
    <col min="16130" max="16132" width="12.83203125" style="109" customWidth="1"/>
    <col min="16133" max="16133" width="12" style="109" customWidth="1"/>
    <col min="16134" max="16134" width="12.33203125" style="109" customWidth="1"/>
    <col min="16135" max="16135" width="13.5" style="109" customWidth="1"/>
    <col min="16136" max="16136" width="0" style="109" hidden="1" customWidth="1"/>
    <col min="16137" max="16139" width="13" style="109" customWidth="1"/>
    <col min="16140" max="16140" width="14.83203125" style="109" customWidth="1"/>
    <col min="16141" max="16141" width="13.33203125" style="109" customWidth="1"/>
    <col min="16142" max="16142" width="13.5" style="109" customWidth="1"/>
    <col min="16143" max="16143" width="2.1640625" style="109" customWidth="1"/>
    <col min="16144" max="16144" width="13.83203125" style="109" customWidth="1"/>
    <col min="16145" max="16145" width="10.6640625" style="109" customWidth="1"/>
    <col min="16146" max="16146" width="12" style="109" customWidth="1"/>
    <col min="16147" max="16147" width="11.5" style="109" customWidth="1"/>
    <col min="16148" max="16148" width="16" style="109" customWidth="1"/>
    <col min="16149" max="16150" width="10.6640625" style="109" customWidth="1"/>
    <col min="16151" max="16151" width="15.5" style="109" customWidth="1"/>
    <col min="16152" max="16152" width="11.5" style="109" customWidth="1"/>
    <col min="16153" max="16153" width="12" style="109" customWidth="1"/>
    <col min="16154" max="16154" width="11.5" style="109" customWidth="1"/>
    <col min="16155" max="16155" width="12" style="109" customWidth="1"/>
    <col min="16156" max="16156" width="11.5" style="109" customWidth="1"/>
    <col min="16157" max="16157" width="12.83203125" style="109" customWidth="1"/>
    <col min="16158" max="16158" width="10.6640625" style="109" customWidth="1"/>
    <col min="16159" max="16159" width="19" style="109" customWidth="1"/>
    <col min="16160" max="16160" width="13.33203125" style="109" customWidth="1"/>
    <col min="16161" max="16161" width="18" style="109" customWidth="1"/>
    <col min="16162" max="16162" width="42.5" style="109" customWidth="1"/>
    <col min="16163" max="16163" width="31" style="109" customWidth="1"/>
    <col min="16164" max="16164" width="35" style="109" customWidth="1"/>
    <col min="16165" max="16165" width="31" style="109" customWidth="1"/>
    <col min="16166" max="16166" width="35" style="109" customWidth="1"/>
    <col min="16167" max="16167" width="31" style="109" customWidth="1"/>
    <col min="16168" max="16168" width="37.83203125" style="109" customWidth="1"/>
    <col min="16169" max="16169" width="11.5" style="109" customWidth="1"/>
    <col min="16170" max="16170" width="54" style="109" customWidth="1"/>
    <col min="16171" max="16171" width="43.5" style="109" customWidth="1"/>
    <col min="16172" max="16172" width="44.6640625" style="109" customWidth="1"/>
    <col min="16173" max="16384" width="6.33203125" style="109"/>
  </cols>
  <sheetData>
    <row r="1" spans="2:20" thickBot="1">
      <c r="B1" s="105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7"/>
      <c r="Q1" s="107"/>
      <c r="R1" s="108"/>
    </row>
    <row r="2" spans="2:20" ht="14">
      <c r="B2" s="110"/>
      <c r="C2" s="111"/>
      <c r="D2" s="302"/>
      <c r="E2" s="303"/>
      <c r="F2" s="308" t="s">
        <v>134</v>
      </c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9"/>
      <c r="R2" s="112"/>
    </row>
    <row r="3" spans="2:20" ht="14">
      <c r="B3" s="110"/>
      <c r="C3" s="111"/>
      <c r="D3" s="304"/>
      <c r="E3" s="305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1"/>
      <c r="R3" s="112"/>
    </row>
    <row r="4" spans="2:20" ht="14">
      <c r="B4" s="110"/>
      <c r="C4" s="111"/>
      <c r="D4" s="304"/>
      <c r="E4" s="305"/>
      <c r="F4" s="310" t="s">
        <v>135</v>
      </c>
      <c r="G4" s="310"/>
      <c r="H4" s="310"/>
      <c r="I4" s="310"/>
      <c r="J4" s="310"/>
      <c r="K4" s="310"/>
      <c r="L4" s="310"/>
      <c r="M4" s="310" t="s">
        <v>136</v>
      </c>
      <c r="N4" s="310"/>
      <c r="O4" s="310"/>
      <c r="P4" s="313" t="e">
        <f>+#REF!</f>
        <v>#REF!</v>
      </c>
      <c r="Q4" s="314"/>
      <c r="R4" s="112"/>
    </row>
    <row r="5" spans="2:20" thickBot="1">
      <c r="B5" s="110"/>
      <c r="C5" s="111"/>
      <c r="D5" s="306"/>
      <c r="E5" s="307"/>
      <c r="F5" s="312"/>
      <c r="G5" s="312"/>
      <c r="H5" s="312"/>
      <c r="I5" s="312"/>
      <c r="J5" s="312"/>
      <c r="K5" s="312"/>
      <c r="L5" s="312"/>
      <c r="M5" s="312"/>
      <c r="N5" s="312"/>
      <c r="O5" s="312"/>
      <c r="P5" s="315"/>
      <c r="Q5" s="316"/>
      <c r="R5" s="112"/>
    </row>
    <row r="6" spans="2:20" thickBot="1">
      <c r="B6" s="110"/>
      <c r="C6" s="111"/>
      <c r="D6" s="113"/>
      <c r="E6" s="113"/>
      <c r="F6" s="113"/>
      <c r="G6" s="113"/>
      <c r="H6" s="113"/>
      <c r="I6" s="113"/>
      <c r="J6" s="113"/>
      <c r="K6" s="113"/>
      <c r="L6" s="113"/>
      <c r="M6" s="114"/>
      <c r="N6" s="114"/>
      <c r="O6" s="111"/>
      <c r="R6" s="112"/>
    </row>
    <row r="7" spans="2:20" ht="14">
      <c r="B7" s="115"/>
      <c r="C7" s="116"/>
      <c r="D7" s="294"/>
      <c r="E7" s="295"/>
      <c r="F7" s="295"/>
      <c r="G7" s="117" t="s">
        <v>137</v>
      </c>
      <c r="H7" s="117" t="s">
        <v>137</v>
      </c>
      <c r="I7" s="117" t="s">
        <v>138</v>
      </c>
      <c r="J7" s="118" t="s">
        <v>139</v>
      </c>
      <c r="K7" s="298"/>
      <c r="L7" s="299"/>
      <c r="M7" s="299"/>
      <c r="N7" s="117" t="s">
        <v>137</v>
      </c>
      <c r="O7" s="117" t="s">
        <v>137</v>
      </c>
      <c r="P7" s="117" t="s">
        <v>138</v>
      </c>
      <c r="Q7" s="117" t="s">
        <v>139</v>
      </c>
      <c r="R7" s="112"/>
    </row>
    <row r="8" spans="2:20" thickBot="1">
      <c r="B8" s="115"/>
      <c r="C8" s="116"/>
      <c r="D8" s="296"/>
      <c r="E8" s="297"/>
      <c r="F8" s="297"/>
      <c r="G8" s="119" t="s">
        <v>2</v>
      </c>
      <c r="H8" s="119" t="s">
        <v>60</v>
      </c>
      <c r="I8" s="119" t="s">
        <v>140</v>
      </c>
      <c r="J8" s="120" t="s">
        <v>4</v>
      </c>
      <c r="K8" s="300"/>
      <c r="L8" s="301"/>
      <c r="M8" s="301"/>
      <c r="N8" s="119" t="s">
        <v>2</v>
      </c>
      <c r="O8" s="119" t="s">
        <v>60</v>
      </c>
      <c r="P8" s="119" t="s">
        <v>140</v>
      </c>
      <c r="Q8" s="119" t="s">
        <v>4</v>
      </c>
      <c r="R8" s="112"/>
    </row>
    <row r="9" spans="2:20" ht="14">
      <c r="B9" s="115"/>
      <c r="C9" s="116"/>
      <c r="D9" s="280" t="s">
        <v>117</v>
      </c>
      <c r="E9" s="281"/>
      <c r="F9" s="281"/>
      <c r="G9" s="281"/>
      <c r="H9" s="281"/>
      <c r="I9" s="281"/>
      <c r="J9" s="282"/>
      <c r="K9" s="293" t="s">
        <v>141</v>
      </c>
      <c r="L9" s="281"/>
      <c r="M9" s="281"/>
      <c r="N9" s="281"/>
      <c r="O9" s="281"/>
      <c r="P9" s="281"/>
      <c r="Q9" s="282"/>
      <c r="R9" s="112"/>
    </row>
    <row r="10" spans="2:20" ht="14">
      <c r="B10" s="115"/>
      <c r="C10" s="116" t="s">
        <v>142</v>
      </c>
      <c r="D10" s="260" t="s">
        <v>198</v>
      </c>
      <c r="E10" s="261"/>
      <c r="F10" s="262"/>
      <c r="G10" s="121"/>
      <c r="H10" s="121">
        <f>+Utilidad!M40</f>
        <v>635936.20200000005</v>
      </c>
      <c r="I10" s="122">
        <f>+Utilidad!N40</f>
        <v>0.53950295786000002</v>
      </c>
      <c r="J10" s="123">
        <f>+H10*I10</f>
        <v>343089.46198925452</v>
      </c>
      <c r="K10" s="261" t="s">
        <v>143</v>
      </c>
      <c r="L10" s="261"/>
      <c r="M10" s="261"/>
      <c r="N10" s="121"/>
      <c r="O10" s="121">
        <f>+Utilidad!M52</f>
        <v>519665.78352</v>
      </c>
      <c r="P10" s="122">
        <f>+Utilidad!N52</f>
        <v>0.60820495416999998</v>
      </c>
      <c r="Q10" s="123">
        <f>+O10*P10</f>
        <v>316063.30404949875</v>
      </c>
      <c r="R10" s="112"/>
      <c r="T10" s="109" t="s">
        <v>15</v>
      </c>
    </row>
    <row r="11" spans="2:20" ht="14">
      <c r="B11" s="115"/>
      <c r="C11" s="116"/>
      <c r="D11" s="260" t="s">
        <v>145</v>
      </c>
      <c r="E11" s="261"/>
      <c r="F11" s="262"/>
      <c r="G11" s="121"/>
      <c r="H11" s="121">
        <f>+Utilidad!M58</f>
        <v>154071.19020000001</v>
      </c>
      <c r="I11" s="122">
        <f>+Utilidad!N58</f>
        <v>0.19973110504</v>
      </c>
      <c r="J11" s="123">
        <f>+H11*I11</f>
        <v>30772.809073474022</v>
      </c>
      <c r="K11" s="261" t="s">
        <v>144</v>
      </c>
      <c r="L11" s="261"/>
      <c r="M11" s="261"/>
      <c r="N11" s="121">
        <v>0</v>
      </c>
      <c r="O11" s="121">
        <v>0</v>
      </c>
      <c r="P11" s="124">
        <v>0</v>
      </c>
      <c r="Q11" s="123">
        <v>0</v>
      </c>
      <c r="R11" s="112"/>
    </row>
    <row r="12" spans="2:20" thickBot="1">
      <c r="B12" s="115"/>
      <c r="C12" s="116"/>
      <c r="D12" s="260"/>
      <c r="E12" s="261"/>
      <c r="F12" s="262"/>
      <c r="G12" s="121"/>
      <c r="H12" s="121"/>
      <c r="I12" s="122"/>
      <c r="J12" s="123"/>
      <c r="K12" s="261" t="s">
        <v>197</v>
      </c>
      <c r="L12" s="261"/>
      <c r="M12" s="261"/>
      <c r="N12" s="121"/>
      <c r="O12" s="121"/>
      <c r="P12" s="122"/>
      <c r="Q12" s="123"/>
      <c r="R12" s="112"/>
    </row>
    <row r="13" spans="2:20" thickBot="1">
      <c r="B13" s="115"/>
      <c r="C13" s="116" t="s">
        <v>146</v>
      </c>
      <c r="D13" s="276" t="s">
        <v>147</v>
      </c>
      <c r="E13" s="277"/>
      <c r="F13" s="277"/>
      <c r="G13" s="125"/>
      <c r="H13" s="126"/>
      <c r="I13" s="127"/>
      <c r="J13" s="128"/>
      <c r="K13" s="291" t="s">
        <v>147</v>
      </c>
      <c r="L13" s="292"/>
      <c r="M13" s="292"/>
      <c r="N13" s="126">
        <f>SUM(N10:N12)</f>
        <v>0</v>
      </c>
      <c r="O13" s="126">
        <f>SUM(O10:O12)</f>
        <v>519665.78352</v>
      </c>
      <c r="P13" s="195">
        <f>+Q13/O13</f>
        <v>0.60820495416999998</v>
      </c>
      <c r="Q13" s="126">
        <f>SUM(Q10:Q12)</f>
        <v>316063.30404949875</v>
      </c>
      <c r="R13" s="112"/>
    </row>
    <row r="14" spans="2:20" thickBot="1">
      <c r="B14" s="115"/>
      <c r="C14" s="116"/>
      <c r="D14" s="280" t="s">
        <v>148</v>
      </c>
      <c r="E14" s="281"/>
      <c r="F14" s="281"/>
      <c r="G14" s="281"/>
      <c r="H14" s="281"/>
      <c r="I14" s="281"/>
      <c r="J14" s="282"/>
      <c r="K14" s="284" t="s">
        <v>151</v>
      </c>
      <c r="L14" s="285"/>
      <c r="M14" s="285"/>
      <c r="N14" s="285"/>
      <c r="O14" s="285"/>
      <c r="P14" s="285"/>
      <c r="Q14" s="286"/>
      <c r="R14" s="112"/>
    </row>
    <row r="15" spans="2:20" thickBot="1">
      <c r="B15" s="115"/>
      <c r="C15" s="116"/>
      <c r="D15" s="260" t="s">
        <v>149</v>
      </c>
      <c r="E15" s="261"/>
      <c r="F15" s="262"/>
      <c r="G15" s="121"/>
      <c r="H15" s="121"/>
      <c r="I15" s="129"/>
      <c r="J15" s="173"/>
      <c r="K15" s="287" t="s">
        <v>153</v>
      </c>
      <c r="L15" s="288"/>
      <c r="M15" s="289"/>
      <c r="N15" s="121"/>
      <c r="O15" s="121">
        <f>+'Diag Proc Los Colorados'!S28</f>
        <v>129854.1048</v>
      </c>
      <c r="P15" s="122">
        <f>+'Diag Proc Los Colorados'!S29</f>
        <v>0.14616000000000001</v>
      </c>
      <c r="Q15" s="123">
        <f>+'Diag Proc Los Colorados'!S30</f>
        <v>18979.475957568</v>
      </c>
      <c r="R15" s="112"/>
    </row>
    <row r="16" spans="2:20" thickBot="1">
      <c r="B16" s="115"/>
      <c r="C16" s="116"/>
      <c r="D16" s="260" t="s">
        <v>150</v>
      </c>
      <c r="E16" s="261"/>
      <c r="F16" s="262"/>
      <c r="G16" s="121"/>
      <c r="H16" s="121"/>
      <c r="I16" s="129"/>
      <c r="J16" s="173"/>
      <c r="K16" s="276" t="s">
        <v>147</v>
      </c>
      <c r="L16" s="277"/>
      <c r="M16" s="277"/>
      <c r="N16" s="125"/>
      <c r="O16" s="125">
        <f>SUM(O15)</f>
        <v>129854.1048</v>
      </c>
      <c r="P16" s="192">
        <f>+P15</f>
        <v>0.14616000000000001</v>
      </c>
      <c r="Q16" s="125">
        <f>SUM(Q15)</f>
        <v>18979.475957568</v>
      </c>
      <c r="R16" s="112"/>
    </row>
    <row r="17" spans="2:19" ht="14">
      <c r="B17" s="115"/>
      <c r="C17" s="116"/>
      <c r="D17" s="260" t="s">
        <v>175</v>
      </c>
      <c r="E17" s="261"/>
      <c r="F17" s="262"/>
      <c r="G17" s="121"/>
      <c r="H17" s="121"/>
      <c r="I17" s="122"/>
      <c r="J17" s="173"/>
      <c r="R17" s="112"/>
    </row>
    <row r="18" spans="2:19" ht="14">
      <c r="B18" s="115"/>
      <c r="C18" s="116"/>
      <c r="D18" s="260" t="s">
        <v>152</v>
      </c>
      <c r="E18" s="261"/>
      <c r="F18" s="262"/>
      <c r="G18" s="130"/>
      <c r="H18" s="121"/>
      <c r="I18" s="129"/>
      <c r="J18" s="173"/>
      <c r="N18" s="217"/>
      <c r="R18" s="112"/>
    </row>
    <row r="19" spans="2:19" ht="14">
      <c r="B19" s="115"/>
      <c r="C19" s="116"/>
      <c r="D19" s="131" t="s">
        <v>154</v>
      </c>
      <c r="E19" s="132"/>
      <c r="F19" s="133"/>
      <c r="G19" s="130"/>
      <c r="H19" s="121"/>
      <c r="I19" s="129"/>
      <c r="J19" s="173"/>
      <c r="N19" s="217"/>
      <c r="R19" s="112"/>
    </row>
    <row r="20" spans="2:19" ht="14">
      <c r="B20" s="115"/>
      <c r="C20" s="116"/>
      <c r="D20" s="260" t="s">
        <v>176</v>
      </c>
      <c r="E20" s="261"/>
      <c r="F20" s="262"/>
      <c r="G20" s="130"/>
      <c r="H20" s="121"/>
      <c r="I20" s="129"/>
      <c r="J20" s="173"/>
      <c r="K20" s="290"/>
      <c r="L20" s="290"/>
      <c r="M20" s="290"/>
      <c r="N20" s="134"/>
      <c r="O20" s="135"/>
      <c r="P20" s="136"/>
      <c r="Q20" s="135"/>
      <c r="R20" s="112"/>
    </row>
    <row r="21" spans="2:19" ht="14">
      <c r="B21" s="115"/>
      <c r="C21" s="116"/>
      <c r="D21" s="260" t="s">
        <v>155</v>
      </c>
      <c r="E21" s="261"/>
      <c r="F21" s="262"/>
      <c r="G21" s="130"/>
      <c r="H21" s="121"/>
      <c r="I21" s="129"/>
      <c r="J21" s="173"/>
      <c r="K21" s="137"/>
      <c r="L21" s="138">
        <v>24218.02472961368</v>
      </c>
      <c r="M21" s="138">
        <v>66344</v>
      </c>
      <c r="N21" s="137"/>
      <c r="O21" s="139">
        <v>2100.8662841167534</v>
      </c>
      <c r="P21" s="136"/>
      <c r="Q21" s="135"/>
      <c r="R21" s="112"/>
      <c r="S21" s="140"/>
    </row>
    <row r="22" spans="2:19" thickBot="1">
      <c r="B22" s="115"/>
      <c r="C22" s="116"/>
      <c r="D22" s="131" t="s">
        <v>156</v>
      </c>
      <c r="E22" s="132"/>
      <c r="F22" s="133"/>
      <c r="G22" s="130"/>
      <c r="H22" s="121"/>
      <c r="I22" s="129"/>
      <c r="J22" s="173"/>
      <c r="K22" s="274"/>
      <c r="L22" s="275"/>
      <c r="M22" s="275"/>
      <c r="N22" s="141"/>
      <c r="O22" s="139">
        <v>2100.8662841167534</v>
      </c>
      <c r="P22" s="136"/>
      <c r="Q22" s="135"/>
      <c r="R22" s="112"/>
    </row>
    <row r="23" spans="2:19" thickBot="1">
      <c r="B23" s="115"/>
      <c r="C23" s="116"/>
      <c r="D23" s="276" t="s">
        <v>147</v>
      </c>
      <c r="E23" s="277"/>
      <c r="F23" s="277"/>
      <c r="G23" s="125">
        <f>+SUM(G15:G22)</f>
        <v>0</v>
      </c>
      <c r="H23" s="125">
        <f>+SUM(H15:H22)</f>
        <v>0</v>
      </c>
      <c r="I23" s="192" t="e">
        <f>+J23/H23</f>
        <v>#DIV/0!</v>
      </c>
      <c r="J23" s="125">
        <f>+SUM(J15:J22)</f>
        <v>0</v>
      </c>
      <c r="K23" s="278"/>
      <c r="L23" s="278"/>
      <c r="M23" s="278"/>
      <c r="N23" s="142">
        <v>471219.05500982143</v>
      </c>
      <c r="O23" s="139">
        <v>2100.8662841167534</v>
      </c>
      <c r="P23" s="143"/>
      <c r="Q23" s="144"/>
      <c r="R23" s="112"/>
      <c r="S23" s="145"/>
    </row>
    <row r="24" spans="2:19" thickBot="1">
      <c r="B24" s="115"/>
      <c r="C24" s="116"/>
      <c r="D24" s="279"/>
      <c r="E24" s="279"/>
      <c r="F24" s="279"/>
      <c r="G24" s="146"/>
      <c r="H24" s="144"/>
      <c r="I24" s="143"/>
      <c r="J24" s="144"/>
      <c r="K24" s="147"/>
      <c r="L24" s="147"/>
      <c r="M24" s="147"/>
      <c r="N24" s="147"/>
      <c r="O24" s="147"/>
      <c r="R24" s="112"/>
    </row>
    <row r="25" spans="2:19" hidden="1" thickBot="1">
      <c r="B25" s="115"/>
      <c r="C25" s="116"/>
      <c r="D25" s="280" t="s">
        <v>157</v>
      </c>
      <c r="E25" s="281"/>
      <c r="F25" s="281"/>
      <c r="G25" s="281"/>
      <c r="H25" s="281"/>
      <c r="I25" s="281"/>
      <c r="J25" s="282"/>
      <c r="K25" s="283"/>
      <c r="L25" s="283"/>
      <c r="M25" s="283"/>
      <c r="N25" s="283"/>
      <c r="O25" s="283"/>
      <c r="P25" s="283"/>
      <c r="Q25" s="283"/>
      <c r="R25" s="148"/>
    </row>
    <row r="26" spans="2:19" hidden="1" thickBot="1">
      <c r="B26" s="115"/>
      <c r="C26" s="116" t="s">
        <v>158</v>
      </c>
      <c r="D26" s="260" t="s">
        <v>159</v>
      </c>
      <c r="E26" s="261"/>
      <c r="F26" s="262"/>
      <c r="G26" s="149"/>
      <c r="H26" s="121"/>
      <c r="I26" s="124"/>
      <c r="J26" s="123"/>
      <c r="K26" s="263"/>
      <c r="L26" s="263"/>
      <c r="M26" s="263"/>
      <c r="N26" s="150"/>
      <c r="O26" s="151"/>
      <c r="P26" s="152"/>
      <c r="Q26" s="151"/>
      <c r="R26" s="112"/>
    </row>
    <row r="27" spans="2:19" hidden="1" thickBot="1">
      <c r="B27" s="115"/>
      <c r="C27" s="116"/>
      <c r="D27" s="260" t="s">
        <v>160</v>
      </c>
      <c r="E27" s="261"/>
      <c r="F27" s="262"/>
      <c r="G27" s="149"/>
      <c r="H27" s="121"/>
      <c r="I27" s="153"/>
      <c r="J27" s="123"/>
      <c r="K27" s="150"/>
      <c r="L27" s="150"/>
      <c r="M27" s="150"/>
      <c r="N27" s="150"/>
      <c r="O27" s="151"/>
      <c r="P27" s="152"/>
      <c r="Q27" s="151"/>
      <c r="R27" s="112"/>
    </row>
    <row r="28" spans="2:19" hidden="1" thickBot="1">
      <c r="B28" s="115"/>
      <c r="C28" s="116"/>
      <c r="D28" s="260" t="s">
        <v>161</v>
      </c>
      <c r="E28" s="261"/>
      <c r="F28" s="262"/>
      <c r="G28" s="149"/>
      <c r="H28" s="121"/>
      <c r="I28" s="153"/>
      <c r="J28" s="123"/>
      <c r="K28" s="263"/>
      <c r="L28" s="263"/>
      <c r="M28" s="263"/>
      <c r="N28" s="150"/>
      <c r="O28" s="151"/>
      <c r="P28" s="152"/>
      <c r="Q28" s="151"/>
      <c r="R28" s="112"/>
    </row>
    <row r="29" spans="2:19" hidden="1" thickBot="1">
      <c r="B29" s="115"/>
      <c r="C29" s="116"/>
      <c r="D29" s="256" t="s">
        <v>162</v>
      </c>
      <c r="E29" s="257"/>
      <c r="F29" s="258"/>
      <c r="G29" s="149"/>
      <c r="H29" s="121"/>
      <c r="I29" s="153"/>
      <c r="J29" s="123"/>
      <c r="K29" s="259"/>
      <c r="L29" s="259"/>
      <c r="M29" s="259"/>
      <c r="N29" s="154"/>
      <c r="O29" s="151"/>
      <c r="P29" s="152"/>
      <c r="Q29" s="151"/>
      <c r="R29" s="112"/>
    </row>
    <row r="30" spans="2:19" hidden="1" thickBot="1">
      <c r="B30" s="115"/>
      <c r="C30" s="116"/>
      <c r="D30" s="256" t="s">
        <v>163</v>
      </c>
      <c r="E30" s="257"/>
      <c r="F30" s="258"/>
      <c r="G30" s="149"/>
      <c r="H30" s="121"/>
      <c r="I30" s="153"/>
      <c r="J30" s="123"/>
      <c r="K30" s="259"/>
      <c r="L30" s="259"/>
      <c r="M30" s="259"/>
      <c r="N30" s="154"/>
      <c r="O30" s="151"/>
      <c r="P30" s="152"/>
      <c r="Q30" s="151"/>
      <c r="R30" s="112"/>
    </row>
    <row r="31" spans="2:19" hidden="1" thickBot="1">
      <c r="B31" s="115"/>
      <c r="C31" s="116"/>
      <c r="D31" s="260" t="s">
        <v>164</v>
      </c>
      <c r="E31" s="261"/>
      <c r="F31" s="262"/>
      <c r="G31" s="149"/>
      <c r="H31" s="155"/>
      <c r="I31" s="153"/>
      <c r="J31" s="123"/>
      <c r="K31" s="263"/>
      <c r="L31" s="263"/>
      <c r="M31" s="263"/>
      <c r="N31" s="150"/>
      <c r="O31" s="151"/>
      <c r="P31" s="152"/>
      <c r="Q31" s="151"/>
      <c r="R31" s="112"/>
    </row>
    <row r="32" spans="2:19" hidden="1" thickBot="1">
      <c r="B32" s="115"/>
      <c r="C32" s="116"/>
      <c r="D32" s="264" t="s">
        <v>147</v>
      </c>
      <c r="E32" s="265"/>
      <c r="F32" s="265"/>
      <c r="G32" s="125"/>
      <c r="H32" s="125"/>
      <c r="I32" s="156"/>
      <c r="J32" s="128"/>
      <c r="K32" s="266"/>
      <c r="L32" s="266"/>
      <c r="M32" s="266"/>
      <c r="N32" s="157"/>
      <c r="O32" s="158"/>
      <c r="P32" s="159"/>
      <c r="Q32" s="158"/>
      <c r="R32" s="112"/>
    </row>
    <row r="33" spans="2:18" hidden="1" thickBot="1">
      <c r="B33" s="115"/>
      <c r="D33" s="160"/>
      <c r="I33" s="161"/>
      <c r="J33" s="162"/>
      <c r="K33" s="161"/>
      <c r="L33" s="163"/>
      <c r="M33" s="161"/>
      <c r="N33" s="161"/>
      <c r="P33" s="164"/>
      <c r="R33" s="112"/>
    </row>
    <row r="34" spans="2:18" thickBot="1">
      <c r="B34" s="115"/>
      <c r="D34" s="267" t="s">
        <v>165</v>
      </c>
      <c r="E34" s="268"/>
      <c r="F34" s="268"/>
      <c r="G34" s="268"/>
      <c r="H34" s="268"/>
      <c r="I34" s="268"/>
      <c r="J34" s="268"/>
      <c r="K34" s="268"/>
      <c r="L34" s="268"/>
      <c r="M34" s="268"/>
      <c r="N34" s="268"/>
      <c r="O34" s="268"/>
      <c r="P34" s="268"/>
      <c r="Q34" s="269"/>
      <c r="R34" s="112"/>
    </row>
    <row r="35" spans="2:18" thickBot="1">
      <c r="B35" s="115"/>
      <c r="R35" s="112"/>
    </row>
    <row r="36" spans="2:18" thickBot="1">
      <c r="B36" s="115"/>
      <c r="D36" s="270" t="s">
        <v>166</v>
      </c>
      <c r="E36" s="271"/>
      <c r="F36" s="272"/>
      <c r="G36" s="165"/>
      <c r="H36" s="273"/>
      <c r="I36" s="273"/>
      <c r="K36" s="270" t="s">
        <v>167</v>
      </c>
      <c r="L36" s="271"/>
      <c r="M36" s="272"/>
      <c r="N36" s="165"/>
      <c r="O36" s="273"/>
      <c r="P36" s="273"/>
      <c r="R36" s="112"/>
    </row>
    <row r="37" spans="2:18" ht="14">
      <c r="B37" s="115"/>
      <c r="D37" s="250">
        <f>+'Diag Proc Los Colorados'!Q54</f>
        <v>0.82778572621212965</v>
      </c>
      <c r="E37" s="251"/>
      <c r="F37" s="252"/>
      <c r="G37" s="166"/>
      <c r="H37" s="167"/>
      <c r="I37" s="167"/>
      <c r="K37" s="250">
        <f>+'Diag Proc Los Colorados'!Q55</f>
        <v>0.93319855310983524</v>
      </c>
      <c r="L37" s="251"/>
      <c r="M37" s="252"/>
      <c r="N37" s="166"/>
      <c r="O37" s="167"/>
      <c r="P37" s="167"/>
      <c r="R37" s="112"/>
    </row>
    <row r="38" spans="2:18" thickBot="1">
      <c r="B38" s="115"/>
      <c r="D38" s="253"/>
      <c r="E38" s="254"/>
      <c r="F38" s="255"/>
      <c r="G38" s="166"/>
      <c r="H38" s="168"/>
      <c r="I38" s="169"/>
      <c r="K38" s="253"/>
      <c r="L38" s="254"/>
      <c r="M38" s="255"/>
      <c r="N38" s="166"/>
      <c r="O38" s="168"/>
      <c r="P38" s="169"/>
      <c r="R38" s="112"/>
    </row>
    <row r="39" spans="2:18" ht="14">
      <c r="B39" s="115"/>
      <c r="D39" s="170"/>
      <c r="E39" s="170"/>
      <c r="F39" s="170"/>
      <c r="G39" s="166"/>
      <c r="H39" s="168"/>
      <c r="I39" s="169"/>
      <c r="K39" s="170"/>
      <c r="L39" s="170"/>
      <c r="M39" s="170"/>
      <c r="N39" s="166"/>
      <c r="O39" s="168"/>
      <c r="P39" s="169"/>
      <c r="R39" s="112"/>
    </row>
    <row r="40" spans="2:18" thickBot="1">
      <c r="B40" s="171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72"/>
    </row>
  </sheetData>
  <mergeCells count="54">
    <mergeCell ref="D7:F8"/>
    <mergeCell ref="K7:M8"/>
    <mergeCell ref="D2:E5"/>
    <mergeCell ref="F2:Q3"/>
    <mergeCell ref="F4:L5"/>
    <mergeCell ref="M4:O5"/>
    <mergeCell ref="P4:Q5"/>
    <mergeCell ref="D9:J9"/>
    <mergeCell ref="K9:Q9"/>
    <mergeCell ref="D10:F10"/>
    <mergeCell ref="K10:M10"/>
    <mergeCell ref="K11:M11"/>
    <mergeCell ref="D11:F11"/>
    <mergeCell ref="K12:M12"/>
    <mergeCell ref="D13:F13"/>
    <mergeCell ref="K13:M13"/>
    <mergeCell ref="D14:J14"/>
    <mergeCell ref="D12:F12"/>
    <mergeCell ref="D21:F21"/>
    <mergeCell ref="D15:F15"/>
    <mergeCell ref="D16:F16"/>
    <mergeCell ref="D17:F17"/>
    <mergeCell ref="K14:Q14"/>
    <mergeCell ref="D18:F18"/>
    <mergeCell ref="K15:M15"/>
    <mergeCell ref="K16:M16"/>
    <mergeCell ref="D20:F20"/>
    <mergeCell ref="K20:M20"/>
    <mergeCell ref="D29:F29"/>
    <mergeCell ref="K29:M29"/>
    <mergeCell ref="K22:M22"/>
    <mergeCell ref="D23:F23"/>
    <mergeCell ref="K23:M23"/>
    <mergeCell ref="D24:F24"/>
    <mergeCell ref="D25:J25"/>
    <mergeCell ref="K25:Q25"/>
    <mergeCell ref="D26:F26"/>
    <mergeCell ref="K26:M26"/>
    <mergeCell ref="D27:F27"/>
    <mergeCell ref="D28:F28"/>
    <mergeCell ref="K28:M28"/>
    <mergeCell ref="D37:F38"/>
    <mergeCell ref="K37:M38"/>
    <mergeCell ref="D30:F30"/>
    <mergeCell ref="K30:M30"/>
    <mergeCell ref="D31:F31"/>
    <mergeCell ref="K31:M31"/>
    <mergeCell ref="D32:F32"/>
    <mergeCell ref="K32:M32"/>
    <mergeCell ref="D34:Q34"/>
    <mergeCell ref="D36:F36"/>
    <mergeCell ref="H36:I36"/>
    <mergeCell ref="K36:M36"/>
    <mergeCell ref="O36:P36"/>
  </mergeCells>
  <pageMargins left="0.11811023622047245" right="0.11811023622047245" top="0.74803149606299213" bottom="0.74803149606299213" header="0.31496062992125984" footer="0.31496062992125984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BS159"/>
  <sheetViews>
    <sheetView zoomScale="90" zoomScaleNormal="90" workbookViewId="0">
      <selection activeCell="B33" sqref="A1:B33"/>
    </sheetView>
  </sheetViews>
  <sheetFormatPr baseColWidth="10" defaultColWidth="24.83203125" defaultRowHeight="15" outlineLevelRow="1" outlineLevelCol="1"/>
  <cols>
    <col min="1" max="6" width="24.83203125" customWidth="1" outlineLevel="1"/>
  </cols>
  <sheetData>
    <row r="1" spans="1:71" outlineLevel="1">
      <c r="A1" s="242">
        <v>635936.20200000005</v>
      </c>
      <c r="B1" s="247">
        <v>0.53950295786000002</v>
      </c>
      <c r="C1" s="237"/>
      <c r="D1" s="30"/>
      <c r="E1" s="30"/>
      <c r="F1" s="30"/>
      <c r="G1" s="30"/>
      <c r="H1" s="242"/>
      <c r="I1" s="242"/>
      <c r="J1" s="242"/>
      <c r="K1" s="242"/>
      <c r="L1" s="242"/>
      <c r="M1" s="242"/>
      <c r="N1" s="242"/>
      <c r="O1" s="242"/>
      <c r="P1" s="242"/>
      <c r="Q1" s="30"/>
      <c r="R1" s="30"/>
      <c r="S1" s="30"/>
      <c r="T1" s="30"/>
      <c r="U1" s="30"/>
      <c r="V1" s="30"/>
      <c r="W1" s="30"/>
      <c r="X1" s="30"/>
      <c r="Y1" s="30"/>
      <c r="Z1" s="45">
        <f>+'Diag Proc Los Colorados'!S8</f>
        <v>51525.062000000034</v>
      </c>
      <c r="AA1" s="30"/>
      <c r="AB1" s="30"/>
      <c r="AC1" s="30"/>
      <c r="AD1" s="30"/>
      <c r="AE1" s="30"/>
      <c r="AF1" s="30"/>
      <c r="AG1" s="30"/>
      <c r="AH1" s="30"/>
      <c r="AI1" s="30"/>
      <c r="AJ1" s="30"/>
    </row>
    <row r="2" spans="1:71" outlineLevel="1">
      <c r="A2" s="242">
        <v>0</v>
      </c>
      <c r="B2" s="247">
        <v>0</v>
      </c>
      <c r="C2" s="237"/>
      <c r="D2" s="30"/>
      <c r="E2" s="30"/>
      <c r="F2" s="30"/>
      <c r="G2" s="30"/>
      <c r="H2" s="242"/>
      <c r="I2" s="242"/>
      <c r="J2" s="242"/>
      <c r="K2" s="242"/>
      <c r="L2" s="242"/>
      <c r="M2" s="242"/>
      <c r="N2" s="242"/>
      <c r="O2" s="242"/>
      <c r="P2" s="242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spans="1:71" s="2" customFormat="1" ht="51" customHeight="1" outlineLevel="1">
      <c r="A3" s="242">
        <v>21556.786400000001</v>
      </c>
      <c r="B3" s="247">
        <v>0.63023373883</v>
      </c>
      <c r="C3" s="237"/>
      <c r="H3" s="243"/>
      <c r="I3" s="222"/>
      <c r="J3" s="223"/>
      <c r="K3" s="223"/>
      <c r="L3" s="223"/>
      <c r="M3" s="223"/>
      <c r="N3" s="223"/>
      <c r="O3" s="223"/>
      <c r="P3" s="223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25"/>
      <c r="AJ3" s="225"/>
      <c r="AK3" s="223"/>
      <c r="AL3" s="223"/>
      <c r="AM3" s="223"/>
      <c r="AN3" s="223"/>
      <c r="AO3" s="223"/>
      <c r="AP3" s="223"/>
      <c r="AQ3" s="223"/>
      <c r="AR3" s="223"/>
      <c r="AS3" s="223"/>
      <c r="AT3" s="223"/>
      <c r="AU3" s="223"/>
      <c r="AV3" s="222"/>
      <c r="AW3" s="222"/>
    </row>
    <row r="4" spans="1:71" outlineLevel="1">
      <c r="A4" s="242">
        <v>-21556.786400000001</v>
      </c>
      <c r="B4" s="247">
        <v>0.63023373883</v>
      </c>
      <c r="C4" s="237"/>
      <c r="D4" s="30"/>
      <c r="E4" s="30"/>
      <c r="F4" s="30"/>
      <c r="G4" s="238"/>
      <c r="H4" s="242"/>
      <c r="I4" s="218"/>
      <c r="J4" s="218"/>
      <c r="K4" s="218"/>
      <c r="L4" s="218"/>
      <c r="M4" s="218"/>
      <c r="N4" s="218"/>
      <c r="O4" s="218"/>
      <c r="P4" s="218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226"/>
      <c r="AC4" s="226"/>
      <c r="AD4" s="226"/>
      <c r="AE4" s="226"/>
      <c r="AF4" s="226"/>
      <c r="AG4" s="226"/>
      <c r="AH4" s="226"/>
      <c r="AI4" s="226"/>
      <c r="AJ4" s="226"/>
      <c r="AK4" s="218"/>
      <c r="AL4" s="218"/>
      <c r="AM4" s="218"/>
      <c r="AN4" s="218"/>
      <c r="AO4" s="218"/>
      <c r="AP4" s="218"/>
      <c r="AQ4" s="218"/>
      <c r="AR4" s="218"/>
      <c r="AS4" s="218"/>
      <c r="AT4" s="218"/>
      <c r="AU4" s="218"/>
      <c r="AV4" s="218"/>
      <c r="AW4" s="218"/>
      <c r="AX4" s="23"/>
      <c r="AY4" s="25"/>
      <c r="AZ4" s="25"/>
      <c r="BA4" s="25"/>
      <c r="BB4" s="25"/>
      <c r="BC4" s="25"/>
      <c r="BD4" s="25"/>
      <c r="BE4" s="25"/>
    </row>
    <row r="5" spans="1:71" outlineLevel="1">
      <c r="A5" s="242">
        <v>635936.20200000005</v>
      </c>
      <c r="B5" s="247">
        <v>0.53950295786000002</v>
      </c>
      <c r="C5" s="237"/>
      <c r="D5" s="30"/>
      <c r="E5" s="30"/>
      <c r="F5" s="30"/>
      <c r="G5" s="238"/>
      <c r="H5" s="242"/>
      <c r="I5" s="218"/>
      <c r="J5" s="218"/>
      <c r="K5" s="218"/>
      <c r="L5" s="218"/>
      <c r="M5" s="218"/>
      <c r="N5" s="218"/>
      <c r="O5" s="218"/>
      <c r="P5" s="218"/>
      <c r="Q5" s="226"/>
      <c r="R5" s="226"/>
      <c r="S5" s="226"/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226"/>
      <c r="AE5" s="226"/>
      <c r="AF5" s="226"/>
      <c r="AG5" s="226"/>
      <c r="AH5" s="226"/>
      <c r="AI5" s="226"/>
      <c r="AJ5" s="226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8"/>
      <c r="AW5" s="218"/>
      <c r="AX5" s="23"/>
      <c r="AY5" s="25"/>
      <c r="AZ5" s="25"/>
      <c r="BA5" s="25"/>
      <c r="BB5" s="25"/>
      <c r="BC5" s="25"/>
      <c r="BD5" s="25"/>
      <c r="BE5" s="25"/>
    </row>
    <row r="6" spans="1:71" outlineLevel="1">
      <c r="A6" s="242">
        <v>0</v>
      </c>
      <c r="B6" s="247">
        <v>0</v>
      </c>
      <c r="C6" s="237"/>
      <c r="D6" s="30"/>
      <c r="E6" s="30"/>
      <c r="F6" s="30"/>
      <c r="G6" s="238"/>
      <c r="H6" s="242"/>
      <c r="I6" s="218"/>
      <c r="J6" s="218"/>
      <c r="K6" s="218"/>
      <c r="L6" s="218"/>
      <c r="M6" s="218"/>
      <c r="N6" s="218"/>
      <c r="O6" s="218"/>
      <c r="P6" s="218"/>
      <c r="Q6" s="226"/>
      <c r="R6" s="226"/>
      <c r="S6" s="226"/>
      <c r="T6" s="226"/>
      <c r="U6" s="226"/>
      <c r="V6" s="226"/>
      <c r="W6" s="226"/>
      <c r="X6" s="226"/>
      <c r="Y6" s="226"/>
      <c r="Z6" s="226"/>
      <c r="AA6" s="226"/>
      <c r="AB6" s="226"/>
      <c r="AC6" s="226"/>
      <c r="AD6" s="226"/>
      <c r="AE6" s="226"/>
      <c r="AF6" s="226"/>
      <c r="AG6" s="226"/>
      <c r="AH6" s="226"/>
      <c r="AI6" s="226"/>
      <c r="AJ6" s="226"/>
      <c r="AK6" s="218"/>
      <c r="AL6" s="218"/>
      <c r="AM6" s="218"/>
      <c r="AN6" s="218"/>
      <c r="AO6" s="218"/>
      <c r="AP6" s="218"/>
      <c r="AQ6" s="218"/>
      <c r="AR6" s="218"/>
      <c r="AS6" s="218"/>
      <c r="AT6" s="218"/>
      <c r="AU6" s="218"/>
      <c r="AV6" s="218"/>
      <c r="AW6" s="218"/>
      <c r="AX6" s="23"/>
      <c r="AY6" s="25"/>
      <c r="AZ6" s="25"/>
      <c r="BA6" s="25"/>
      <c r="BB6" s="25"/>
      <c r="BC6" s="25"/>
      <c r="BD6" s="25"/>
      <c r="BE6" s="25"/>
    </row>
    <row r="7" spans="1:71" outlineLevel="1">
      <c r="A7" s="242">
        <v>635936.20200000005</v>
      </c>
      <c r="B7" s="247">
        <v>0.53950295786000002</v>
      </c>
      <c r="C7" s="237"/>
      <c r="D7" s="30"/>
      <c r="E7" s="30"/>
      <c r="F7" s="30"/>
      <c r="G7" s="238"/>
      <c r="H7" s="242"/>
      <c r="I7" s="218"/>
      <c r="J7" s="218"/>
      <c r="K7" s="218"/>
      <c r="L7" s="218"/>
      <c r="M7" s="218"/>
      <c r="N7" s="218"/>
      <c r="O7" s="218"/>
      <c r="P7" s="218"/>
      <c r="Q7" s="226"/>
      <c r="R7" s="226"/>
      <c r="S7" s="226"/>
      <c r="T7" s="226"/>
      <c r="U7" s="226"/>
      <c r="V7" s="226"/>
      <c r="W7" s="226"/>
      <c r="X7" s="226"/>
      <c r="Y7" s="226"/>
      <c r="Z7" s="226"/>
      <c r="AA7" s="226"/>
      <c r="AB7" s="226"/>
      <c r="AC7" s="226"/>
      <c r="AD7" s="226"/>
      <c r="AE7" s="226"/>
      <c r="AF7" s="226"/>
      <c r="AG7" s="226"/>
      <c r="AH7" s="226"/>
      <c r="AI7" s="226"/>
      <c r="AJ7" s="226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3"/>
      <c r="AY7" s="25"/>
      <c r="AZ7" s="25"/>
      <c r="BA7" s="25"/>
      <c r="BB7" s="25"/>
      <c r="BC7" s="25"/>
      <c r="BD7" s="25"/>
      <c r="BE7" s="25"/>
    </row>
    <row r="8" spans="1:71" outlineLevel="1">
      <c r="A8" s="242">
        <v>8158.0619999999999</v>
      </c>
      <c r="B8" s="247">
        <v>0.53950295800000003</v>
      </c>
      <c r="C8" s="237"/>
      <c r="D8" s="30"/>
      <c r="E8" s="30"/>
      <c r="F8" s="30"/>
      <c r="G8" s="238"/>
      <c r="H8" s="242"/>
      <c r="I8" s="218"/>
      <c r="J8" s="218"/>
      <c r="K8" s="218"/>
      <c r="L8" s="218"/>
      <c r="M8" s="218"/>
      <c r="N8" s="218"/>
      <c r="O8" s="218"/>
      <c r="P8" s="218"/>
      <c r="Q8" s="226"/>
      <c r="R8" s="226"/>
      <c r="S8" s="226"/>
      <c r="T8" s="226"/>
      <c r="U8" s="226"/>
      <c r="V8" s="226"/>
      <c r="W8" s="226"/>
      <c r="X8" s="226"/>
      <c r="Y8" s="226"/>
      <c r="Z8" s="226"/>
      <c r="AA8" s="226"/>
      <c r="AB8" s="226"/>
      <c r="AC8" s="226"/>
      <c r="AD8" s="226"/>
      <c r="AE8" s="226"/>
      <c r="AF8" s="226"/>
      <c r="AG8" s="226"/>
      <c r="AH8" s="226"/>
      <c r="AI8" s="226"/>
      <c r="AJ8" s="226"/>
      <c r="AK8" s="218"/>
      <c r="AL8" s="218"/>
      <c r="AM8" s="218"/>
      <c r="AN8" s="218"/>
      <c r="AO8" s="218"/>
      <c r="AP8" s="218"/>
      <c r="AQ8" s="218"/>
      <c r="AR8" s="218"/>
      <c r="AS8" s="218"/>
      <c r="AT8" s="218"/>
      <c r="AU8" s="218"/>
      <c r="AV8" s="218"/>
      <c r="AW8" s="218"/>
      <c r="AX8" s="23"/>
      <c r="AY8" s="25"/>
      <c r="AZ8" s="25"/>
      <c r="BA8" s="25"/>
      <c r="BB8" s="25"/>
      <c r="BC8" s="25"/>
      <c r="BD8" s="25"/>
      <c r="BE8" s="25"/>
    </row>
    <row r="9" spans="1:71" outlineLevel="1">
      <c r="A9" s="242">
        <v>627778.14</v>
      </c>
      <c r="B9" s="247">
        <v>0.53950295786000002</v>
      </c>
      <c r="C9" s="237"/>
      <c r="D9" s="30"/>
      <c r="E9" s="30"/>
      <c r="F9" s="30"/>
      <c r="G9" s="238"/>
      <c r="H9" s="242"/>
      <c r="I9" s="218"/>
      <c r="J9" s="218"/>
      <c r="K9" s="218"/>
      <c r="L9" s="218"/>
      <c r="M9" s="218"/>
      <c r="N9" s="218"/>
      <c r="O9" s="218"/>
      <c r="P9" s="218"/>
      <c r="Q9" s="226"/>
      <c r="R9" s="226"/>
      <c r="S9" s="226"/>
      <c r="T9" s="226"/>
      <c r="U9" s="226"/>
      <c r="V9" s="226"/>
      <c r="W9" s="226"/>
      <c r="X9" s="226"/>
      <c r="Y9" s="226"/>
      <c r="Z9" s="226"/>
      <c r="AA9" s="226"/>
      <c r="AB9" s="226"/>
      <c r="AC9" s="226"/>
      <c r="AD9" s="226"/>
      <c r="AE9" s="226"/>
      <c r="AF9" s="226"/>
      <c r="AG9" s="226"/>
      <c r="AH9" s="226"/>
      <c r="AI9" s="226"/>
      <c r="AJ9" s="226"/>
      <c r="AK9" s="218"/>
      <c r="AL9" s="218"/>
      <c r="AM9" s="218"/>
      <c r="AN9" s="218"/>
      <c r="AO9" s="218"/>
      <c r="AP9" s="218"/>
      <c r="AQ9" s="218"/>
      <c r="AR9" s="218"/>
      <c r="AS9" s="218"/>
      <c r="AT9" s="218"/>
      <c r="AU9" s="218"/>
      <c r="AV9" s="218"/>
      <c r="AW9" s="218"/>
      <c r="AX9" s="23"/>
      <c r="AY9" s="25"/>
      <c r="AZ9" s="25"/>
      <c r="BA9" s="25"/>
      <c r="BB9" s="25"/>
      <c r="BC9" s="25"/>
      <c r="BD9" s="25"/>
      <c r="BE9" s="25"/>
    </row>
    <row r="10" spans="1:71" outlineLevel="1">
      <c r="A10" s="242">
        <v>0</v>
      </c>
      <c r="B10" s="247">
        <v>0</v>
      </c>
      <c r="C10" s="237"/>
      <c r="D10" s="30"/>
      <c r="E10" s="30"/>
      <c r="F10" s="30"/>
      <c r="G10" s="238"/>
      <c r="H10" s="242"/>
      <c r="I10" s="218"/>
      <c r="J10" s="218"/>
      <c r="K10" s="218"/>
      <c r="L10" s="218"/>
      <c r="M10" s="218"/>
      <c r="N10" s="218"/>
      <c r="O10" s="218"/>
      <c r="P10" s="218"/>
      <c r="Q10" s="226"/>
      <c r="R10" s="226"/>
      <c r="S10" s="226"/>
      <c r="T10" s="226"/>
      <c r="U10" s="226"/>
      <c r="V10" s="226"/>
      <c r="W10" s="226"/>
      <c r="X10" s="226"/>
      <c r="Y10" s="226"/>
      <c r="Z10" s="226"/>
      <c r="AA10" s="226"/>
      <c r="AB10" s="226"/>
      <c r="AC10" s="226"/>
      <c r="AD10" s="226"/>
      <c r="AE10" s="226"/>
      <c r="AF10" s="226"/>
      <c r="AG10" s="226"/>
      <c r="AH10" s="226"/>
      <c r="AI10" s="226"/>
      <c r="AJ10" s="226"/>
      <c r="AK10" s="218"/>
      <c r="AL10" s="218"/>
      <c r="AM10" s="218"/>
      <c r="AN10" s="218"/>
      <c r="AO10" s="218"/>
      <c r="AP10" s="218"/>
      <c r="AQ10" s="218"/>
      <c r="AR10" s="218"/>
      <c r="AS10" s="218"/>
      <c r="AT10" s="218"/>
      <c r="AU10" s="218"/>
      <c r="AV10" s="218"/>
      <c r="AW10" s="218"/>
      <c r="AX10" s="23"/>
      <c r="AY10" s="25"/>
      <c r="AZ10" s="25"/>
      <c r="BA10" s="25"/>
      <c r="BB10" s="25"/>
      <c r="BC10" s="25"/>
      <c r="BD10" s="25"/>
      <c r="BE10" s="25"/>
    </row>
    <row r="11" spans="1:71" outlineLevel="1">
      <c r="A11" s="242">
        <v>57468.221721000002</v>
      </c>
      <c r="B11" s="247">
        <v>0.58591834491000006</v>
      </c>
      <c r="C11" s="237"/>
      <c r="D11" s="30"/>
      <c r="E11" s="30"/>
      <c r="F11" s="30"/>
      <c r="G11" s="238"/>
      <c r="H11" s="242"/>
      <c r="I11" s="218"/>
      <c r="J11" s="218"/>
      <c r="K11" s="218"/>
      <c r="L11" s="218"/>
      <c r="M11" s="218"/>
      <c r="N11" s="218"/>
      <c r="O11" s="218"/>
      <c r="P11" s="218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6"/>
      <c r="AB11" s="226"/>
      <c r="AC11" s="226"/>
      <c r="AD11" s="226"/>
      <c r="AE11" s="226"/>
      <c r="AF11" s="226"/>
      <c r="AG11" s="226"/>
      <c r="AH11" s="226"/>
      <c r="AI11" s="226"/>
      <c r="AJ11" s="226"/>
      <c r="AK11" s="218"/>
      <c r="AL11" s="218"/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18"/>
      <c r="AX11" s="23"/>
      <c r="AY11" s="25"/>
      <c r="AZ11" s="25"/>
      <c r="BA11" s="25"/>
      <c r="BB11" s="25"/>
      <c r="BC11" s="25"/>
      <c r="BD11" s="25"/>
      <c r="BE11" s="25"/>
    </row>
    <row r="12" spans="1:71" outlineLevel="1">
      <c r="A12" s="242">
        <v>52451.256800000003</v>
      </c>
      <c r="B12" s="247">
        <v>0.61664549999999996</v>
      </c>
      <c r="C12" s="237"/>
      <c r="D12" s="30"/>
      <c r="E12" s="30"/>
      <c r="F12" s="30"/>
      <c r="G12" s="238"/>
      <c r="H12" s="242"/>
      <c r="I12" s="218"/>
      <c r="J12" s="218"/>
      <c r="K12" s="218"/>
      <c r="L12" s="218"/>
      <c r="M12" s="218"/>
      <c r="N12" s="218"/>
      <c r="O12" s="218"/>
      <c r="P12" s="218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6"/>
      <c r="AC12" s="226"/>
      <c r="AD12" s="226"/>
      <c r="AE12" s="226"/>
      <c r="AF12" s="226"/>
      <c r="AG12" s="226"/>
      <c r="AH12" s="226"/>
      <c r="AI12" s="226"/>
      <c r="AJ12" s="226"/>
      <c r="AK12" s="218"/>
      <c r="AL12" s="218"/>
      <c r="AM12" s="218"/>
      <c r="AN12" s="218"/>
      <c r="AO12" s="218"/>
      <c r="AP12" s="218"/>
      <c r="AQ12" s="218"/>
      <c r="AR12" s="218"/>
      <c r="AS12" s="218"/>
      <c r="AT12" s="218"/>
      <c r="AU12" s="218"/>
      <c r="AV12" s="218"/>
      <c r="AW12" s="218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</row>
    <row r="13" spans="1:71" outlineLevel="1">
      <c r="A13" s="242">
        <v>519665.78352</v>
      </c>
      <c r="B13" s="247">
        <v>0.60820495416999998</v>
      </c>
      <c r="C13" s="237"/>
      <c r="D13" s="30"/>
      <c r="E13" s="30"/>
      <c r="F13" s="30"/>
      <c r="G13" s="238"/>
      <c r="H13" s="242"/>
      <c r="I13" s="218"/>
      <c r="J13" s="218"/>
      <c r="K13" s="218"/>
      <c r="L13" s="218"/>
      <c r="M13" s="218"/>
      <c r="N13" s="218"/>
      <c r="O13" s="218"/>
      <c r="P13" s="218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6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</row>
    <row r="14" spans="1:71" outlineLevel="1">
      <c r="A14" s="242">
        <v>108112.35648</v>
      </c>
      <c r="B14" s="247">
        <v>0.20927172525000001</v>
      </c>
      <c r="C14" s="237"/>
      <c r="D14" s="30"/>
      <c r="E14" s="30"/>
      <c r="F14" s="30"/>
      <c r="G14" s="238"/>
      <c r="H14" s="242"/>
      <c r="I14" s="218"/>
      <c r="J14" s="218"/>
      <c r="K14" s="218"/>
      <c r="L14" s="218"/>
      <c r="M14" s="218"/>
      <c r="N14" s="218"/>
      <c r="O14" s="218"/>
      <c r="P14" s="218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226"/>
      <c r="AI14" s="226"/>
      <c r="AJ14" s="226"/>
      <c r="AK14" s="218"/>
      <c r="AL14" s="218"/>
      <c r="AM14" s="218"/>
      <c r="AN14" s="218"/>
      <c r="AO14" s="218"/>
      <c r="AP14" s="218"/>
      <c r="AQ14" s="218"/>
      <c r="AR14" s="218"/>
      <c r="AS14" s="218"/>
      <c r="AT14" s="218"/>
      <c r="AU14" s="218"/>
      <c r="AV14" s="218"/>
      <c r="AW14" s="218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</row>
    <row r="15" spans="1:71" outlineLevel="1">
      <c r="A15" s="242">
        <v>19394.5455</v>
      </c>
      <c r="B15" s="247">
        <v>0.19782955895000001</v>
      </c>
      <c r="C15" s="237"/>
      <c r="D15" s="30"/>
      <c r="E15" s="30"/>
      <c r="F15" s="30"/>
      <c r="G15" s="238"/>
      <c r="H15" s="242"/>
      <c r="I15" s="218"/>
      <c r="J15" s="218"/>
      <c r="K15" s="218"/>
      <c r="L15" s="218"/>
      <c r="M15" s="218"/>
      <c r="N15" s="218"/>
      <c r="O15" s="218"/>
      <c r="P15" s="218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18"/>
      <c r="AL15" s="218"/>
      <c r="AM15" s="218"/>
      <c r="AN15" s="218"/>
      <c r="AO15" s="218"/>
      <c r="AP15" s="218"/>
      <c r="AQ15" s="218"/>
      <c r="AR15" s="218"/>
      <c r="AS15" s="218"/>
      <c r="AT15" s="218"/>
      <c r="AU15" s="218"/>
      <c r="AV15" s="218"/>
      <c r="AW15" s="218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</row>
    <row r="16" spans="1:71" outlineLevel="1">
      <c r="A16" s="242">
        <v>88717.810979000002</v>
      </c>
      <c r="B16" s="247">
        <v>0.21177309011000001</v>
      </c>
      <c r="C16" s="237"/>
      <c r="D16" s="30"/>
      <c r="E16" s="30"/>
      <c r="F16" s="30"/>
      <c r="G16" s="238"/>
      <c r="H16" s="242"/>
      <c r="I16" s="218"/>
      <c r="J16" s="218"/>
      <c r="K16" s="218"/>
      <c r="L16" s="218"/>
      <c r="M16" s="218"/>
      <c r="N16" s="218"/>
      <c r="O16" s="218"/>
      <c r="P16" s="218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18"/>
      <c r="AL16" s="218"/>
      <c r="AM16" s="218"/>
      <c r="AN16" s="218"/>
      <c r="AO16" s="218"/>
      <c r="AP16" s="218"/>
      <c r="AQ16" s="218"/>
      <c r="AR16" s="218"/>
      <c r="AS16" s="218"/>
      <c r="AT16" s="218"/>
      <c r="AU16" s="218"/>
      <c r="AV16" s="218"/>
      <c r="AW16" s="218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</row>
    <row r="17" spans="1:71" outlineLevel="1">
      <c r="A17" s="242">
        <v>-45958.833721000003</v>
      </c>
      <c r="B17" s="247">
        <v>0.177288</v>
      </c>
      <c r="C17" s="237"/>
      <c r="D17" s="30"/>
      <c r="E17" s="30"/>
      <c r="F17" s="30"/>
      <c r="G17" s="238"/>
      <c r="H17" s="242"/>
      <c r="I17" s="218"/>
      <c r="J17" s="218"/>
      <c r="K17" s="218"/>
      <c r="L17" s="218"/>
      <c r="M17" s="218"/>
      <c r="N17" s="218"/>
      <c r="O17" s="218"/>
      <c r="P17" s="218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18"/>
      <c r="AL17" s="218"/>
      <c r="AM17" s="218"/>
      <c r="AN17" s="218"/>
      <c r="AO17" s="218"/>
      <c r="AP17" s="218"/>
      <c r="AQ17" s="218"/>
      <c r="AR17" s="218"/>
      <c r="AS17" s="218"/>
      <c r="AT17" s="218"/>
      <c r="AU17" s="218"/>
      <c r="AV17" s="218"/>
      <c r="AW17" s="218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</row>
    <row r="18" spans="1:71" outlineLevel="1">
      <c r="A18" s="242">
        <v>65353.379221000003</v>
      </c>
      <c r="B18" s="247">
        <v>0.18338399999999999</v>
      </c>
      <c r="C18" s="237"/>
      <c r="D18" s="30"/>
      <c r="E18" s="30"/>
      <c r="F18" s="30"/>
      <c r="G18" s="238"/>
      <c r="H18" s="242"/>
      <c r="I18" s="218"/>
      <c r="J18" s="218"/>
      <c r="K18" s="218"/>
      <c r="L18" s="218"/>
      <c r="M18" s="218"/>
      <c r="N18" s="218"/>
      <c r="O18" s="218"/>
      <c r="P18" s="218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18"/>
      <c r="AL18" s="218"/>
      <c r="AM18" s="218"/>
      <c r="AN18" s="218"/>
      <c r="AO18" s="218"/>
      <c r="AP18" s="218"/>
      <c r="AQ18" s="218"/>
      <c r="AR18" s="218"/>
      <c r="AS18" s="218"/>
      <c r="AT18" s="218"/>
      <c r="AU18" s="218"/>
      <c r="AV18" s="218"/>
      <c r="AW18" s="218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</row>
    <row r="19" spans="1:71" outlineLevel="1">
      <c r="A19" s="242">
        <v>154071.19020000001</v>
      </c>
      <c r="B19" s="247">
        <v>0.19973110504</v>
      </c>
      <c r="C19" s="237"/>
      <c r="D19" s="30"/>
      <c r="E19" s="30"/>
      <c r="F19" s="30"/>
      <c r="G19" s="238"/>
      <c r="H19" s="242"/>
      <c r="I19" s="218"/>
      <c r="J19" s="218"/>
      <c r="K19" s="218"/>
      <c r="L19" s="218"/>
      <c r="M19" s="218"/>
      <c r="N19" s="218"/>
      <c r="O19" s="218"/>
      <c r="P19" s="218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7"/>
      <c r="AH19" s="227"/>
      <c r="AI19" s="226"/>
      <c r="AJ19" s="226"/>
      <c r="AK19" s="218"/>
      <c r="AL19" s="218"/>
      <c r="AM19" s="218"/>
      <c r="AN19" s="218"/>
      <c r="AO19" s="218"/>
      <c r="AP19" s="218"/>
      <c r="AQ19" s="218"/>
      <c r="AR19" s="218"/>
      <c r="AS19" s="218"/>
      <c r="AT19" s="218"/>
      <c r="AU19" s="218"/>
      <c r="AV19" s="218"/>
      <c r="AW19" s="218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</row>
    <row r="20" spans="1:71" outlineLevel="1">
      <c r="A20" s="242">
        <v>129854.1048</v>
      </c>
      <c r="B20" s="247">
        <v>0.14616000000000001</v>
      </c>
      <c r="C20" s="237"/>
      <c r="D20" s="30"/>
      <c r="E20" s="30"/>
      <c r="F20" s="30"/>
      <c r="G20" s="238"/>
      <c r="H20" s="242"/>
      <c r="I20" s="218"/>
      <c r="J20" s="218"/>
      <c r="K20" s="218"/>
      <c r="L20" s="218"/>
      <c r="M20" s="218"/>
      <c r="N20" s="218"/>
      <c r="O20" s="218"/>
      <c r="P20" s="218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7"/>
      <c r="AH20" s="227"/>
      <c r="AI20" s="226"/>
      <c r="AJ20" s="226"/>
      <c r="AK20" s="218"/>
      <c r="AL20" s="218"/>
      <c r="AM20" s="218"/>
      <c r="AN20" s="218"/>
      <c r="AO20" s="218"/>
      <c r="AP20" s="218"/>
      <c r="AQ20" s="218"/>
      <c r="AR20" s="218"/>
      <c r="AS20" s="218"/>
      <c r="AT20" s="218"/>
      <c r="AU20" s="218"/>
      <c r="AV20" s="218"/>
      <c r="AW20" s="218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</row>
    <row r="21" spans="1:71" outlineLevel="1">
      <c r="A21" s="242">
        <v>24217.0854</v>
      </c>
      <c r="B21" s="247">
        <v>0.48698399999999997</v>
      </c>
      <c r="C21" s="237"/>
      <c r="D21" s="30"/>
      <c r="E21" s="30"/>
      <c r="F21" s="30"/>
      <c r="G21" s="238"/>
      <c r="H21" s="242"/>
      <c r="I21" s="218"/>
      <c r="J21" s="218"/>
      <c r="K21" s="218"/>
      <c r="L21" s="218"/>
      <c r="M21" s="218"/>
      <c r="N21" s="218"/>
      <c r="O21" s="218"/>
      <c r="P21" s="218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7"/>
      <c r="AH21" s="227"/>
      <c r="AI21" s="226"/>
      <c r="AJ21" s="226"/>
      <c r="AK21" s="218"/>
      <c r="AL21" s="218"/>
      <c r="AM21" s="218"/>
      <c r="AN21" s="218"/>
      <c r="AO21" s="218"/>
      <c r="AP21" s="218"/>
      <c r="AQ21" s="218"/>
      <c r="AR21" s="218"/>
      <c r="AS21" s="218"/>
      <c r="AT21" s="218"/>
      <c r="AU21" s="218"/>
      <c r="AV21" s="218"/>
      <c r="AW21" s="218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</row>
    <row r="22" spans="1:71" outlineLevel="1">
      <c r="A22" s="242">
        <v>-1218.6096</v>
      </c>
      <c r="B22" s="247">
        <v>0.49230655541000001</v>
      </c>
      <c r="C22" s="237"/>
      <c r="D22" s="30"/>
      <c r="E22" s="30"/>
      <c r="F22" s="30"/>
      <c r="G22" s="238"/>
      <c r="H22" s="242"/>
      <c r="I22" s="218"/>
      <c r="J22" s="218"/>
      <c r="K22" s="218"/>
      <c r="L22" s="218"/>
      <c r="M22" s="218"/>
      <c r="N22" s="218"/>
      <c r="O22" s="218"/>
      <c r="P22" s="218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7"/>
      <c r="AH22" s="227"/>
      <c r="AI22" s="226"/>
      <c r="AJ22" s="226"/>
      <c r="AK22" s="218"/>
      <c r="AL22" s="218"/>
      <c r="AM22" s="218"/>
      <c r="AN22" s="218"/>
      <c r="AO22" s="218"/>
      <c r="AP22" s="218"/>
      <c r="AQ22" s="218"/>
      <c r="AR22" s="218"/>
      <c r="AS22" s="218"/>
      <c r="AT22" s="218"/>
      <c r="AU22" s="218"/>
      <c r="AV22" s="218"/>
      <c r="AW22" s="218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</row>
    <row r="23" spans="1:71" outlineLevel="1">
      <c r="A23" s="242">
        <v>25435.695</v>
      </c>
      <c r="B23" s="247">
        <v>0.48723900059000003</v>
      </c>
      <c r="C23" s="237"/>
      <c r="D23" s="30"/>
      <c r="E23" s="30"/>
      <c r="F23" s="30"/>
      <c r="G23" s="238"/>
      <c r="H23" s="242"/>
      <c r="I23" s="218"/>
      <c r="J23" s="218"/>
      <c r="K23" s="218"/>
      <c r="L23" s="218"/>
      <c r="M23" s="218"/>
      <c r="N23" s="218"/>
      <c r="O23" s="218"/>
      <c r="P23" s="218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7"/>
      <c r="AH23" s="227"/>
      <c r="AI23" s="226"/>
      <c r="AJ23" s="226"/>
      <c r="AK23" s="218"/>
      <c r="AL23" s="218"/>
      <c r="AM23" s="218"/>
      <c r="AN23" s="218"/>
      <c r="AO23" s="218"/>
      <c r="AP23" s="218"/>
      <c r="AQ23" s="218"/>
      <c r="AR23" s="218"/>
      <c r="AS23" s="218"/>
      <c r="AT23" s="218"/>
      <c r="AU23" s="218"/>
      <c r="AV23" s="218"/>
      <c r="AW23" s="218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</row>
    <row r="24" spans="1:71" outlineLevel="1">
      <c r="A24" s="242">
        <v>409746.30499999999</v>
      </c>
      <c r="B24" s="247">
        <v>0.61025025525999999</v>
      </c>
      <c r="C24" s="237"/>
      <c r="D24" s="30"/>
      <c r="E24" s="30"/>
      <c r="F24" s="30"/>
      <c r="G24" s="238"/>
      <c r="H24" s="242"/>
      <c r="I24" s="218"/>
      <c r="J24" s="218"/>
      <c r="K24" s="218"/>
      <c r="L24" s="218"/>
      <c r="M24" s="218"/>
      <c r="N24" s="218"/>
      <c r="O24" s="218"/>
      <c r="P24" s="218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7"/>
      <c r="AH24" s="227"/>
      <c r="AI24" s="226"/>
      <c r="AJ24" s="226"/>
      <c r="AK24" s="218"/>
      <c r="AL24" s="218"/>
      <c r="AM24" s="218"/>
      <c r="AN24" s="218"/>
      <c r="AO24" s="218"/>
      <c r="AP24" s="218"/>
      <c r="AQ24" s="218"/>
      <c r="AR24" s="218"/>
      <c r="AS24" s="218"/>
      <c r="AT24" s="218"/>
      <c r="AU24" s="218"/>
      <c r="AV24" s="218"/>
      <c r="AW24" s="218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</row>
    <row r="25" spans="1:71" outlineLevel="1">
      <c r="A25" s="218">
        <v>0</v>
      </c>
      <c r="B25" s="219">
        <v>0</v>
      </c>
      <c r="C25" s="235"/>
      <c r="D25" s="30"/>
      <c r="E25" s="30"/>
      <c r="F25" s="30"/>
      <c r="G25" s="239"/>
      <c r="H25" s="218"/>
      <c r="I25" s="218"/>
      <c r="J25" s="218"/>
      <c r="K25" s="218"/>
      <c r="L25" s="218"/>
      <c r="M25" s="218"/>
      <c r="N25" s="218"/>
      <c r="O25" s="218"/>
      <c r="P25" s="218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7"/>
      <c r="AH25" s="227"/>
      <c r="AI25" s="226"/>
      <c r="AJ25" s="226"/>
      <c r="AK25" s="218"/>
      <c r="AL25" s="218"/>
      <c r="AM25" s="218"/>
      <c r="AN25" s="218"/>
      <c r="AO25" s="218"/>
      <c r="AP25" s="218"/>
      <c r="AQ25" s="218"/>
      <c r="AR25" s="218"/>
      <c r="AS25" s="218"/>
      <c r="AT25" s="218"/>
      <c r="AU25" s="218"/>
      <c r="AV25" s="218"/>
      <c r="AW25" s="218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</row>
    <row r="26" spans="1:71" outlineLevel="1">
      <c r="A26" s="218">
        <v>0</v>
      </c>
      <c r="B26" s="219">
        <v>0</v>
      </c>
      <c r="C26" s="235"/>
      <c r="D26" s="30"/>
      <c r="E26" s="30"/>
      <c r="F26" s="30"/>
      <c r="G26" s="239"/>
      <c r="H26" s="218"/>
      <c r="I26" s="218"/>
      <c r="J26" s="218"/>
      <c r="K26" s="218"/>
      <c r="L26" s="218"/>
      <c r="M26" s="218"/>
      <c r="N26" s="218"/>
      <c r="O26" s="218"/>
      <c r="P26" s="218"/>
      <c r="Q26" s="226"/>
      <c r="R26" s="226"/>
      <c r="S26" s="226"/>
      <c r="T26" s="226"/>
      <c r="U26" s="226"/>
      <c r="V26" s="226"/>
      <c r="W26" s="226"/>
      <c r="X26" s="228"/>
      <c r="Y26" s="226"/>
      <c r="Z26" s="226"/>
      <c r="AA26" s="226"/>
      <c r="AB26" s="226"/>
      <c r="AC26" s="226"/>
      <c r="AD26" s="226"/>
      <c r="AE26" s="226"/>
      <c r="AF26" s="226"/>
      <c r="AG26" s="227"/>
      <c r="AH26" s="227"/>
      <c r="AI26" s="226"/>
      <c r="AJ26" s="226"/>
      <c r="AK26" s="218"/>
      <c r="AL26" s="218"/>
      <c r="AM26" s="218"/>
      <c r="AN26" s="218"/>
      <c r="AO26" s="218"/>
      <c r="AP26" s="218"/>
      <c r="AQ26" s="218"/>
      <c r="AR26" s="218"/>
      <c r="AS26" s="218"/>
      <c r="AT26" s="218"/>
      <c r="AU26" s="218"/>
      <c r="AV26" s="218"/>
      <c r="AW26" s="218"/>
    </row>
    <row r="27" spans="1:71" outlineLevel="1">
      <c r="A27" s="218">
        <v>0</v>
      </c>
      <c r="B27" s="219">
        <v>0</v>
      </c>
      <c r="C27" s="235"/>
      <c r="D27" s="30"/>
      <c r="E27" s="30"/>
      <c r="F27" s="30"/>
      <c r="G27" s="239"/>
      <c r="H27" s="218"/>
      <c r="I27" s="244"/>
      <c r="J27" s="218"/>
      <c r="K27" s="218"/>
      <c r="L27" s="218"/>
      <c r="M27" s="218"/>
      <c r="N27" s="218"/>
      <c r="O27" s="218"/>
      <c r="P27" s="218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7"/>
      <c r="AH27" s="227"/>
      <c r="AI27" s="226"/>
      <c r="AJ27" s="226"/>
      <c r="AK27" s="218"/>
      <c r="AL27" s="218"/>
      <c r="AM27" s="218"/>
      <c r="AN27" s="218"/>
      <c r="AO27" s="218"/>
      <c r="AP27" s="218"/>
      <c r="AQ27" s="218"/>
      <c r="AR27" s="218"/>
      <c r="AS27" s="218"/>
      <c r="AT27" s="218"/>
      <c r="AU27" s="218"/>
      <c r="AV27" s="218"/>
      <c r="AW27" s="218"/>
    </row>
    <row r="28" spans="1:71" outlineLevel="1">
      <c r="A28" s="218">
        <v>0</v>
      </c>
      <c r="B28" s="219">
        <v>0</v>
      </c>
      <c r="C28" s="235"/>
      <c r="D28" s="30"/>
      <c r="E28" s="30"/>
      <c r="F28" s="30"/>
      <c r="G28" s="239"/>
      <c r="H28" s="218"/>
      <c r="I28" s="218"/>
      <c r="J28" s="218"/>
      <c r="K28" s="218"/>
      <c r="L28" s="218"/>
      <c r="M28" s="218"/>
      <c r="N28" s="218"/>
      <c r="O28" s="218"/>
      <c r="P28" s="218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7"/>
      <c r="AH28" s="227"/>
      <c r="AI28" s="227"/>
      <c r="AJ28" s="227"/>
      <c r="AK28" s="218"/>
      <c r="AL28" s="218"/>
      <c r="AM28" s="218"/>
      <c r="AN28" s="218"/>
      <c r="AO28" s="218"/>
      <c r="AP28" s="218"/>
      <c r="AQ28" s="218"/>
      <c r="AR28" s="218"/>
      <c r="AS28" s="218"/>
      <c r="AT28" s="218"/>
      <c r="AU28" s="218"/>
      <c r="AV28" s="218"/>
      <c r="AW28" s="218"/>
    </row>
    <row r="29" spans="1:71" outlineLevel="1">
      <c r="A29" s="218">
        <v>0</v>
      </c>
      <c r="B29" s="219">
        <v>0</v>
      </c>
      <c r="C29" s="235"/>
      <c r="D29" s="30"/>
      <c r="E29" s="30"/>
      <c r="F29" s="30"/>
      <c r="G29" s="239"/>
      <c r="H29" s="218"/>
      <c r="I29" s="218"/>
      <c r="J29" s="218"/>
      <c r="K29" s="218"/>
      <c r="L29" s="218"/>
      <c r="M29" s="218"/>
      <c r="N29" s="218"/>
      <c r="O29" s="218"/>
      <c r="P29" s="218"/>
      <c r="Q29" s="226"/>
      <c r="R29" s="226"/>
      <c r="S29" s="226"/>
      <c r="T29" s="226"/>
      <c r="U29" s="226"/>
      <c r="V29" s="226"/>
      <c r="W29" s="226"/>
      <c r="X29" s="226"/>
      <c r="Y29" s="226"/>
      <c r="Z29" s="226"/>
      <c r="AA29" s="226"/>
      <c r="AB29" s="226"/>
      <c r="AC29" s="226"/>
      <c r="AD29" s="226"/>
      <c r="AE29" s="226"/>
      <c r="AF29" s="226"/>
      <c r="AG29" s="227"/>
      <c r="AH29" s="227"/>
      <c r="AI29" s="227"/>
      <c r="AJ29" s="227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</row>
    <row r="30" spans="1:71" outlineLevel="1">
      <c r="A30" s="218">
        <v>0</v>
      </c>
      <c r="B30" s="219">
        <v>0</v>
      </c>
      <c r="C30" s="235"/>
      <c r="D30" s="30"/>
      <c r="E30" s="30"/>
      <c r="F30" s="30"/>
      <c r="G30" s="239"/>
      <c r="H30" s="218"/>
      <c r="I30" s="218"/>
      <c r="J30" s="218"/>
      <c r="K30" s="218"/>
      <c r="L30" s="218"/>
      <c r="M30" s="218"/>
      <c r="N30" s="218"/>
      <c r="O30" s="218"/>
      <c r="P30" s="218"/>
      <c r="Q30" s="226"/>
      <c r="R30" s="226"/>
      <c r="S30" s="226"/>
      <c r="T30" s="226"/>
      <c r="U30" s="226"/>
      <c r="V30" s="226"/>
      <c r="W30" s="226"/>
      <c r="X30" s="226"/>
      <c r="Y30" s="226"/>
      <c r="Z30" s="226"/>
      <c r="AA30" s="226"/>
      <c r="AB30" s="226"/>
      <c r="AC30" s="226"/>
      <c r="AD30" s="226"/>
      <c r="AE30" s="226"/>
      <c r="AF30" s="226"/>
      <c r="AG30" s="227"/>
      <c r="AH30" s="227"/>
      <c r="AI30" s="227"/>
      <c r="AJ30" s="227"/>
      <c r="AK30" s="218"/>
      <c r="AL30" s="218"/>
      <c r="AM30" s="218"/>
      <c r="AN30" s="218"/>
      <c r="AO30" s="218"/>
      <c r="AP30" s="218"/>
      <c r="AQ30" s="218"/>
      <c r="AR30" s="218"/>
      <c r="AS30" s="218"/>
      <c r="AT30" s="218"/>
      <c r="AU30" s="218"/>
      <c r="AV30" s="218"/>
      <c r="AW30" s="218"/>
    </row>
    <row r="31" spans="1:71" outlineLevel="1">
      <c r="A31" s="218">
        <v>0</v>
      </c>
      <c r="B31" s="219">
        <v>0</v>
      </c>
      <c r="C31" s="235"/>
      <c r="D31" s="30"/>
      <c r="E31" s="30"/>
      <c r="F31" s="30"/>
      <c r="G31" s="239"/>
      <c r="H31" s="218"/>
      <c r="I31" s="218"/>
      <c r="J31" s="218"/>
      <c r="K31" s="218"/>
      <c r="L31" s="218"/>
      <c r="M31" s="218"/>
      <c r="N31" s="218"/>
      <c r="O31" s="218"/>
      <c r="P31" s="218"/>
      <c r="Q31" s="226"/>
      <c r="R31" s="226"/>
      <c r="S31" s="226"/>
      <c r="T31" s="226"/>
      <c r="U31" s="226"/>
      <c r="V31" s="226"/>
      <c r="W31" s="226"/>
      <c r="X31" s="226"/>
      <c r="Y31" s="226"/>
      <c r="Z31" s="226"/>
      <c r="AA31" s="226"/>
      <c r="AB31" s="226"/>
      <c r="AC31" s="226"/>
      <c r="AD31" s="226"/>
      <c r="AE31" s="226"/>
      <c r="AF31" s="226"/>
      <c r="AG31" s="227"/>
      <c r="AH31" s="227"/>
      <c r="AI31" s="227"/>
      <c r="AJ31" s="227"/>
      <c r="AK31" s="218"/>
      <c r="AL31" s="218"/>
      <c r="AM31" s="218"/>
      <c r="AN31" s="218"/>
      <c r="AO31" s="218"/>
      <c r="AP31" s="218"/>
      <c r="AQ31" s="218"/>
      <c r="AR31" s="218"/>
      <c r="AS31" s="218"/>
      <c r="AT31" s="218"/>
      <c r="AU31" s="218"/>
      <c r="AV31" s="218"/>
      <c r="AW31" s="218"/>
    </row>
    <row r="32" spans="1:71" outlineLevel="1">
      <c r="A32" s="218"/>
      <c r="B32" s="219"/>
      <c r="C32" s="235"/>
      <c r="D32" s="30"/>
      <c r="E32" s="30"/>
      <c r="F32" s="30"/>
      <c r="G32" s="239"/>
      <c r="H32" s="218"/>
      <c r="I32" s="218"/>
      <c r="J32" s="218"/>
      <c r="K32" s="218"/>
      <c r="L32" s="218"/>
      <c r="M32" s="218"/>
      <c r="N32" s="218"/>
      <c r="O32" s="218"/>
      <c r="P32" s="218"/>
      <c r="Q32" s="226"/>
      <c r="R32" s="226"/>
      <c r="S32" s="226"/>
      <c r="T32" s="226"/>
      <c r="U32" s="226"/>
      <c r="V32" s="226"/>
      <c r="W32" s="226"/>
      <c r="X32" s="226"/>
      <c r="Y32" s="226"/>
      <c r="Z32" s="226"/>
      <c r="AA32" s="226"/>
      <c r="AB32" s="226"/>
      <c r="AC32" s="226"/>
      <c r="AD32" s="226"/>
      <c r="AE32" s="226"/>
      <c r="AF32" s="226"/>
      <c r="AG32" s="227"/>
      <c r="AH32" s="227"/>
      <c r="AI32" s="227"/>
      <c r="AJ32" s="227"/>
      <c r="AK32" s="218"/>
      <c r="AL32" s="218"/>
      <c r="AM32" s="218"/>
      <c r="AN32" s="218"/>
      <c r="AO32" s="218"/>
      <c r="AP32" s="218"/>
      <c r="AQ32" s="218"/>
      <c r="AR32" s="218"/>
      <c r="AS32" s="218"/>
      <c r="AT32" s="218"/>
      <c r="AU32" s="218"/>
      <c r="AV32" s="218"/>
      <c r="AW32" s="218"/>
    </row>
    <row r="33" spans="1:49" outlineLevel="1">
      <c r="A33" s="218"/>
      <c r="B33" s="219"/>
      <c r="C33" s="235"/>
      <c r="D33" s="30"/>
      <c r="E33" s="30"/>
      <c r="F33" s="30"/>
      <c r="G33" s="239"/>
      <c r="H33" s="218"/>
      <c r="I33" s="218"/>
      <c r="J33" s="218"/>
      <c r="K33" s="218"/>
      <c r="L33" s="218"/>
      <c r="M33" s="218"/>
      <c r="N33" s="218"/>
      <c r="O33" s="218"/>
      <c r="P33" s="218"/>
      <c r="Q33" s="226"/>
      <c r="R33" s="226"/>
      <c r="S33" s="226"/>
      <c r="T33" s="226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7"/>
      <c r="AH33" s="227"/>
      <c r="AI33" s="227"/>
      <c r="AJ33" s="227"/>
      <c r="AK33" s="218"/>
      <c r="AL33" s="218"/>
      <c r="AM33" s="218"/>
      <c r="AN33" s="218"/>
      <c r="AO33" s="218"/>
      <c r="AP33" s="218"/>
      <c r="AQ33" s="218"/>
      <c r="AR33" s="218"/>
      <c r="AS33" s="218"/>
      <c r="AT33" s="218"/>
      <c r="AU33" s="218"/>
      <c r="AV33" s="218"/>
      <c r="AW33" s="218"/>
    </row>
    <row r="34" spans="1:49" outlineLevel="1">
      <c r="A34" s="226"/>
      <c r="B34" s="235"/>
      <c r="C34" s="235"/>
      <c r="D34" s="30"/>
      <c r="E34" s="30"/>
      <c r="F34" s="30"/>
      <c r="G34" s="239"/>
      <c r="H34" s="218"/>
      <c r="I34" s="218"/>
      <c r="J34" s="218"/>
      <c r="K34" s="218"/>
      <c r="L34" s="218"/>
      <c r="M34" s="218"/>
      <c r="N34" s="218"/>
      <c r="O34" s="218"/>
      <c r="P34" s="218"/>
      <c r="Q34" s="226"/>
      <c r="R34" s="226"/>
      <c r="S34" s="226"/>
      <c r="T34" s="226"/>
      <c r="U34" s="226"/>
      <c r="V34" s="226"/>
      <c r="W34" s="226"/>
      <c r="X34" s="226"/>
      <c r="Y34" s="226"/>
      <c r="Z34" s="226"/>
      <c r="AA34" s="226"/>
      <c r="AB34" s="226"/>
      <c r="AC34" s="226"/>
      <c r="AD34" s="226"/>
      <c r="AE34" s="226"/>
      <c r="AF34" s="226"/>
      <c r="AG34" s="227"/>
      <c r="AH34" s="227"/>
      <c r="AI34" s="227"/>
      <c r="AJ34" s="227"/>
      <c r="AK34" s="218"/>
      <c r="AL34" s="218"/>
      <c r="AM34" s="218"/>
      <c r="AN34" s="218"/>
      <c r="AO34" s="218"/>
      <c r="AP34" s="218"/>
      <c r="AQ34" s="218"/>
      <c r="AR34" s="218"/>
      <c r="AS34" s="218"/>
      <c r="AT34" s="218"/>
      <c r="AU34" s="218"/>
      <c r="AV34" s="218"/>
      <c r="AW34" s="218"/>
    </row>
    <row r="35" spans="1:49" outlineLevel="1">
      <c r="A35" s="226"/>
      <c r="B35" s="235"/>
      <c r="C35" s="235"/>
      <c r="D35" s="30"/>
      <c r="E35" s="30"/>
      <c r="F35" s="30"/>
      <c r="G35" s="239"/>
      <c r="H35" s="218"/>
      <c r="I35" s="218"/>
      <c r="J35" s="218"/>
      <c r="K35" s="218"/>
      <c r="L35" s="218"/>
      <c r="M35" s="218"/>
      <c r="N35" s="218"/>
      <c r="O35" s="218"/>
      <c r="P35" s="218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7"/>
      <c r="AH35" s="227"/>
      <c r="AI35" s="227"/>
      <c r="AJ35" s="227"/>
      <c r="AK35" s="218"/>
      <c r="AL35" s="218"/>
    </row>
    <row r="36" spans="1:49" outlineLevel="1">
      <c r="A36" s="226"/>
      <c r="B36" s="235"/>
      <c r="C36" s="235"/>
      <c r="D36" s="30"/>
      <c r="E36" s="30"/>
      <c r="F36" s="30"/>
      <c r="G36" s="239"/>
      <c r="H36" s="218"/>
      <c r="I36" s="218"/>
      <c r="J36" s="218"/>
      <c r="K36" s="218"/>
      <c r="L36" s="218"/>
      <c r="M36" s="220"/>
      <c r="N36" s="218"/>
      <c r="O36" s="218"/>
      <c r="P36" s="218"/>
      <c r="Q36" s="226"/>
      <c r="R36" s="226"/>
      <c r="S36" s="226"/>
      <c r="T36" s="226"/>
      <c r="U36" s="226"/>
      <c r="V36" s="226"/>
      <c r="W36" s="226"/>
      <c r="X36" s="226"/>
      <c r="Y36" s="226"/>
      <c r="Z36" s="226"/>
      <c r="AA36" s="226"/>
      <c r="AB36" s="226"/>
      <c r="AC36" s="226"/>
      <c r="AD36" s="226"/>
      <c r="AE36" s="226"/>
      <c r="AF36" s="226"/>
      <c r="AG36" s="227"/>
      <c r="AH36" s="227"/>
      <c r="AI36" s="227"/>
      <c r="AJ36" s="227"/>
      <c r="AK36" s="218"/>
      <c r="AL36" s="218"/>
    </row>
    <row r="37" spans="1:49">
      <c r="A37" s="226"/>
      <c r="B37" s="235"/>
      <c r="C37" s="235"/>
      <c r="D37" s="30"/>
      <c r="E37" s="30"/>
      <c r="F37" s="30"/>
      <c r="G37" s="226"/>
      <c r="H37" s="218"/>
      <c r="I37" s="220"/>
      <c r="J37" s="218"/>
      <c r="K37" s="218"/>
      <c r="L37" s="218"/>
      <c r="M37" s="218"/>
      <c r="N37" s="218"/>
      <c r="O37" s="218"/>
      <c r="P37" s="218"/>
      <c r="Q37" s="226"/>
      <c r="R37" s="226"/>
      <c r="S37" s="226"/>
      <c r="T37" s="226"/>
      <c r="U37" s="226"/>
      <c r="V37" s="226"/>
      <c r="W37" s="226"/>
      <c r="X37" s="226"/>
      <c r="Y37" s="226"/>
      <c r="Z37" s="226"/>
      <c r="AA37" s="226"/>
      <c r="AB37" s="226"/>
      <c r="AC37" s="226"/>
      <c r="AD37" s="226"/>
      <c r="AE37" s="226"/>
      <c r="AF37" s="226"/>
      <c r="AG37" s="227"/>
      <c r="AH37" s="227"/>
      <c r="AI37" s="227"/>
      <c r="AJ37" s="227"/>
      <c r="AK37" s="218"/>
      <c r="AL37" s="218"/>
    </row>
    <row r="38" spans="1:49" ht="32" customHeight="1">
      <c r="A38" s="226"/>
      <c r="B38" s="235"/>
      <c r="C38" s="235"/>
      <c r="D38" s="30"/>
      <c r="E38" s="30"/>
      <c r="F38" s="30"/>
      <c r="G38" s="226"/>
      <c r="H38" s="218"/>
      <c r="I38" s="218"/>
      <c r="J38" s="318"/>
      <c r="K38" s="318"/>
      <c r="L38" s="218"/>
      <c r="M38" s="317" t="s">
        <v>63</v>
      </c>
      <c r="N38" s="317"/>
      <c r="O38" s="317"/>
      <c r="P38" s="218"/>
      <c r="Q38" s="226"/>
      <c r="R38" s="320"/>
      <c r="S38" s="320"/>
      <c r="T38" s="226"/>
      <c r="U38" s="226"/>
      <c r="V38" s="230"/>
      <c r="W38" s="226"/>
      <c r="X38" s="226"/>
      <c r="Y38" s="226"/>
      <c r="Z38" s="226"/>
      <c r="AA38" s="226"/>
      <c r="AB38" s="226"/>
      <c r="AC38" s="226"/>
      <c r="AD38" s="226"/>
      <c r="AE38" s="231"/>
      <c r="AF38" s="226"/>
      <c r="AG38" s="227"/>
      <c r="AH38" s="227"/>
      <c r="AI38" s="227"/>
      <c r="AJ38" s="227"/>
      <c r="AK38" s="218"/>
      <c r="AL38" s="218"/>
    </row>
    <row r="39" spans="1:49">
      <c r="A39" s="226"/>
      <c r="B39" s="235"/>
      <c r="C39" s="235"/>
      <c r="D39" s="30"/>
      <c r="E39" s="30"/>
      <c r="F39" s="30"/>
      <c r="G39" s="226"/>
      <c r="H39" s="218"/>
      <c r="I39" s="218"/>
      <c r="J39" s="245"/>
      <c r="K39" s="245"/>
      <c r="L39" s="218"/>
      <c r="M39" s="245" t="s">
        <v>60</v>
      </c>
      <c r="N39" s="245" t="s">
        <v>3</v>
      </c>
      <c r="O39" s="245" t="s">
        <v>64</v>
      </c>
      <c r="P39" s="218"/>
      <c r="Q39" s="226"/>
      <c r="R39" s="232"/>
      <c r="S39" s="232"/>
      <c r="T39" s="233"/>
      <c r="U39" s="226"/>
      <c r="V39" s="233"/>
      <c r="W39" s="226"/>
      <c r="X39" s="226"/>
      <c r="Y39" s="226"/>
      <c r="Z39" s="226"/>
      <c r="AA39" s="226"/>
      <c r="AB39" s="234"/>
      <c r="AC39" s="234"/>
      <c r="AD39" s="226"/>
      <c r="AE39" s="226"/>
      <c r="AF39" s="226"/>
      <c r="AG39" s="227"/>
      <c r="AH39" s="227"/>
      <c r="AI39" s="227"/>
      <c r="AJ39" s="227"/>
      <c r="AK39" s="218"/>
      <c r="AL39" s="218"/>
    </row>
    <row r="40" spans="1:49">
      <c r="A40" s="226"/>
      <c r="B40" s="235"/>
      <c r="C40" s="235"/>
      <c r="D40" s="30"/>
      <c r="E40" s="30"/>
      <c r="F40" s="30"/>
      <c r="G40" s="239"/>
      <c r="H40" s="218"/>
      <c r="I40" s="218"/>
      <c r="J40" s="220"/>
      <c r="K40" s="219"/>
      <c r="L40" s="218"/>
      <c r="M40" s="218">
        <f t="shared" ref="M40:M70" si="0">A1</f>
        <v>635936.20200000005</v>
      </c>
      <c r="N40" s="219">
        <f>IF(B1&gt;1,B1/100,B1)</f>
        <v>0.53950295786000002</v>
      </c>
      <c r="O40" s="246">
        <f>M40*N40</f>
        <v>343089.46198925452</v>
      </c>
      <c r="P40" s="218"/>
      <c r="Q40" s="226"/>
      <c r="R40" s="235"/>
      <c r="S40" s="235"/>
      <c r="T40" s="235"/>
      <c r="U40" s="233"/>
      <c r="V40" s="235"/>
      <c r="W40" s="233"/>
      <c r="X40" s="226"/>
      <c r="Y40" s="226"/>
      <c r="Z40" s="226"/>
      <c r="AA40" s="226"/>
      <c r="AB40" s="234"/>
      <c r="AC40" s="234"/>
      <c r="AD40" s="226"/>
      <c r="AE40" s="226"/>
      <c r="AF40" s="226"/>
      <c r="AG40" s="227"/>
      <c r="AH40" s="227"/>
      <c r="AI40" s="227"/>
      <c r="AJ40" s="227"/>
      <c r="AK40" s="218"/>
      <c r="AL40" s="218"/>
    </row>
    <row r="41" spans="1:49">
      <c r="A41" s="226"/>
      <c r="B41" s="235"/>
      <c r="C41" s="235"/>
      <c r="D41" s="30"/>
      <c r="E41" s="30"/>
      <c r="F41" s="30"/>
      <c r="G41" s="239"/>
      <c r="H41" s="218"/>
      <c r="I41" s="218"/>
      <c r="J41" s="220"/>
      <c r="K41" s="219"/>
      <c r="L41" s="218"/>
      <c r="M41" s="218">
        <f t="shared" si="0"/>
        <v>0</v>
      </c>
      <c r="N41" s="219">
        <f t="shared" ref="N41:N63" si="1">IF(B2&gt;1,B2/100,B2)</f>
        <v>0</v>
      </c>
      <c r="O41" s="246">
        <f t="shared" ref="O41:O70" si="2">M41*N41</f>
        <v>0</v>
      </c>
      <c r="P41" s="218"/>
      <c r="Q41" s="226"/>
      <c r="R41" s="236"/>
      <c r="S41" s="236"/>
      <c r="T41" s="235"/>
      <c r="U41" s="233"/>
      <c r="V41" s="235"/>
      <c r="W41" s="233"/>
      <c r="X41" s="226"/>
      <c r="Y41" s="226"/>
      <c r="Z41" s="226"/>
      <c r="AA41" s="226"/>
      <c r="AB41" s="234"/>
      <c r="AC41" s="234"/>
      <c r="AD41" s="226"/>
      <c r="AE41" s="226"/>
      <c r="AF41" s="226"/>
      <c r="AG41" s="227"/>
      <c r="AH41" s="227"/>
      <c r="AI41" s="227"/>
      <c r="AJ41" s="227"/>
      <c r="AK41" s="218"/>
      <c r="AL41" s="218"/>
    </row>
    <row r="42" spans="1:49">
      <c r="A42" s="226"/>
      <c r="B42" s="235"/>
      <c r="C42" s="235"/>
      <c r="D42" s="30"/>
      <c r="E42" s="30"/>
      <c r="F42" s="30"/>
      <c r="G42" s="239"/>
      <c r="H42" s="218"/>
      <c r="I42" s="244"/>
      <c r="J42" s="220"/>
      <c r="K42" s="219"/>
      <c r="L42" s="218"/>
      <c r="M42" s="218">
        <f t="shared" si="0"/>
        <v>21556.786400000001</v>
      </c>
      <c r="N42" s="219">
        <f t="shared" si="1"/>
        <v>0.63023373883</v>
      </c>
      <c r="O42" s="246">
        <f t="shared" si="2"/>
        <v>13585.814090031696</v>
      </c>
      <c r="P42" s="218"/>
      <c r="Q42" s="226"/>
      <c r="R42" s="236"/>
      <c r="S42" s="236"/>
      <c r="T42" s="235"/>
      <c r="U42" s="233"/>
      <c r="V42" s="235"/>
      <c r="W42" s="233"/>
      <c r="X42" s="226"/>
      <c r="Y42" s="226"/>
      <c r="Z42" s="226"/>
      <c r="AA42" s="226"/>
      <c r="AB42" s="234"/>
      <c r="AC42" s="234"/>
      <c r="AD42" s="226"/>
      <c r="AE42" s="226"/>
      <c r="AF42" s="226"/>
      <c r="AG42" s="227"/>
      <c r="AH42" s="227"/>
      <c r="AI42" s="227"/>
      <c r="AJ42" s="227"/>
      <c r="AK42" s="218"/>
      <c r="AL42" s="218"/>
    </row>
    <row r="43" spans="1:49">
      <c r="A43" s="226"/>
      <c r="B43" s="235"/>
      <c r="C43" s="235"/>
      <c r="D43" s="30"/>
      <c r="E43" s="30"/>
      <c r="F43" s="30"/>
      <c r="G43" s="226"/>
      <c r="H43" s="218"/>
      <c r="I43" s="218"/>
      <c r="J43" s="220"/>
      <c r="K43" s="219"/>
      <c r="L43" s="218"/>
      <c r="M43" s="218">
        <f t="shared" si="0"/>
        <v>-21556.786400000001</v>
      </c>
      <c r="N43" s="219">
        <f t="shared" si="1"/>
        <v>0.63023373883</v>
      </c>
      <c r="O43" s="246">
        <f t="shared" si="2"/>
        <v>-13585.814090031696</v>
      </c>
      <c r="P43" s="218"/>
      <c r="Q43" s="228"/>
      <c r="R43" s="236"/>
      <c r="S43" s="236"/>
      <c r="T43" s="235"/>
      <c r="U43" s="233"/>
      <c r="V43" s="235"/>
      <c r="W43" s="233"/>
      <c r="X43" s="226"/>
      <c r="Y43" s="226"/>
      <c r="Z43" s="226"/>
      <c r="AA43" s="226"/>
      <c r="AB43" s="234"/>
      <c r="AC43" s="234"/>
      <c r="AD43" s="226"/>
      <c r="AE43" s="226"/>
      <c r="AF43" s="226"/>
      <c r="AG43" s="227"/>
      <c r="AH43" s="227"/>
      <c r="AI43" s="227"/>
      <c r="AJ43" s="227"/>
      <c r="AK43" s="218"/>
      <c r="AL43" s="218"/>
    </row>
    <row r="44" spans="1:49">
      <c r="A44" s="226"/>
      <c r="B44" s="235"/>
      <c r="C44" s="235"/>
      <c r="D44" s="30"/>
      <c r="E44" s="30"/>
      <c r="F44" s="30"/>
      <c r="G44" s="239"/>
      <c r="H44" s="218"/>
      <c r="I44" s="218"/>
      <c r="J44" s="220"/>
      <c r="K44" s="219"/>
      <c r="L44" s="218"/>
      <c r="M44" s="218">
        <f t="shared" si="0"/>
        <v>635936.20200000005</v>
      </c>
      <c r="N44" s="219">
        <f t="shared" si="1"/>
        <v>0.53950295786000002</v>
      </c>
      <c r="O44" s="246">
        <f t="shared" si="2"/>
        <v>343089.46198925452</v>
      </c>
      <c r="P44" s="218"/>
      <c r="Q44" s="226"/>
      <c r="R44" s="236"/>
      <c r="S44" s="236"/>
      <c r="T44" s="235"/>
      <c r="U44" s="233"/>
      <c r="V44" s="235"/>
      <c r="W44" s="233"/>
      <c r="X44" s="226"/>
      <c r="Y44" s="226"/>
      <c r="Z44" s="226"/>
      <c r="AA44" s="226"/>
      <c r="AB44" s="234"/>
      <c r="AC44" s="234"/>
      <c r="AD44" s="226"/>
      <c r="AE44" s="226"/>
      <c r="AF44" s="226"/>
      <c r="AG44" s="227"/>
      <c r="AH44" s="227"/>
      <c r="AI44" s="227"/>
      <c r="AJ44" s="227"/>
      <c r="AK44" s="218"/>
      <c r="AL44" s="218"/>
    </row>
    <row r="45" spans="1:49">
      <c r="A45" s="226"/>
      <c r="B45" s="235"/>
      <c r="C45" s="235"/>
      <c r="D45" s="30"/>
      <c r="E45" s="30"/>
      <c r="F45" s="30"/>
      <c r="G45" s="239"/>
      <c r="H45" s="218"/>
      <c r="I45" s="218"/>
      <c r="J45" s="220"/>
      <c r="K45" s="219"/>
      <c r="L45" s="218"/>
      <c r="M45" s="218">
        <f t="shared" si="0"/>
        <v>0</v>
      </c>
      <c r="N45" s="219">
        <f t="shared" si="1"/>
        <v>0</v>
      </c>
      <c r="O45" s="246">
        <f t="shared" si="2"/>
        <v>0</v>
      </c>
      <c r="P45" s="218"/>
      <c r="Q45" s="226"/>
      <c r="R45" s="236"/>
      <c r="S45" s="236"/>
      <c r="T45" s="235"/>
      <c r="U45" s="233"/>
      <c r="V45" s="235"/>
      <c r="W45" s="233"/>
      <c r="X45" s="226"/>
      <c r="Y45" s="226"/>
      <c r="Z45" s="226"/>
      <c r="AA45" s="226"/>
      <c r="AB45" s="234"/>
      <c r="AC45" s="234"/>
      <c r="AD45" s="226"/>
      <c r="AE45" s="226"/>
      <c r="AF45" s="226"/>
      <c r="AG45" s="227"/>
      <c r="AH45" s="227"/>
      <c r="AI45" s="227"/>
      <c r="AJ45" s="227"/>
      <c r="AK45" s="218"/>
      <c r="AL45" s="218"/>
    </row>
    <row r="46" spans="1:49">
      <c r="A46" s="226"/>
      <c r="B46" s="235"/>
      <c r="C46" s="235"/>
      <c r="D46" s="30"/>
      <c r="E46" s="30"/>
      <c r="F46" s="30"/>
      <c r="G46" s="239"/>
      <c r="H46" s="218"/>
      <c r="I46" s="218"/>
      <c r="J46" s="220"/>
      <c r="K46" s="219"/>
      <c r="L46" s="218"/>
      <c r="M46" s="218">
        <f t="shared" si="0"/>
        <v>635936.20200000005</v>
      </c>
      <c r="N46" s="219">
        <f t="shared" si="1"/>
        <v>0.53950295786000002</v>
      </c>
      <c r="O46" s="246">
        <f t="shared" si="2"/>
        <v>343089.46198925452</v>
      </c>
      <c r="P46" s="218"/>
      <c r="Q46" s="226"/>
      <c r="R46" s="236"/>
      <c r="S46" s="236"/>
      <c r="T46" s="235"/>
      <c r="U46" s="233"/>
      <c r="V46" s="235"/>
      <c r="W46" s="233"/>
      <c r="X46" s="226"/>
      <c r="Y46" s="226"/>
      <c r="Z46" s="226"/>
      <c r="AA46" s="226"/>
      <c r="AB46" s="234"/>
      <c r="AC46" s="234"/>
      <c r="AD46" s="226"/>
      <c r="AE46" s="226"/>
      <c r="AF46" s="226"/>
      <c r="AG46" s="227"/>
      <c r="AH46" s="227"/>
      <c r="AI46" s="227"/>
      <c r="AJ46" s="227"/>
      <c r="AK46" s="218"/>
      <c r="AL46" s="218"/>
    </row>
    <row r="47" spans="1:49">
      <c r="A47" s="228"/>
      <c r="B47" s="240"/>
      <c r="C47" s="235"/>
      <c r="D47" s="30"/>
      <c r="E47" s="30"/>
      <c r="F47" s="30"/>
      <c r="G47" s="226"/>
      <c r="H47" s="218"/>
      <c r="I47" s="218"/>
      <c r="J47" s="220"/>
      <c r="K47" s="219"/>
      <c r="L47" s="218"/>
      <c r="M47" s="218">
        <f t="shared" si="0"/>
        <v>8158.0619999999999</v>
      </c>
      <c r="N47" s="219">
        <f t="shared" si="1"/>
        <v>0.53950295800000003</v>
      </c>
      <c r="O47" s="246">
        <f t="shared" si="2"/>
        <v>4401.2985805473963</v>
      </c>
      <c r="P47" s="218"/>
      <c r="Q47" s="228"/>
      <c r="R47" s="236"/>
      <c r="S47" s="236"/>
      <c r="T47" s="235"/>
      <c r="U47" s="233"/>
      <c r="V47" s="235"/>
      <c r="W47" s="233"/>
      <c r="X47" s="226"/>
      <c r="Y47" s="226"/>
      <c r="Z47" s="226"/>
      <c r="AA47" s="226"/>
      <c r="AB47" s="234"/>
      <c r="AC47" s="234"/>
      <c r="AD47" s="226"/>
      <c r="AE47" s="226"/>
      <c r="AF47" s="226"/>
      <c r="AG47" s="227"/>
      <c r="AH47" s="227"/>
      <c r="AI47" s="227"/>
      <c r="AJ47" s="227"/>
      <c r="AK47" s="218"/>
      <c r="AL47" s="218"/>
    </row>
    <row r="48" spans="1:49">
      <c r="A48" s="226"/>
      <c r="B48" s="235"/>
      <c r="C48" s="235"/>
      <c r="D48" s="30"/>
      <c r="E48" s="30"/>
      <c r="F48" s="30"/>
      <c r="G48" s="239"/>
      <c r="H48" s="218"/>
      <c r="I48" s="218"/>
      <c r="J48" s="220"/>
      <c r="K48" s="219"/>
      <c r="L48" s="218"/>
      <c r="M48" s="218">
        <f t="shared" si="0"/>
        <v>627778.14</v>
      </c>
      <c r="N48" s="219">
        <f t="shared" si="1"/>
        <v>0.53950295786000002</v>
      </c>
      <c r="O48" s="246">
        <f t="shared" si="2"/>
        <v>338688.16340984922</v>
      </c>
      <c r="P48" s="218"/>
      <c r="Q48" s="226"/>
      <c r="R48" s="236"/>
      <c r="S48" s="236"/>
      <c r="T48" s="235"/>
      <c r="U48" s="233"/>
      <c r="V48" s="235"/>
      <c r="W48" s="233"/>
      <c r="X48" s="226"/>
      <c r="Y48" s="226"/>
      <c r="Z48" s="226"/>
      <c r="AA48" s="226"/>
      <c r="AB48" s="234"/>
      <c r="AC48" s="234"/>
      <c r="AD48" s="226"/>
      <c r="AE48" s="226"/>
      <c r="AF48" s="226"/>
      <c r="AG48" s="227"/>
      <c r="AH48" s="227"/>
      <c r="AI48" s="227"/>
      <c r="AJ48" s="227"/>
      <c r="AK48" s="218"/>
      <c r="AL48" s="218"/>
    </row>
    <row r="49" spans="1:38">
      <c r="A49" s="30"/>
      <c r="B49" s="30"/>
      <c r="C49" s="30"/>
      <c r="D49" s="226"/>
      <c r="E49" s="226"/>
      <c r="F49" s="226"/>
      <c r="G49" s="239"/>
      <c r="H49" s="218"/>
      <c r="I49" s="218"/>
      <c r="J49" s="220"/>
      <c r="K49" s="219"/>
      <c r="L49" s="218"/>
      <c r="M49" s="218">
        <f t="shared" si="0"/>
        <v>0</v>
      </c>
      <c r="N49" s="219">
        <f t="shared" si="1"/>
        <v>0</v>
      </c>
      <c r="O49" s="246">
        <f t="shared" si="2"/>
        <v>0</v>
      </c>
      <c r="P49" s="218"/>
      <c r="Q49" s="226"/>
      <c r="R49" s="236"/>
      <c r="S49" s="236"/>
      <c r="T49" s="235"/>
      <c r="U49" s="233"/>
      <c r="V49" s="235"/>
      <c r="W49" s="233"/>
      <c r="X49" s="226"/>
      <c r="Y49" s="226"/>
      <c r="Z49" s="226"/>
      <c r="AA49" s="226"/>
      <c r="AB49" s="234"/>
      <c r="AC49" s="234"/>
      <c r="AD49" s="226"/>
      <c r="AE49" s="226"/>
      <c r="AF49" s="226"/>
      <c r="AG49" s="227"/>
      <c r="AH49" s="227"/>
      <c r="AI49" s="227"/>
      <c r="AJ49" s="227"/>
      <c r="AK49" s="218"/>
      <c r="AL49" s="218"/>
    </row>
    <row r="50" spans="1:38">
      <c r="A50" s="30"/>
      <c r="B50" s="30"/>
      <c r="C50" s="30"/>
      <c r="D50" s="228"/>
      <c r="E50" s="241"/>
      <c r="F50" s="235"/>
      <c r="G50" s="226"/>
      <c r="H50" s="218"/>
      <c r="I50" s="218"/>
      <c r="J50" s="220"/>
      <c r="K50" s="219"/>
      <c r="L50" s="218"/>
      <c r="M50" s="218">
        <f t="shared" si="0"/>
        <v>57468.221721000002</v>
      </c>
      <c r="N50" s="219">
        <f t="shared" si="1"/>
        <v>0.58591834491000006</v>
      </c>
      <c r="O50" s="246">
        <f t="shared" si="2"/>
        <v>33671.685355689238</v>
      </c>
      <c r="P50" s="218"/>
      <c r="Q50" s="228"/>
      <c r="R50" s="236"/>
      <c r="S50" s="236"/>
      <c r="T50" s="235"/>
      <c r="U50" s="233"/>
      <c r="V50" s="235"/>
      <c r="W50" s="233"/>
      <c r="X50" s="226"/>
      <c r="Y50" s="226"/>
      <c r="Z50" s="226"/>
      <c r="AA50" s="226"/>
      <c r="AB50" s="234"/>
      <c r="AC50" s="234"/>
      <c r="AD50" s="226"/>
      <c r="AE50" s="226"/>
      <c r="AF50" s="226"/>
      <c r="AG50" s="227"/>
      <c r="AH50" s="227"/>
      <c r="AI50" s="227"/>
      <c r="AJ50" s="227"/>
      <c r="AK50" s="218"/>
      <c r="AL50" s="218"/>
    </row>
    <row r="51" spans="1:38">
      <c r="A51" s="30"/>
      <c r="B51" s="30"/>
      <c r="C51" s="30"/>
      <c r="D51" s="226"/>
      <c r="E51" s="226"/>
      <c r="F51" s="226"/>
      <c r="G51" s="239"/>
      <c r="H51" s="218"/>
      <c r="I51" s="244"/>
      <c r="J51" s="220"/>
      <c r="K51" s="219"/>
      <c r="L51" s="218"/>
      <c r="M51" s="218">
        <f t="shared" si="0"/>
        <v>52451.256800000003</v>
      </c>
      <c r="N51" s="219">
        <f t="shared" si="1"/>
        <v>0.61664549999999996</v>
      </c>
      <c r="O51" s="246">
        <f t="shared" si="2"/>
        <v>32343.831475064399</v>
      </c>
      <c r="P51" s="218"/>
      <c r="Q51" s="226"/>
      <c r="R51" s="236"/>
      <c r="S51" s="236"/>
      <c r="T51" s="235"/>
      <c r="U51" s="233"/>
      <c r="V51" s="235"/>
      <c r="W51" s="233"/>
      <c r="X51" s="226"/>
      <c r="Y51" s="226"/>
      <c r="Z51" s="226"/>
      <c r="AA51" s="226"/>
      <c r="AB51" s="234"/>
      <c r="AC51" s="234"/>
      <c r="AD51" s="226"/>
      <c r="AE51" s="226"/>
      <c r="AF51" s="226"/>
      <c r="AG51" s="227"/>
      <c r="AH51" s="227"/>
      <c r="AI51" s="227"/>
      <c r="AJ51" s="227"/>
      <c r="AK51" s="218"/>
      <c r="AL51" s="218"/>
    </row>
    <row r="52" spans="1:38">
      <c r="A52" s="30"/>
      <c r="B52" s="30"/>
      <c r="C52" s="30"/>
      <c r="D52" s="226"/>
      <c r="E52" s="226"/>
      <c r="F52" s="226"/>
      <c r="G52" s="239"/>
      <c r="H52" s="218"/>
      <c r="I52" s="218"/>
      <c r="J52" s="220"/>
      <c r="K52" s="219"/>
      <c r="L52" s="218"/>
      <c r="M52" s="218">
        <f t="shared" si="0"/>
        <v>519665.78352</v>
      </c>
      <c r="N52" s="219">
        <f t="shared" si="1"/>
        <v>0.60820495416999998</v>
      </c>
      <c r="O52" s="246">
        <f t="shared" si="2"/>
        <v>316063.30404949875</v>
      </c>
      <c r="P52" s="218"/>
      <c r="Q52" s="226"/>
      <c r="R52" s="236"/>
      <c r="S52" s="236"/>
      <c r="T52" s="235"/>
      <c r="U52" s="233"/>
      <c r="V52" s="235"/>
      <c r="W52" s="233"/>
      <c r="X52" s="226"/>
      <c r="Y52" s="226"/>
      <c r="Z52" s="226"/>
      <c r="AA52" s="226"/>
      <c r="AB52" s="234"/>
      <c r="AC52" s="234"/>
      <c r="AD52" s="226"/>
      <c r="AE52" s="226"/>
      <c r="AF52" s="226"/>
      <c r="AG52" s="226"/>
      <c r="AH52" s="226"/>
      <c r="AI52" s="227"/>
      <c r="AJ52" s="227"/>
      <c r="AK52" s="218"/>
      <c r="AL52" s="218"/>
    </row>
    <row r="53" spans="1:38">
      <c r="A53" s="30"/>
      <c r="B53" s="30"/>
      <c r="C53" s="30"/>
      <c r="D53" s="226"/>
      <c r="E53" s="226"/>
      <c r="F53" s="226"/>
      <c r="G53" s="239"/>
      <c r="H53" s="218"/>
      <c r="I53" s="218"/>
      <c r="J53" s="220"/>
      <c r="K53" s="219"/>
      <c r="L53" s="218"/>
      <c r="M53" s="218">
        <f t="shared" si="0"/>
        <v>108112.35648</v>
      </c>
      <c r="N53" s="219">
        <f t="shared" si="1"/>
        <v>0.20927172525000001</v>
      </c>
      <c r="O53" s="246">
        <f t="shared" si="2"/>
        <v>22624.859361412618</v>
      </c>
      <c r="P53" s="218"/>
      <c r="Q53" s="226"/>
      <c r="R53" s="236"/>
      <c r="S53" s="236"/>
      <c r="T53" s="235"/>
      <c r="U53" s="233"/>
      <c r="V53" s="235"/>
      <c r="W53" s="233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6"/>
      <c r="AJ53" s="226"/>
      <c r="AK53" s="218"/>
      <c r="AL53" s="218"/>
    </row>
    <row r="54" spans="1:38">
      <c r="A54" s="30"/>
      <c r="B54" s="30"/>
      <c r="C54" s="30"/>
      <c r="D54" s="226"/>
      <c r="E54" s="226"/>
      <c r="F54" s="226"/>
      <c r="G54" s="239"/>
      <c r="H54" s="218"/>
      <c r="I54" s="218"/>
      <c r="J54" s="220"/>
      <c r="K54" s="219"/>
      <c r="L54" s="218"/>
      <c r="M54" s="218">
        <f t="shared" si="0"/>
        <v>19394.5455</v>
      </c>
      <c r="N54" s="219">
        <f t="shared" si="1"/>
        <v>0.19782955895000001</v>
      </c>
      <c r="O54" s="246">
        <f t="shared" si="2"/>
        <v>3836.8143823007076</v>
      </c>
      <c r="P54" s="218"/>
      <c r="Q54" s="226"/>
      <c r="R54" s="236"/>
      <c r="S54" s="236"/>
      <c r="T54" s="235"/>
      <c r="U54" s="233"/>
      <c r="V54" s="235"/>
      <c r="W54" s="233"/>
      <c r="X54" s="226"/>
      <c r="Y54" s="226"/>
      <c r="Z54" s="226"/>
      <c r="AA54" s="226"/>
      <c r="AB54" s="226"/>
      <c r="AC54" s="226"/>
      <c r="AD54" s="226"/>
      <c r="AE54" s="226"/>
      <c r="AF54" s="226"/>
      <c r="AG54" s="226"/>
      <c r="AH54" s="226"/>
      <c r="AI54" s="226"/>
      <c r="AJ54" s="226"/>
      <c r="AK54" s="218"/>
      <c r="AL54" s="218"/>
    </row>
    <row r="55" spans="1:38">
      <c r="A55" s="30"/>
      <c r="B55" s="30"/>
      <c r="C55" s="30"/>
      <c r="D55" s="226"/>
      <c r="E55" s="226"/>
      <c r="F55" s="226"/>
      <c r="G55" s="239"/>
      <c r="H55" s="218"/>
      <c r="I55" s="218"/>
      <c r="J55" s="220"/>
      <c r="K55" s="219"/>
      <c r="L55" s="218"/>
      <c r="M55" s="218">
        <f t="shared" si="0"/>
        <v>88717.810979000002</v>
      </c>
      <c r="N55" s="219">
        <f t="shared" si="1"/>
        <v>0.21177309011000001</v>
      </c>
      <c r="O55" s="246">
        <f t="shared" si="2"/>
        <v>18788.044978817714</v>
      </c>
      <c r="P55" s="218"/>
      <c r="Q55" s="226"/>
      <c r="R55" s="236"/>
      <c r="S55" s="236"/>
      <c r="T55" s="235"/>
      <c r="U55" s="233"/>
      <c r="V55" s="235"/>
      <c r="W55" s="233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18"/>
      <c r="AL55" s="218"/>
    </row>
    <row r="56" spans="1:38">
      <c r="A56" s="30"/>
      <c r="B56" s="30"/>
      <c r="C56" s="30"/>
      <c r="D56" s="228"/>
      <c r="E56" s="241"/>
      <c r="F56" s="235"/>
      <c r="G56" s="226"/>
      <c r="H56" s="218"/>
      <c r="I56" s="218"/>
      <c r="J56" s="220"/>
      <c r="K56" s="219"/>
      <c r="L56" s="218"/>
      <c r="M56" s="218">
        <f t="shared" si="0"/>
        <v>-45958.833721000003</v>
      </c>
      <c r="N56" s="219">
        <f t="shared" si="1"/>
        <v>0.177288</v>
      </c>
      <c r="O56" s="246">
        <f t="shared" si="2"/>
        <v>-8147.9497127286486</v>
      </c>
      <c r="P56" s="220"/>
      <c r="Q56" s="228"/>
      <c r="R56" s="236"/>
      <c r="S56" s="236"/>
      <c r="T56" s="235"/>
      <c r="U56" s="233"/>
      <c r="V56" s="235"/>
      <c r="W56" s="233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18"/>
      <c r="AL56" s="218"/>
    </row>
    <row r="57" spans="1:38">
      <c r="A57" s="30"/>
      <c r="B57" s="30"/>
      <c r="C57" s="30"/>
      <c r="D57" s="226"/>
      <c r="E57" s="226"/>
      <c r="F57" s="226"/>
      <c r="G57" s="239"/>
      <c r="H57" s="218"/>
      <c r="I57" s="218"/>
      <c r="J57" s="220"/>
      <c r="K57" s="219"/>
      <c r="L57" s="218"/>
      <c r="M57" s="218">
        <f t="shared" si="0"/>
        <v>65353.379221000003</v>
      </c>
      <c r="N57" s="219">
        <f t="shared" si="1"/>
        <v>0.18338399999999999</v>
      </c>
      <c r="O57" s="246">
        <f t="shared" si="2"/>
        <v>11984.764095063863</v>
      </c>
      <c r="P57" s="220"/>
      <c r="Q57" s="226"/>
      <c r="R57" s="236"/>
      <c r="S57" s="236"/>
      <c r="T57" s="235"/>
      <c r="U57" s="233"/>
      <c r="V57" s="235"/>
      <c r="W57" s="233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18"/>
      <c r="AL57" s="218"/>
    </row>
    <row r="58" spans="1:38">
      <c r="A58" s="30"/>
      <c r="B58" s="30"/>
      <c r="C58" s="30"/>
      <c r="D58" s="226"/>
      <c r="E58" s="226"/>
      <c r="F58" s="226"/>
      <c r="G58" s="239"/>
      <c r="H58" s="218"/>
      <c r="I58" s="218"/>
      <c r="J58" s="220"/>
      <c r="K58" s="219"/>
      <c r="L58" s="220"/>
      <c r="M58" s="218">
        <f t="shared" si="0"/>
        <v>154071.19020000001</v>
      </c>
      <c r="N58" s="219">
        <f t="shared" si="1"/>
        <v>0.19973110504</v>
      </c>
      <c r="O58" s="246">
        <f t="shared" si="2"/>
        <v>30772.809073474022</v>
      </c>
      <c r="P58" s="218"/>
      <c r="Q58" s="226"/>
      <c r="R58" s="236"/>
      <c r="S58" s="236"/>
      <c r="T58" s="235"/>
      <c r="U58" s="233"/>
      <c r="V58" s="235"/>
      <c r="W58" s="233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18"/>
      <c r="AL58" s="218"/>
    </row>
    <row r="59" spans="1:38">
      <c r="A59" s="30"/>
      <c r="B59" s="30"/>
      <c r="C59" s="30"/>
      <c r="D59" s="226"/>
      <c r="E59" s="226"/>
      <c r="F59" s="226"/>
      <c r="G59" s="239"/>
      <c r="H59" s="218"/>
      <c r="I59" s="244"/>
      <c r="J59" s="220"/>
      <c r="K59" s="219"/>
      <c r="L59" s="218"/>
      <c r="M59" s="218">
        <f t="shared" si="0"/>
        <v>129854.1048</v>
      </c>
      <c r="N59" s="219">
        <f t="shared" si="1"/>
        <v>0.14616000000000001</v>
      </c>
      <c r="O59" s="246">
        <f t="shared" si="2"/>
        <v>18979.475957568</v>
      </c>
      <c r="P59" s="218"/>
      <c r="Q59" s="226"/>
      <c r="R59" s="236"/>
      <c r="S59" s="236"/>
      <c r="T59" s="235"/>
      <c r="U59" s="233"/>
      <c r="V59" s="235"/>
      <c r="W59" s="233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18"/>
      <c r="AL59" s="218"/>
    </row>
    <row r="60" spans="1:38">
      <c r="A60" s="30"/>
      <c r="B60" s="30"/>
      <c r="C60" s="30"/>
      <c r="D60" s="226"/>
      <c r="E60" s="226"/>
      <c r="F60" s="226"/>
      <c r="G60" s="239"/>
      <c r="H60" s="218"/>
      <c r="I60" s="218"/>
      <c r="J60" s="220"/>
      <c r="K60" s="219"/>
      <c r="L60" s="218"/>
      <c r="M60" s="218">
        <f t="shared" si="0"/>
        <v>24217.0854</v>
      </c>
      <c r="N60" s="219">
        <f t="shared" si="1"/>
        <v>0.48698399999999997</v>
      </c>
      <c r="O60" s="246">
        <f t="shared" si="2"/>
        <v>11793.3331164336</v>
      </c>
      <c r="P60" s="218"/>
      <c r="Q60" s="226"/>
      <c r="R60" s="236"/>
      <c r="S60" s="236"/>
      <c r="T60" s="235"/>
      <c r="U60" s="233"/>
      <c r="V60" s="235"/>
      <c r="W60" s="233"/>
      <c r="X60" s="226"/>
      <c r="Y60" s="226"/>
      <c r="Z60" s="226"/>
      <c r="AA60" s="228"/>
      <c r="AB60" s="228"/>
      <c r="AC60" s="226"/>
      <c r="AD60" s="226"/>
      <c r="AE60" s="226"/>
      <c r="AF60" s="226"/>
      <c r="AG60" s="226"/>
      <c r="AH60" s="226"/>
      <c r="AI60" s="226"/>
      <c r="AJ60" s="226"/>
      <c r="AK60" s="218"/>
      <c r="AL60" s="218"/>
    </row>
    <row r="61" spans="1:38">
      <c r="A61" s="30"/>
      <c r="B61" s="30"/>
      <c r="C61" s="30"/>
      <c r="D61" s="228"/>
      <c r="E61" s="228"/>
      <c r="F61" s="235"/>
      <c r="G61" s="226"/>
      <c r="H61" s="218"/>
      <c r="I61" s="218"/>
      <c r="J61" s="220"/>
      <c r="K61" s="219"/>
      <c r="L61" s="218"/>
      <c r="M61" s="218">
        <f t="shared" si="0"/>
        <v>-1218.6096</v>
      </c>
      <c r="N61" s="219">
        <f t="shared" si="1"/>
        <v>0.49230655541000001</v>
      </c>
      <c r="O61" s="246">
        <f t="shared" si="2"/>
        <v>-599.929494565558</v>
      </c>
      <c r="P61" s="218"/>
      <c r="Q61" s="228"/>
      <c r="R61" s="236"/>
      <c r="S61" s="236"/>
      <c r="T61" s="235"/>
      <c r="U61" s="233"/>
      <c r="V61" s="235"/>
      <c r="W61" s="233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18"/>
      <c r="AL61" s="218"/>
    </row>
    <row r="62" spans="1:38">
      <c r="A62" s="30"/>
      <c r="B62" s="30"/>
      <c r="C62" s="30"/>
      <c r="D62" s="226"/>
      <c r="E62" s="226"/>
      <c r="F62" s="226"/>
      <c r="G62" s="239"/>
      <c r="H62" s="218"/>
      <c r="I62" s="244"/>
      <c r="J62" s="220"/>
      <c r="K62" s="219"/>
      <c r="L62" s="218"/>
      <c r="M62" s="218">
        <f t="shared" si="0"/>
        <v>25435.695</v>
      </c>
      <c r="N62" s="219">
        <f t="shared" si="1"/>
        <v>0.48723900059000003</v>
      </c>
      <c r="O62" s="246">
        <f t="shared" si="2"/>
        <v>12393.262611112061</v>
      </c>
      <c r="P62" s="218"/>
      <c r="Q62" s="226"/>
      <c r="R62" s="236"/>
      <c r="S62" s="236"/>
      <c r="T62" s="235"/>
      <c r="U62" s="233"/>
      <c r="V62" s="235"/>
      <c r="W62" s="233"/>
      <c r="X62" s="226"/>
      <c r="Y62" s="226"/>
      <c r="Z62" s="226"/>
      <c r="AA62" s="228"/>
      <c r="AB62" s="228"/>
      <c r="AC62" s="226"/>
      <c r="AD62" s="226"/>
      <c r="AE62" s="226"/>
      <c r="AF62" s="226"/>
      <c r="AG62" s="226"/>
      <c r="AH62" s="226"/>
      <c r="AI62" s="226"/>
      <c r="AJ62" s="226"/>
      <c r="AK62" s="218"/>
      <c r="AL62" s="218"/>
    </row>
    <row r="63" spans="1:38">
      <c r="A63" s="30"/>
      <c r="B63" s="30"/>
      <c r="C63" s="30"/>
      <c r="D63" s="226"/>
      <c r="E63" s="226"/>
      <c r="F63" s="226"/>
      <c r="G63" s="239"/>
      <c r="H63" s="218"/>
      <c r="I63" s="218"/>
      <c r="J63" s="220"/>
      <c r="K63" s="219"/>
      <c r="L63" s="218"/>
      <c r="M63" s="218">
        <f t="shared" si="0"/>
        <v>409746.30499999999</v>
      </c>
      <c r="N63" s="219">
        <f t="shared" si="1"/>
        <v>0.61025025525999999</v>
      </c>
      <c r="O63" s="246">
        <f t="shared" si="2"/>
        <v>250047.78721809181</v>
      </c>
      <c r="P63" s="220"/>
      <c r="Q63" s="226"/>
      <c r="R63" s="236"/>
      <c r="S63" s="236"/>
      <c r="T63" s="235"/>
      <c r="U63" s="233"/>
      <c r="V63" s="235"/>
      <c r="W63" s="233"/>
      <c r="X63" s="226"/>
      <c r="Y63" s="226"/>
      <c r="Z63" s="226"/>
      <c r="AA63" s="235"/>
      <c r="AB63" s="228"/>
      <c r="AC63" s="228"/>
      <c r="AD63" s="226"/>
      <c r="AE63" s="226"/>
      <c r="AF63" s="226"/>
      <c r="AG63" s="226"/>
      <c r="AH63" s="226"/>
      <c r="AI63" s="226"/>
      <c r="AJ63" s="226"/>
      <c r="AK63" s="218"/>
      <c r="AL63" s="218"/>
    </row>
    <row r="64" spans="1:38">
      <c r="A64" s="30"/>
      <c r="B64" s="30"/>
      <c r="C64" s="30"/>
      <c r="D64" s="226"/>
      <c r="E64" s="226"/>
      <c r="F64" s="226"/>
      <c r="G64" s="226"/>
      <c r="H64" s="218"/>
      <c r="I64" s="218"/>
      <c r="J64" s="220"/>
      <c r="K64" s="219"/>
      <c r="L64" s="218"/>
      <c r="M64" s="218">
        <f t="shared" si="0"/>
        <v>0</v>
      </c>
      <c r="N64" s="219">
        <f t="shared" ref="N64:N70" si="3">B25</f>
        <v>0</v>
      </c>
      <c r="O64" s="246">
        <f t="shared" si="2"/>
        <v>0</v>
      </c>
      <c r="P64" s="218"/>
      <c r="Q64" s="226"/>
      <c r="R64" s="236"/>
      <c r="S64" s="236"/>
      <c r="T64" s="235"/>
      <c r="U64" s="233"/>
      <c r="V64" s="235"/>
      <c r="W64" s="233"/>
      <c r="X64" s="226"/>
      <c r="Y64" s="226"/>
      <c r="Z64" s="226"/>
      <c r="AA64" s="235"/>
      <c r="AB64" s="228"/>
      <c r="AC64" s="226"/>
      <c r="AD64" s="226"/>
      <c r="AE64" s="226"/>
      <c r="AF64" s="226"/>
      <c r="AG64" s="226"/>
      <c r="AH64" s="226"/>
      <c r="AI64" s="226"/>
      <c r="AJ64" s="226"/>
      <c r="AK64" s="218"/>
      <c r="AL64" s="218"/>
    </row>
    <row r="65" spans="1:38" s="185" customFormat="1">
      <c r="A65" s="30"/>
      <c r="B65" s="30"/>
      <c r="C65" s="30"/>
      <c r="D65" s="226"/>
      <c r="E65" s="226"/>
      <c r="F65" s="226"/>
      <c r="G65" s="226"/>
      <c r="H65" s="218"/>
      <c r="I65" s="218"/>
      <c r="J65" s="220"/>
      <c r="K65" s="219"/>
      <c r="L65" s="218"/>
      <c r="M65" s="218">
        <f t="shared" si="0"/>
        <v>0</v>
      </c>
      <c r="N65" s="219">
        <f t="shared" si="3"/>
        <v>0</v>
      </c>
      <c r="O65" s="246">
        <f t="shared" si="2"/>
        <v>0</v>
      </c>
      <c r="P65" s="218"/>
      <c r="Q65" s="226"/>
      <c r="R65" s="236"/>
      <c r="S65" s="236"/>
      <c r="T65" s="235"/>
      <c r="U65" s="233"/>
      <c r="V65" s="235"/>
      <c r="W65" s="233"/>
      <c r="X65" s="226"/>
      <c r="Y65" s="226"/>
      <c r="Z65" s="226"/>
      <c r="AA65" s="235"/>
      <c r="AB65" s="228"/>
      <c r="AC65" s="226"/>
      <c r="AD65" s="226"/>
      <c r="AE65" s="226"/>
      <c r="AF65" s="226"/>
      <c r="AG65" s="226"/>
      <c r="AH65" s="226"/>
      <c r="AI65" s="226"/>
      <c r="AJ65" s="226"/>
      <c r="AK65" s="218"/>
      <c r="AL65" s="218"/>
    </row>
    <row r="66" spans="1:38" s="185" customFormat="1">
      <c r="A66" s="30"/>
      <c r="B66" s="30"/>
      <c r="C66" s="30"/>
      <c r="D66" s="226"/>
      <c r="E66" s="226"/>
      <c r="F66" s="226"/>
      <c r="G66" s="226"/>
      <c r="H66" s="218"/>
      <c r="I66" s="218"/>
      <c r="J66" s="220"/>
      <c r="K66" s="219"/>
      <c r="L66" s="218"/>
      <c r="M66" s="218">
        <f t="shared" si="0"/>
        <v>0</v>
      </c>
      <c r="N66" s="219">
        <f t="shared" si="3"/>
        <v>0</v>
      </c>
      <c r="O66" s="246">
        <f t="shared" si="2"/>
        <v>0</v>
      </c>
      <c r="P66" s="218"/>
      <c r="Q66" s="226"/>
      <c r="R66" s="236"/>
      <c r="S66" s="236"/>
      <c r="T66" s="235"/>
      <c r="U66" s="233"/>
      <c r="V66" s="235"/>
      <c r="W66" s="233"/>
      <c r="X66" s="226"/>
      <c r="Y66" s="226"/>
      <c r="Z66" s="226"/>
      <c r="AA66" s="235"/>
      <c r="AB66" s="228"/>
      <c r="AC66" s="226"/>
      <c r="AD66" s="226"/>
      <c r="AE66" s="226"/>
      <c r="AF66" s="226"/>
      <c r="AG66" s="226"/>
      <c r="AH66" s="226"/>
      <c r="AI66" s="226"/>
      <c r="AJ66" s="226"/>
      <c r="AK66" s="218"/>
      <c r="AL66" s="218"/>
    </row>
    <row r="67" spans="1:38" s="185" customFormat="1">
      <c r="A67" s="30"/>
      <c r="B67" s="30"/>
      <c r="C67" s="30"/>
      <c r="D67" s="228"/>
      <c r="E67" s="228"/>
      <c r="F67" s="235"/>
      <c r="G67" s="226"/>
      <c r="H67" s="218"/>
      <c r="I67" s="218"/>
      <c r="J67" s="220"/>
      <c r="K67" s="219"/>
      <c r="L67" s="218"/>
      <c r="M67" s="218">
        <f t="shared" si="0"/>
        <v>0</v>
      </c>
      <c r="N67" s="219">
        <f t="shared" si="3"/>
        <v>0</v>
      </c>
      <c r="O67" s="246">
        <f t="shared" si="2"/>
        <v>0</v>
      </c>
      <c r="P67" s="218"/>
      <c r="Q67" s="226"/>
      <c r="R67" s="236"/>
      <c r="S67" s="236"/>
      <c r="T67" s="235"/>
      <c r="U67" s="233"/>
      <c r="V67" s="235"/>
      <c r="W67" s="233"/>
      <c r="X67" s="226"/>
      <c r="Y67" s="226"/>
      <c r="Z67" s="226"/>
      <c r="AA67" s="235"/>
      <c r="AB67" s="228"/>
      <c r="AC67" s="226"/>
      <c r="AD67" s="226"/>
      <c r="AE67" s="226"/>
      <c r="AF67" s="226"/>
      <c r="AG67" s="226"/>
      <c r="AH67" s="226"/>
      <c r="AI67" s="226"/>
      <c r="AJ67" s="226"/>
      <c r="AK67" s="218"/>
      <c r="AL67" s="218"/>
    </row>
    <row r="68" spans="1:38" s="185" customFormat="1">
      <c r="A68" s="30"/>
      <c r="B68" s="30"/>
      <c r="C68" s="30"/>
      <c r="D68" s="226"/>
      <c r="E68" s="226"/>
      <c r="F68" s="226"/>
      <c r="G68" s="226"/>
      <c r="H68" s="218"/>
      <c r="I68" s="218"/>
      <c r="J68" s="220"/>
      <c r="K68" s="219"/>
      <c r="L68" s="218"/>
      <c r="M68" s="218">
        <f t="shared" si="0"/>
        <v>0</v>
      </c>
      <c r="N68" s="219">
        <f t="shared" si="3"/>
        <v>0</v>
      </c>
      <c r="O68" s="246">
        <f t="shared" si="2"/>
        <v>0</v>
      </c>
      <c r="P68" s="218"/>
      <c r="Q68" s="226"/>
      <c r="R68" s="236"/>
      <c r="S68" s="236"/>
      <c r="T68" s="235"/>
      <c r="U68" s="233"/>
      <c r="V68" s="235"/>
      <c r="W68" s="233"/>
      <c r="X68" s="226"/>
      <c r="Y68" s="226"/>
      <c r="Z68" s="226"/>
      <c r="AA68" s="235"/>
      <c r="AB68" s="228"/>
      <c r="AC68" s="226"/>
      <c r="AD68" s="226"/>
      <c r="AE68" s="226"/>
      <c r="AF68" s="226"/>
      <c r="AG68" s="226"/>
      <c r="AH68" s="226"/>
      <c r="AI68" s="226"/>
      <c r="AJ68" s="226"/>
      <c r="AK68" s="218"/>
      <c r="AL68" s="218"/>
    </row>
    <row r="69" spans="1:38" s="185" customFormat="1">
      <c r="A69" s="30"/>
      <c r="B69" s="30"/>
      <c r="C69" s="30"/>
      <c r="D69" s="226"/>
      <c r="E69" s="226"/>
      <c r="F69" s="226"/>
      <c r="G69" s="226"/>
      <c r="H69" s="218"/>
      <c r="I69" s="218"/>
      <c r="J69" s="220"/>
      <c r="K69" s="219"/>
      <c r="L69" s="218"/>
      <c r="M69" s="218">
        <f t="shared" si="0"/>
        <v>0</v>
      </c>
      <c r="N69" s="219">
        <f t="shared" si="3"/>
        <v>0</v>
      </c>
      <c r="O69" s="246">
        <f t="shared" si="2"/>
        <v>0</v>
      </c>
      <c r="P69" s="218"/>
      <c r="Q69" s="226"/>
      <c r="R69" s="236"/>
      <c r="S69" s="236"/>
      <c r="T69" s="235"/>
      <c r="U69" s="233"/>
      <c r="V69" s="235"/>
      <c r="W69" s="233"/>
      <c r="X69" s="226"/>
      <c r="Y69" s="226"/>
      <c r="Z69" s="226"/>
      <c r="AA69" s="235"/>
      <c r="AB69" s="228"/>
      <c r="AC69" s="226"/>
      <c r="AD69" s="226"/>
      <c r="AE69" s="226"/>
      <c r="AF69" s="226"/>
      <c r="AG69" s="226"/>
      <c r="AH69" s="226"/>
      <c r="AI69" s="226"/>
      <c r="AJ69" s="226"/>
      <c r="AK69" s="218"/>
      <c r="AL69" s="218"/>
    </row>
    <row r="70" spans="1:38" s="185" customFormat="1">
      <c r="A70" s="30"/>
      <c r="B70" s="30"/>
      <c r="C70" s="30"/>
      <c r="D70" s="226"/>
      <c r="E70" s="226"/>
      <c r="F70" s="226"/>
      <c r="G70" s="226"/>
      <c r="H70" s="218"/>
      <c r="I70" s="218"/>
      <c r="J70" s="220"/>
      <c r="K70" s="219"/>
      <c r="L70" s="218"/>
      <c r="M70" s="218">
        <f t="shared" si="0"/>
        <v>0</v>
      </c>
      <c r="N70" s="219">
        <f t="shared" si="3"/>
        <v>0</v>
      </c>
      <c r="O70" s="246">
        <f t="shared" si="2"/>
        <v>0</v>
      </c>
      <c r="P70" s="218"/>
      <c r="Q70" s="226"/>
      <c r="R70" s="236"/>
      <c r="S70" s="236"/>
      <c r="T70" s="235"/>
      <c r="U70" s="233"/>
      <c r="V70" s="235"/>
      <c r="W70" s="233"/>
      <c r="X70" s="226"/>
      <c r="Y70" s="226"/>
      <c r="Z70" s="226"/>
      <c r="AA70" s="235"/>
      <c r="AB70" s="228"/>
      <c r="AC70" s="226"/>
      <c r="AD70" s="226"/>
      <c r="AE70" s="226"/>
      <c r="AF70" s="226"/>
      <c r="AG70" s="226"/>
      <c r="AH70" s="226"/>
      <c r="AI70" s="226"/>
      <c r="AJ70" s="226"/>
      <c r="AK70" s="218"/>
      <c r="AL70" s="218"/>
    </row>
    <row r="71" spans="1:38" s="185" customFormat="1">
      <c r="A71" s="30"/>
      <c r="B71" s="30"/>
      <c r="C71" s="30"/>
      <c r="D71" s="226"/>
      <c r="E71" s="226"/>
      <c r="F71" s="226"/>
      <c r="G71" s="226"/>
      <c r="H71" s="218"/>
      <c r="I71" s="218"/>
      <c r="J71" s="218"/>
      <c r="K71" s="218"/>
      <c r="L71" s="218"/>
      <c r="M71" s="218"/>
      <c r="N71" s="218"/>
      <c r="O71" s="218"/>
      <c r="P71" s="218"/>
      <c r="Q71" s="226"/>
      <c r="R71" s="226"/>
      <c r="S71" s="226"/>
      <c r="T71" s="226"/>
      <c r="U71" s="226"/>
      <c r="V71" s="226"/>
      <c r="W71" s="226"/>
      <c r="X71" s="226"/>
      <c r="Y71" s="226"/>
      <c r="Z71" s="226"/>
      <c r="AA71" s="235"/>
      <c r="AB71" s="228"/>
      <c r="AC71" s="226"/>
      <c r="AD71" s="226"/>
      <c r="AE71" s="226"/>
      <c r="AF71" s="226"/>
      <c r="AG71" s="226"/>
      <c r="AH71" s="226"/>
      <c r="AI71" s="226"/>
      <c r="AJ71" s="226"/>
      <c r="AK71" s="218"/>
      <c r="AL71" s="218"/>
    </row>
    <row r="72" spans="1:38" s="185" customFormat="1">
      <c r="A72" s="30"/>
      <c r="B72" s="30"/>
      <c r="C72" s="30"/>
      <c r="D72" s="226"/>
      <c r="E72" s="226"/>
      <c r="F72" s="226"/>
      <c r="G72" s="226"/>
      <c r="H72" s="218"/>
      <c r="I72" s="218"/>
      <c r="J72" s="218"/>
      <c r="K72" s="218"/>
      <c r="L72" s="218"/>
      <c r="M72" s="218"/>
      <c r="N72" s="218"/>
      <c r="O72" s="218"/>
      <c r="P72" s="218"/>
      <c r="Q72" s="226"/>
      <c r="R72" s="226"/>
      <c r="S72" s="226"/>
      <c r="T72" s="226"/>
      <c r="U72" s="226"/>
      <c r="V72" s="226"/>
      <c r="W72" s="226"/>
      <c r="X72" s="226"/>
      <c r="Y72" s="226"/>
      <c r="Z72" s="226"/>
      <c r="AA72" s="235"/>
      <c r="AB72" s="228"/>
      <c r="AC72" s="226"/>
      <c r="AD72" s="226"/>
      <c r="AE72" s="226"/>
      <c r="AF72" s="226"/>
      <c r="AG72" s="226"/>
      <c r="AH72" s="226"/>
      <c r="AI72" s="226"/>
      <c r="AJ72" s="226"/>
      <c r="AK72" s="218"/>
      <c r="AL72" s="218"/>
    </row>
    <row r="73" spans="1:38">
      <c r="A73" s="30"/>
      <c r="B73" s="30"/>
      <c r="C73" s="30"/>
      <c r="D73" s="226"/>
      <c r="E73" s="226"/>
      <c r="F73" s="226"/>
      <c r="G73" s="226"/>
      <c r="H73" s="218"/>
      <c r="I73" s="218"/>
      <c r="J73" s="319"/>
      <c r="K73" s="319"/>
      <c r="L73" s="218"/>
      <c r="M73" s="221"/>
      <c r="N73" s="221"/>
      <c r="O73" s="218"/>
      <c r="P73" s="218"/>
      <c r="Q73" s="226"/>
      <c r="R73" s="235"/>
      <c r="S73" s="226"/>
      <c r="T73" s="226"/>
      <c r="U73" s="226"/>
      <c r="V73" s="228"/>
      <c r="W73" s="226"/>
      <c r="X73" s="226"/>
      <c r="Y73" s="226"/>
      <c r="Z73" s="226"/>
      <c r="AA73" s="226"/>
      <c r="AB73" s="226"/>
      <c r="AC73" s="226"/>
      <c r="AD73" s="226"/>
      <c r="AE73" s="226"/>
      <c r="AF73" s="226"/>
      <c r="AG73" s="226"/>
      <c r="AH73" s="226"/>
      <c r="AI73" s="226"/>
      <c r="AJ73" s="226"/>
      <c r="AK73" s="218"/>
      <c r="AL73" s="218"/>
    </row>
    <row r="74" spans="1:38">
      <c r="A74" s="30"/>
      <c r="B74" s="30"/>
      <c r="C74" s="30"/>
      <c r="D74" s="226"/>
      <c r="E74" s="226"/>
      <c r="F74" s="226"/>
      <c r="G74" s="226"/>
      <c r="H74" s="218"/>
      <c r="I74" s="218"/>
      <c r="J74" s="221"/>
      <c r="K74" s="221"/>
      <c r="L74" s="218"/>
      <c r="M74" s="221"/>
      <c r="N74" s="221"/>
      <c r="O74" s="218"/>
      <c r="P74" s="220"/>
      <c r="Q74" s="226"/>
      <c r="R74" s="226"/>
      <c r="S74" s="226"/>
      <c r="T74" s="226"/>
      <c r="U74" s="226"/>
      <c r="V74" s="226"/>
      <c r="W74" s="226"/>
      <c r="X74" s="226"/>
      <c r="Y74" s="226"/>
      <c r="Z74" s="226"/>
      <c r="AA74" s="226"/>
      <c r="AB74" s="226"/>
      <c r="AC74" s="226"/>
      <c r="AD74" s="226"/>
      <c r="AE74" s="226"/>
      <c r="AF74" s="226"/>
      <c r="AG74" s="226"/>
      <c r="AH74" s="226"/>
      <c r="AI74" s="226"/>
      <c r="AJ74" s="226"/>
      <c r="AK74" s="218"/>
      <c r="AL74" s="218"/>
    </row>
    <row r="75" spans="1:38">
      <c r="A75" s="30"/>
      <c r="B75" s="30"/>
      <c r="C75" s="30"/>
      <c r="D75" s="226"/>
      <c r="E75" s="226"/>
      <c r="F75" s="226"/>
      <c r="G75" s="226"/>
      <c r="H75" s="226"/>
      <c r="I75" s="226"/>
      <c r="J75" s="226"/>
      <c r="K75" s="226"/>
      <c r="L75" s="226"/>
      <c r="M75" s="228"/>
      <c r="N75" s="235"/>
      <c r="O75" s="226"/>
      <c r="P75" s="226"/>
      <c r="Q75" s="226"/>
      <c r="R75" s="226"/>
      <c r="S75" s="226"/>
      <c r="T75" s="226"/>
      <c r="U75" s="226"/>
      <c r="V75" s="226"/>
      <c r="W75" s="226"/>
      <c r="X75" s="226"/>
      <c r="Y75" s="226"/>
      <c r="Z75" s="226"/>
      <c r="AA75" s="226"/>
      <c r="AB75" s="226"/>
      <c r="AC75" s="226"/>
      <c r="AD75" s="226"/>
      <c r="AE75" s="226"/>
      <c r="AF75" s="226"/>
      <c r="AG75" s="226"/>
      <c r="AH75" s="226"/>
      <c r="AI75" s="226"/>
      <c r="AJ75" s="226"/>
      <c r="AK75" s="218"/>
      <c r="AL75" s="218"/>
    </row>
    <row r="76" spans="1:38">
      <c r="A76" s="30"/>
      <c r="B76" s="30"/>
      <c r="C76" s="30"/>
      <c r="D76" s="226"/>
      <c r="E76" s="226"/>
      <c r="F76" s="226"/>
      <c r="G76" s="226"/>
      <c r="H76" s="226"/>
      <c r="I76" s="226"/>
      <c r="J76" s="226"/>
      <c r="K76" s="226"/>
      <c r="L76" s="226"/>
      <c r="M76" s="228"/>
      <c r="N76" s="235"/>
      <c r="O76" s="226"/>
      <c r="P76" s="226"/>
      <c r="Q76" s="226"/>
      <c r="R76" s="226"/>
      <c r="S76" s="226"/>
      <c r="T76" s="226"/>
      <c r="U76" s="226"/>
      <c r="V76" s="226"/>
      <c r="W76" s="226"/>
      <c r="X76" s="226"/>
      <c r="Y76" s="226"/>
      <c r="Z76" s="226"/>
      <c r="AA76" s="226"/>
      <c r="AB76" s="226"/>
      <c r="AC76" s="226"/>
      <c r="AD76" s="226"/>
      <c r="AE76" s="226"/>
      <c r="AF76" s="226"/>
      <c r="AG76" s="226"/>
      <c r="AH76" s="226"/>
      <c r="AI76" s="226"/>
      <c r="AJ76" s="226"/>
      <c r="AK76" s="218"/>
      <c r="AL76" s="218"/>
    </row>
    <row r="77" spans="1:38">
      <c r="A77" s="30"/>
      <c r="B77" s="30"/>
      <c r="C77" s="30"/>
      <c r="D77" s="226"/>
      <c r="E77" s="226"/>
      <c r="F77" s="226"/>
      <c r="G77" s="226"/>
      <c r="H77" s="226"/>
      <c r="I77" s="229"/>
      <c r="J77" s="229"/>
      <c r="K77" s="229"/>
      <c r="L77" s="226"/>
      <c r="M77" s="228"/>
      <c r="N77" s="235"/>
      <c r="O77" s="226"/>
      <c r="P77" s="226"/>
      <c r="Q77" s="226"/>
      <c r="R77" s="226"/>
      <c r="S77" s="226"/>
      <c r="T77" s="226"/>
      <c r="U77" s="226"/>
      <c r="V77" s="226"/>
      <c r="W77" s="226"/>
      <c r="X77" s="226"/>
      <c r="Y77" s="226"/>
      <c r="Z77" s="226"/>
      <c r="AA77" s="226"/>
      <c r="AB77" s="226"/>
      <c r="AC77" s="226"/>
      <c r="AD77" s="226"/>
      <c r="AE77" s="226"/>
      <c r="AF77" s="226"/>
      <c r="AG77" s="226"/>
      <c r="AH77" s="226"/>
      <c r="AI77" s="226"/>
      <c r="AJ77" s="226"/>
      <c r="AK77" s="218"/>
      <c r="AL77" s="218"/>
    </row>
    <row r="78" spans="1:38">
      <c r="A78" s="30"/>
      <c r="B78" s="30"/>
      <c r="C78" s="30"/>
      <c r="D78" s="226"/>
      <c r="E78" s="226"/>
      <c r="F78" s="226"/>
      <c r="G78" s="226"/>
      <c r="H78" s="226"/>
      <c r="I78" s="226"/>
      <c r="J78" s="226"/>
      <c r="K78" s="226"/>
      <c r="L78" s="226"/>
      <c r="M78" s="228"/>
      <c r="N78" s="235"/>
      <c r="O78" s="226"/>
      <c r="P78" s="226"/>
      <c r="Q78" s="226"/>
      <c r="R78" s="226"/>
      <c r="S78" s="226"/>
      <c r="T78" s="226"/>
      <c r="U78" s="226"/>
      <c r="V78" s="226"/>
      <c r="W78" s="226"/>
      <c r="X78" s="226"/>
      <c r="Y78" s="226"/>
      <c r="Z78" s="226"/>
      <c r="AA78" s="226"/>
      <c r="AB78" s="226"/>
      <c r="AC78" s="226"/>
      <c r="AD78" s="226"/>
      <c r="AE78" s="226"/>
      <c r="AF78" s="226"/>
      <c r="AG78" s="226"/>
      <c r="AH78" s="226"/>
      <c r="AI78" s="226"/>
      <c r="AJ78" s="226"/>
      <c r="AK78" s="218"/>
      <c r="AL78" s="218"/>
    </row>
    <row r="79" spans="1:38">
      <c r="A79" s="30"/>
      <c r="B79" s="30"/>
      <c r="C79" s="30"/>
      <c r="D79" s="226"/>
      <c r="E79" s="226"/>
      <c r="F79" s="226"/>
      <c r="G79" s="226"/>
      <c r="H79" s="226"/>
      <c r="I79" s="226"/>
      <c r="J79" s="226"/>
      <c r="K79" s="226"/>
      <c r="L79" s="226"/>
      <c r="M79" s="228"/>
      <c r="N79" s="235"/>
      <c r="O79" s="226"/>
      <c r="P79" s="226"/>
      <c r="Q79" s="226"/>
      <c r="R79" s="226"/>
      <c r="S79" s="226"/>
      <c r="T79" s="226"/>
      <c r="U79" s="226"/>
      <c r="V79" s="226"/>
      <c r="W79" s="226"/>
      <c r="X79" s="226"/>
      <c r="Y79" s="226"/>
      <c r="Z79" s="226"/>
      <c r="AA79" s="226"/>
      <c r="AB79" s="226"/>
      <c r="AC79" s="226"/>
      <c r="AD79" s="226"/>
      <c r="AE79" s="226"/>
      <c r="AF79" s="226"/>
      <c r="AG79" s="226"/>
      <c r="AH79" s="226"/>
      <c r="AI79" s="226"/>
      <c r="AJ79" s="226"/>
      <c r="AK79" s="218"/>
      <c r="AL79" s="218"/>
    </row>
    <row r="80" spans="1:38">
      <c r="A80" s="30"/>
      <c r="B80" s="30"/>
      <c r="C80" s="30"/>
      <c r="D80" s="226"/>
      <c r="E80" s="226"/>
      <c r="F80" s="226"/>
      <c r="G80" s="226"/>
      <c r="H80" s="226"/>
      <c r="I80" s="226"/>
      <c r="J80" s="226"/>
      <c r="K80" s="226"/>
      <c r="L80" s="226"/>
      <c r="M80" s="228"/>
      <c r="N80" s="235"/>
      <c r="O80" s="226"/>
      <c r="P80" s="226"/>
      <c r="Q80" s="226"/>
      <c r="R80" s="226"/>
      <c r="S80" s="226"/>
      <c r="T80" s="226"/>
      <c r="U80" s="226"/>
      <c r="V80" s="226"/>
      <c r="W80" s="226"/>
      <c r="X80" s="226"/>
      <c r="Y80" s="226"/>
      <c r="Z80" s="226"/>
      <c r="AA80" s="226"/>
      <c r="AB80" s="226"/>
      <c r="AC80" s="226"/>
      <c r="AD80" s="226"/>
      <c r="AE80" s="226"/>
      <c r="AF80" s="226"/>
      <c r="AG80" s="226"/>
      <c r="AH80" s="226"/>
      <c r="AI80" s="226"/>
      <c r="AJ80" s="226"/>
      <c r="AK80" s="218"/>
      <c r="AL80" s="218"/>
    </row>
    <row r="81" spans="1:38">
      <c r="A81" s="30"/>
      <c r="B81" s="30"/>
      <c r="C81" s="30"/>
      <c r="D81" s="226"/>
      <c r="E81" s="226"/>
      <c r="F81" s="226"/>
      <c r="G81" s="226"/>
      <c r="H81" s="226"/>
      <c r="I81" s="226"/>
      <c r="J81" s="226"/>
      <c r="K81" s="226"/>
      <c r="L81" s="226"/>
      <c r="M81" s="228"/>
      <c r="N81" s="235"/>
      <c r="O81" s="226"/>
      <c r="P81" s="226"/>
      <c r="Q81" s="226"/>
      <c r="R81" s="226"/>
      <c r="S81" s="226"/>
      <c r="T81" s="226"/>
      <c r="U81" s="226"/>
      <c r="V81" s="226"/>
      <c r="W81" s="226"/>
      <c r="X81" s="226"/>
      <c r="Y81" s="226"/>
      <c r="Z81" s="226"/>
      <c r="AA81" s="226"/>
      <c r="AB81" s="226"/>
      <c r="AC81" s="226"/>
      <c r="AD81" s="226"/>
      <c r="AE81" s="226"/>
      <c r="AF81" s="226"/>
      <c r="AG81" s="226"/>
      <c r="AH81" s="226"/>
      <c r="AI81" s="226"/>
      <c r="AJ81" s="226"/>
      <c r="AK81" s="218"/>
      <c r="AL81" s="218"/>
    </row>
    <row r="82" spans="1:38">
      <c r="D82" s="218"/>
      <c r="E82" s="218"/>
      <c r="F82" s="218"/>
      <c r="G82" s="218"/>
      <c r="H82" s="218"/>
      <c r="I82" s="226"/>
      <c r="J82" s="226"/>
      <c r="K82" s="226"/>
      <c r="L82" s="226"/>
      <c r="M82" s="228"/>
      <c r="N82" s="235"/>
      <c r="O82" s="226"/>
      <c r="P82" s="226"/>
      <c r="Q82" s="226"/>
      <c r="R82" s="226"/>
      <c r="S82" s="226"/>
      <c r="T82" s="226"/>
      <c r="U82" s="226"/>
      <c r="V82" s="226"/>
      <c r="W82" s="226"/>
      <c r="X82" s="226"/>
      <c r="Y82" s="226"/>
      <c r="Z82" s="226"/>
      <c r="AA82" s="226"/>
      <c r="AB82" s="226"/>
      <c r="AC82" s="226"/>
      <c r="AD82" s="226"/>
      <c r="AE82" s="226"/>
      <c r="AF82" s="226"/>
      <c r="AG82" s="226"/>
      <c r="AH82" s="226"/>
      <c r="AI82" s="226"/>
      <c r="AJ82" s="226"/>
      <c r="AK82" s="218"/>
      <c r="AL82" s="218"/>
    </row>
    <row r="83" spans="1:38">
      <c r="D83" s="218"/>
      <c r="E83" s="218"/>
      <c r="F83" s="218"/>
      <c r="G83" s="218"/>
      <c r="H83" s="218"/>
      <c r="I83" s="226"/>
      <c r="J83" s="226"/>
      <c r="K83" s="226"/>
      <c r="L83" s="226"/>
      <c r="M83" s="228"/>
      <c r="N83" s="235"/>
      <c r="O83" s="226"/>
      <c r="P83" s="226"/>
      <c r="Q83" s="226"/>
      <c r="R83" s="226"/>
      <c r="S83" s="226"/>
      <c r="T83" s="226"/>
      <c r="U83" s="226"/>
      <c r="V83" s="226"/>
      <c r="W83" s="226"/>
      <c r="X83" s="226"/>
      <c r="Y83" s="226"/>
      <c r="Z83" s="226"/>
      <c r="AA83" s="226"/>
      <c r="AB83" s="226"/>
      <c r="AC83" s="226"/>
      <c r="AD83" s="226"/>
      <c r="AE83" s="226"/>
      <c r="AF83" s="226"/>
      <c r="AG83" s="226"/>
      <c r="AH83" s="226"/>
      <c r="AI83" s="226"/>
      <c r="AJ83" s="226"/>
      <c r="AK83" s="218"/>
      <c r="AL83" s="218"/>
    </row>
    <row r="84" spans="1:38">
      <c r="D84" s="218"/>
      <c r="E84" s="218"/>
      <c r="F84" s="218"/>
      <c r="G84" s="218"/>
      <c r="H84" s="218"/>
      <c r="I84" s="226"/>
      <c r="J84" s="226"/>
      <c r="K84" s="226"/>
      <c r="L84" s="226"/>
      <c r="M84" s="228"/>
      <c r="N84" s="235"/>
      <c r="O84" s="226"/>
      <c r="P84" s="226"/>
      <c r="Q84" s="226"/>
      <c r="R84" s="226"/>
      <c r="S84" s="226"/>
      <c r="T84" s="226"/>
      <c r="U84" s="226"/>
      <c r="V84" s="226"/>
      <c r="W84" s="226"/>
      <c r="X84" s="226"/>
      <c r="Y84" s="226"/>
      <c r="Z84" s="226"/>
      <c r="AA84" s="226"/>
      <c r="AB84" s="226"/>
      <c r="AC84" s="226"/>
      <c r="AD84" s="226"/>
      <c r="AE84" s="226"/>
      <c r="AF84" s="226"/>
      <c r="AG84" s="226"/>
      <c r="AH84" s="226"/>
      <c r="AI84" s="226"/>
      <c r="AJ84" s="226"/>
      <c r="AK84" s="218"/>
      <c r="AL84" s="218"/>
    </row>
    <row r="85" spans="1:38">
      <c r="D85" s="218"/>
      <c r="E85" s="218"/>
      <c r="F85" s="218"/>
      <c r="G85" s="218"/>
      <c r="H85" s="218"/>
      <c r="I85" s="226"/>
      <c r="J85" s="226"/>
      <c r="K85" s="226"/>
      <c r="L85" s="226"/>
      <c r="M85" s="228"/>
      <c r="N85" s="235"/>
      <c r="O85" s="226"/>
      <c r="P85" s="226"/>
      <c r="Q85" s="226"/>
      <c r="R85" s="226"/>
      <c r="S85" s="226"/>
      <c r="T85" s="226"/>
      <c r="U85" s="226"/>
      <c r="V85" s="226"/>
      <c r="W85" s="226"/>
      <c r="X85" s="226"/>
      <c r="Y85" s="226"/>
      <c r="Z85" s="226"/>
      <c r="AA85" s="226"/>
      <c r="AB85" s="226"/>
      <c r="AC85" s="226"/>
      <c r="AD85" s="226"/>
      <c r="AE85" s="226"/>
      <c r="AF85" s="226"/>
      <c r="AG85" s="226"/>
      <c r="AH85" s="226"/>
      <c r="AI85" s="226"/>
      <c r="AJ85" s="226"/>
      <c r="AK85" s="218"/>
      <c r="AL85" s="218"/>
    </row>
    <row r="86" spans="1:38">
      <c r="D86" s="218"/>
      <c r="E86" s="218"/>
      <c r="F86" s="218"/>
      <c r="G86" s="218"/>
      <c r="H86" s="218"/>
      <c r="I86" s="229"/>
      <c r="J86" s="229"/>
      <c r="K86" s="229"/>
      <c r="L86" s="226"/>
      <c r="M86" s="228"/>
      <c r="N86" s="235"/>
      <c r="O86" s="226"/>
      <c r="P86" s="226"/>
      <c r="Q86" s="226"/>
      <c r="R86" s="226"/>
      <c r="S86" s="226"/>
      <c r="T86" s="226"/>
      <c r="U86" s="226"/>
      <c r="V86" s="226"/>
      <c r="W86" s="226"/>
      <c r="X86" s="226"/>
      <c r="Y86" s="226"/>
      <c r="Z86" s="226"/>
      <c r="AA86" s="226"/>
      <c r="AB86" s="226"/>
      <c r="AC86" s="226"/>
      <c r="AD86" s="226"/>
      <c r="AE86" s="226"/>
      <c r="AF86" s="226"/>
      <c r="AG86" s="226"/>
      <c r="AH86" s="226"/>
      <c r="AI86" s="226"/>
      <c r="AJ86" s="226"/>
      <c r="AK86" s="218"/>
      <c r="AL86" s="218"/>
    </row>
    <row r="87" spans="1:38">
      <c r="D87" s="218"/>
      <c r="E87" s="218"/>
      <c r="F87" s="218"/>
      <c r="G87" s="218"/>
      <c r="H87" s="218"/>
      <c r="I87" s="226"/>
      <c r="J87" s="226"/>
      <c r="K87" s="226"/>
      <c r="L87" s="226"/>
      <c r="M87" s="228"/>
      <c r="N87" s="235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6"/>
      <c r="AD87" s="226"/>
      <c r="AE87" s="226"/>
      <c r="AF87" s="226"/>
      <c r="AG87" s="226"/>
      <c r="AH87" s="226"/>
      <c r="AI87" s="226"/>
      <c r="AJ87" s="226"/>
      <c r="AK87" s="218"/>
      <c r="AL87" s="218"/>
    </row>
    <row r="88" spans="1:38">
      <c r="D88" s="218"/>
      <c r="E88" s="218"/>
      <c r="F88" s="218"/>
      <c r="G88" s="218"/>
      <c r="H88" s="218"/>
      <c r="I88" s="226"/>
      <c r="J88" s="226"/>
      <c r="K88" s="226"/>
      <c r="L88" s="226"/>
      <c r="M88" s="228"/>
      <c r="N88" s="235"/>
      <c r="O88" s="226"/>
      <c r="P88" s="226"/>
      <c r="Q88" s="226"/>
      <c r="R88" s="226"/>
      <c r="S88" s="226"/>
      <c r="T88" s="226"/>
      <c r="U88" s="226"/>
      <c r="V88" s="226"/>
      <c r="W88" s="226"/>
      <c r="X88" s="226"/>
      <c r="Y88" s="226"/>
      <c r="Z88" s="226"/>
      <c r="AA88" s="226"/>
      <c r="AB88" s="226"/>
      <c r="AC88" s="226"/>
      <c r="AD88" s="226"/>
      <c r="AE88" s="226"/>
      <c r="AF88" s="226"/>
      <c r="AG88" s="226"/>
      <c r="AH88" s="226"/>
      <c r="AI88" s="226"/>
      <c r="AJ88" s="226"/>
      <c r="AK88" s="218"/>
      <c r="AL88" s="218"/>
    </row>
    <row r="89" spans="1:38">
      <c r="D89" s="218"/>
      <c r="E89" s="218"/>
      <c r="F89" s="218"/>
      <c r="G89" s="218"/>
      <c r="H89" s="218"/>
      <c r="I89" s="226"/>
      <c r="J89" s="226"/>
      <c r="K89" s="226"/>
      <c r="L89" s="226"/>
      <c r="M89" s="228"/>
      <c r="N89" s="235"/>
      <c r="O89" s="226"/>
      <c r="P89" s="226"/>
      <c r="Q89" s="226"/>
      <c r="R89" s="226"/>
      <c r="S89" s="226"/>
      <c r="T89" s="226"/>
      <c r="U89" s="226"/>
      <c r="V89" s="226"/>
      <c r="W89" s="226"/>
      <c r="X89" s="226"/>
      <c r="Y89" s="226"/>
      <c r="Z89" s="226"/>
      <c r="AA89" s="226"/>
      <c r="AB89" s="226"/>
      <c r="AC89" s="226"/>
      <c r="AD89" s="226"/>
      <c r="AE89" s="226"/>
      <c r="AF89" s="226"/>
      <c r="AG89" s="226"/>
      <c r="AH89" s="226"/>
      <c r="AI89" s="226"/>
      <c r="AJ89" s="226"/>
      <c r="AK89" s="218"/>
      <c r="AL89" s="218"/>
    </row>
    <row r="90" spans="1:38">
      <c r="D90" s="218"/>
      <c r="E90" s="218"/>
      <c r="F90" s="218"/>
      <c r="G90" s="218"/>
      <c r="H90" s="218"/>
      <c r="I90" s="226"/>
      <c r="J90" s="226"/>
      <c r="K90" s="226"/>
      <c r="L90" s="226"/>
      <c r="M90" s="228"/>
      <c r="N90" s="235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  <c r="AA90" s="226"/>
      <c r="AB90" s="226"/>
      <c r="AC90" s="226"/>
      <c r="AD90" s="226"/>
      <c r="AE90" s="226"/>
      <c r="AF90" s="226"/>
      <c r="AG90" s="226"/>
      <c r="AH90" s="226"/>
      <c r="AI90" s="226"/>
      <c r="AJ90" s="226"/>
      <c r="AK90" s="218"/>
      <c r="AL90" s="218"/>
    </row>
    <row r="91" spans="1:38">
      <c r="D91" s="218"/>
      <c r="E91" s="218"/>
      <c r="F91" s="218"/>
      <c r="G91" s="218"/>
      <c r="H91" s="218"/>
      <c r="I91" s="226"/>
      <c r="J91" s="226"/>
      <c r="K91" s="226"/>
      <c r="L91" s="226"/>
      <c r="M91" s="228"/>
      <c r="N91" s="235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6"/>
      <c r="AC91" s="226"/>
      <c r="AD91" s="226"/>
      <c r="AE91" s="226"/>
      <c r="AF91" s="226"/>
      <c r="AG91" s="226"/>
      <c r="AH91" s="226"/>
      <c r="AI91" s="226"/>
      <c r="AJ91" s="226"/>
      <c r="AK91" s="218"/>
      <c r="AL91" s="218"/>
    </row>
    <row r="92" spans="1:38">
      <c r="D92" s="218"/>
      <c r="E92" s="218"/>
      <c r="F92" s="218"/>
      <c r="G92" s="218"/>
      <c r="H92" s="218"/>
      <c r="I92" s="226"/>
      <c r="J92" s="226"/>
      <c r="K92" s="226"/>
      <c r="L92" s="226"/>
      <c r="M92" s="228"/>
      <c r="N92" s="235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18"/>
      <c r="AL92" s="218"/>
    </row>
    <row r="93" spans="1:38">
      <c r="D93" s="218"/>
      <c r="E93" s="218"/>
      <c r="F93" s="218"/>
      <c r="G93" s="218"/>
      <c r="H93" s="218"/>
      <c r="I93" s="226"/>
      <c r="J93" s="226"/>
      <c r="K93" s="226"/>
      <c r="L93" s="226"/>
      <c r="M93" s="228"/>
      <c r="N93" s="235"/>
      <c r="O93" s="226"/>
      <c r="P93" s="226"/>
      <c r="Q93" s="226"/>
      <c r="R93" s="226"/>
      <c r="S93" s="226"/>
      <c r="T93" s="226"/>
      <c r="U93" s="226"/>
      <c r="V93" s="226"/>
      <c r="W93" s="226"/>
      <c r="X93" s="226"/>
      <c r="Y93" s="226"/>
      <c r="Z93" s="226"/>
      <c r="AA93" s="226"/>
      <c r="AB93" s="226"/>
      <c r="AC93" s="226"/>
      <c r="AD93" s="226"/>
      <c r="AE93" s="226"/>
      <c r="AF93" s="226"/>
      <c r="AG93" s="226"/>
      <c r="AH93" s="226"/>
      <c r="AI93" s="226"/>
      <c r="AJ93" s="226"/>
      <c r="AK93" s="218"/>
      <c r="AL93" s="218"/>
    </row>
    <row r="94" spans="1:38">
      <c r="D94" s="218"/>
      <c r="E94" s="218"/>
      <c r="F94" s="218"/>
      <c r="G94" s="218"/>
      <c r="H94" s="218"/>
      <c r="I94" s="226"/>
      <c r="J94" s="229"/>
      <c r="K94" s="226"/>
      <c r="L94" s="226"/>
      <c r="M94" s="228"/>
      <c r="N94" s="235"/>
      <c r="O94" s="226"/>
      <c r="P94" s="226"/>
      <c r="Q94" s="226"/>
      <c r="R94" s="226"/>
      <c r="S94" s="226"/>
      <c r="T94" s="226"/>
      <c r="U94" s="226"/>
      <c r="V94" s="226"/>
      <c r="W94" s="226"/>
      <c r="X94" s="226"/>
      <c r="Y94" s="226"/>
      <c r="Z94" s="226"/>
      <c r="AA94" s="226"/>
      <c r="AB94" s="226"/>
      <c r="AC94" s="226"/>
      <c r="AD94" s="226"/>
      <c r="AE94" s="226"/>
      <c r="AF94" s="226"/>
      <c r="AG94" s="226"/>
      <c r="AH94" s="226"/>
      <c r="AI94" s="226"/>
      <c r="AJ94" s="226"/>
      <c r="AK94" s="218"/>
      <c r="AL94" s="218"/>
    </row>
    <row r="95" spans="1:38">
      <c r="D95" s="218"/>
      <c r="E95" s="218"/>
      <c r="F95" s="218"/>
      <c r="G95" s="218"/>
      <c r="H95" s="218"/>
      <c r="I95" s="226"/>
      <c r="J95" s="229"/>
      <c r="K95" s="226"/>
      <c r="L95" s="226"/>
      <c r="M95" s="228"/>
      <c r="N95" s="235"/>
      <c r="O95" s="226"/>
      <c r="P95" s="226"/>
      <c r="Q95" s="226"/>
      <c r="R95" s="226"/>
      <c r="S95" s="226"/>
      <c r="T95" s="226"/>
      <c r="U95" s="226"/>
      <c r="V95" s="226"/>
      <c r="W95" s="226"/>
      <c r="X95" s="226"/>
      <c r="Y95" s="226"/>
      <c r="Z95" s="226"/>
      <c r="AA95" s="226"/>
      <c r="AB95" s="226"/>
      <c r="AC95" s="226"/>
      <c r="AD95" s="226"/>
      <c r="AE95" s="226"/>
      <c r="AF95" s="226"/>
      <c r="AG95" s="226"/>
      <c r="AH95" s="226"/>
      <c r="AI95" s="226"/>
      <c r="AJ95" s="226"/>
      <c r="AK95" s="218"/>
      <c r="AL95" s="218"/>
    </row>
    <row r="96" spans="1:38">
      <c r="D96" s="218"/>
      <c r="E96" s="218"/>
      <c r="F96" s="218"/>
      <c r="G96" s="218"/>
      <c r="H96" s="218"/>
      <c r="I96" s="226"/>
      <c r="J96" s="229"/>
      <c r="K96" s="226"/>
      <c r="L96" s="226"/>
      <c r="M96" s="228"/>
      <c r="N96" s="235"/>
      <c r="O96" s="226"/>
      <c r="P96" s="226"/>
      <c r="Q96" s="226"/>
      <c r="R96" s="226"/>
      <c r="S96" s="226"/>
      <c r="T96" s="226"/>
      <c r="U96" s="226"/>
      <c r="V96" s="226"/>
      <c r="W96" s="226"/>
      <c r="X96" s="226"/>
      <c r="Y96" s="226"/>
      <c r="Z96" s="226"/>
      <c r="AA96" s="226"/>
      <c r="AB96" s="226"/>
      <c r="AC96" s="226"/>
      <c r="AD96" s="226"/>
      <c r="AE96" s="226"/>
      <c r="AF96" s="226"/>
      <c r="AG96" s="226"/>
      <c r="AH96" s="226"/>
      <c r="AI96" s="226"/>
      <c r="AJ96" s="226"/>
      <c r="AK96" s="218"/>
      <c r="AL96" s="218"/>
    </row>
    <row r="97" spans="4:38">
      <c r="D97" s="218"/>
      <c r="E97" s="218"/>
      <c r="F97" s="218"/>
      <c r="G97" s="218"/>
      <c r="H97" s="218"/>
      <c r="I97" s="229"/>
      <c r="J97" s="229"/>
      <c r="K97" s="226"/>
      <c r="L97" s="226"/>
      <c r="M97" s="228"/>
      <c r="N97" s="235"/>
      <c r="O97" s="226"/>
      <c r="P97" s="226"/>
      <c r="Q97" s="226"/>
      <c r="R97" s="226"/>
      <c r="S97" s="226"/>
      <c r="T97" s="226"/>
      <c r="U97" s="226"/>
      <c r="V97" s="226"/>
      <c r="W97" s="226"/>
      <c r="X97" s="226"/>
      <c r="Y97" s="226"/>
      <c r="Z97" s="226"/>
      <c r="AA97" s="226"/>
      <c r="AB97" s="226"/>
      <c r="AC97" s="226"/>
      <c r="AD97" s="226"/>
      <c r="AE97" s="226"/>
      <c r="AF97" s="226"/>
      <c r="AG97" s="226"/>
      <c r="AH97" s="226"/>
      <c r="AI97" s="226"/>
      <c r="AJ97" s="226"/>
      <c r="AK97" s="218"/>
      <c r="AL97" s="218"/>
    </row>
    <row r="98" spans="4:38">
      <c r="D98" s="218"/>
      <c r="E98" s="218"/>
      <c r="F98" s="218"/>
      <c r="G98" s="218"/>
      <c r="H98" s="218"/>
      <c r="I98" s="218"/>
      <c r="J98" s="218"/>
      <c r="K98" s="218"/>
      <c r="L98" s="218"/>
      <c r="M98" s="220"/>
      <c r="N98" s="219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  <c r="AC98" s="218"/>
      <c r="AD98" s="218"/>
      <c r="AE98" s="218"/>
      <c r="AF98" s="218"/>
      <c r="AG98" s="218"/>
      <c r="AH98" s="218"/>
      <c r="AI98" s="218"/>
      <c r="AJ98" s="218"/>
      <c r="AK98" s="218"/>
      <c r="AL98" s="218"/>
    </row>
    <row r="99" spans="4:38">
      <c r="D99" s="218"/>
      <c r="E99" s="218"/>
      <c r="F99" s="218"/>
      <c r="G99" s="218"/>
      <c r="H99" s="218"/>
      <c r="I99" s="218"/>
      <c r="J99" s="218"/>
      <c r="K99" s="218"/>
      <c r="L99" s="218"/>
      <c r="M99" s="220"/>
      <c r="N99" s="219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  <c r="AC99" s="218"/>
      <c r="AD99" s="218"/>
      <c r="AE99" s="218"/>
      <c r="AF99" s="218"/>
      <c r="AG99" s="218"/>
      <c r="AH99" s="218"/>
      <c r="AI99" s="218"/>
      <c r="AJ99" s="218"/>
      <c r="AK99" s="218"/>
      <c r="AL99" s="218"/>
    </row>
    <row r="100" spans="4:38" s="185" customFormat="1">
      <c r="D100" s="218"/>
      <c r="E100" s="218"/>
      <c r="F100" s="218"/>
      <c r="G100" s="218"/>
      <c r="H100" s="218"/>
      <c r="I100" s="218"/>
      <c r="J100" s="218"/>
      <c r="K100" s="218"/>
      <c r="L100" s="218"/>
      <c r="M100" s="220"/>
      <c r="N100" s="219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  <c r="AC100" s="218"/>
      <c r="AD100" s="218"/>
      <c r="AE100" s="218"/>
      <c r="AF100" s="218"/>
      <c r="AG100" s="218"/>
      <c r="AH100" s="218"/>
      <c r="AI100" s="218"/>
      <c r="AJ100" s="218"/>
      <c r="AK100" s="218"/>
      <c r="AL100" s="218"/>
    </row>
    <row r="101" spans="4:38" s="185" customFormat="1">
      <c r="D101" s="218"/>
      <c r="E101" s="218"/>
      <c r="F101" s="218"/>
      <c r="G101" s="218"/>
      <c r="H101" s="218"/>
      <c r="I101" s="218"/>
      <c r="J101" s="218"/>
      <c r="K101" s="218"/>
      <c r="L101" s="218"/>
      <c r="M101" s="220"/>
      <c r="N101" s="219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  <c r="AC101" s="218"/>
      <c r="AD101" s="218"/>
      <c r="AE101" s="218"/>
      <c r="AF101" s="218"/>
      <c r="AG101" s="218"/>
      <c r="AH101" s="218"/>
      <c r="AI101" s="218"/>
      <c r="AJ101" s="218"/>
      <c r="AK101" s="218"/>
      <c r="AL101" s="218"/>
    </row>
    <row r="102" spans="4:38" s="185" customFormat="1">
      <c r="D102" s="218"/>
      <c r="E102" s="218"/>
      <c r="F102" s="218"/>
      <c r="G102" s="218"/>
      <c r="H102" s="218"/>
      <c r="I102" s="218"/>
      <c r="J102" s="218"/>
      <c r="K102" s="218"/>
      <c r="L102" s="218"/>
      <c r="M102" s="220"/>
      <c r="N102" s="219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  <c r="AC102" s="218"/>
      <c r="AD102" s="218"/>
      <c r="AE102" s="218"/>
      <c r="AF102" s="218"/>
      <c r="AG102" s="218"/>
      <c r="AH102" s="218"/>
      <c r="AI102" s="218"/>
      <c r="AJ102" s="218"/>
      <c r="AK102" s="218"/>
      <c r="AL102" s="218"/>
    </row>
    <row r="103" spans="4:38" s="185" customFormat="1">
      <c r="D103" s="218"/>
      <c r="E103" s="218"/>
      <c r="F103" s="218"/>
      <c r="G103" s="218"/>
      <c r="H103" s="218"/>
      <c r="I103" s="218"/>
      <c r="J103" s="218"/>
      <c r="K103" s="218"/>
      <c r="L103" s="218"/>
      <c r="M103" s="220"/>
      <c r="N103" s="219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  <c r="AC103" s="218"/>
      <c r="AD103" s="218"/>
      <c r="AE103" s="218"/>
      <c r="AF103" s="218"/>
      <c r="AG103" s="218"/>
      <c r="AH103" s="218"/>
      <c r="AI103" s="218"/>
      <c r="AJ103" s="218"/>
      <c r="AK103" s="218"/>
      <c r="AL103" s="218"/>
    </row>
    <row r="104" spans="4:38" s="185" customFormat="1">
      <c r="D104" s="218"/>
      <c r="E104" s="218"/>
      <c r="F104" s="218"/>
      <c r="G104" s="218"/>
      <c r="H104" s="218"/>
      <c r="I104" s="218"/>
      <c r="J104" s="218"/>
      <c r="K104" s="218"/>
      <c r="L104" s="218"/>
      <c r="M104" s="220"/>
      <c r="N104" s="219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  <c r="AC104" s="218"/>
      <c r="AD104" s="218"/>
      <c r="AE104" s="218"/>
      <c r="AF104" s="218"/>
      <c r="AG104" s="218"/>
      <c r="AH104" s="218"/>
      <c r="AI104" s="218"/>
      <c r="AJ104" s="218"/>
      <c r="AK104" s="218"/>
      <c r="AL104" s="218"/>
    </row>
    <row r="105" spans="4:38" s="185" customFormat="1">
      <c r="D105" s="218"/>
      <c r="E105" s="218"/>
      <c r="F105" s="218"/>
      <c r="G105" s="218"/>
      <c r="H105" s="218"/>
      <c r="I105" s="218"/>
      <c r="J105" s="218"/>
      <c r="K105" s="218"/>
      <c r="L105" s="218"/>
      <c r="M105" s="220"/>
      <c r="N105" s="219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  <c r="AC105" s="218"/>
      <c r="AD105" s="218"/>
      <c r="AE105" s="218"/>
      <c r="AF105" s="218"/>
      <c r="AG105" s="218"/>
      <c r="AH105" s="218"/>
      <c r="AI105" s="218"/>
      <c r="AJ105" s="218"/>
      <c r="AK105" s="218"/>
      <c r="AL105" s="218"/>
    </row>
    <row r="106" spans="4:38" s="185" customFormat="1">
      <c r="D106" s="218"/>
      <c r="E106" s="218"/>
      <c r="F106" s="218"/>
      <c r="G106" s="218"/>
      <c r="H106" s="218"/>
      <c r="I106" s="218"/>
      <c r="J106" s="218"/>
      <c r="K106" s="218"/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  <c r="AC106" s="218"/>
      <c r="AD106" s="218"/>
      <c r="AE106" s="218"/>
      <c r="AF106" s="218"/>
      <c r="AG106" s="218"/>
      <c r="AH106" s="218"/>
      <c r="AI106" s="218"/>
      <c r="AJ106" s="218"/>
      <c r="AK106" s="218"/>
      <c r="AL106" s="218"/>
    </row>
    <row r="107" spans="4:38" s="185" customFormat="1">
      <c r="D107" s="218"/>
      <c r="E107" s="218"/>
      <c r="F107" s="218"/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  <c r="AC107" s="218"/>
      <c r="AD107" s="218"/>
      <c r="AE107" s="218"/>
      <c r="AF107" s="218"/>
      <c r="AG107" s="218"/>
      <c r="AH107" s="218"/>
      <c r="AI107" s="218"/>
      <c r="AJ107" s="218"/>
      <c r="AK107" s="218"/>
      <c r="AL107" s="218"/>
    </row>
    <row r="108" spans="4:38" s="185" customFormat="1"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  <c r="AC108" s="218"/>
      <c r="AD108" s="218"/>
      <c r="AE108" s="218"/>
      <c r="AF108" s="218"/>
      <c r="AG108" s="218"/>
      <c r="AH108" s="218"/>
      <c r="AI108" s="218"/>
      <c r="AJ108" s="218"/>
      <c r="AK108" s="218"/>
      <c r="AL108" s="218"/>
    </row>
    <row r="109" spans="4:38">
      <c r="D109" s="218"/>
      <c r="E109" s="218"/>
      <c r="F109" s="218"/>
      <c r="G109" s="218"/>
      <c r="H109" s="218"/>
      <c r="I109" s="218"/>
      <c r="J109" s="221"/>
      <c r="K109" s="221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  <c r="AC109" s="218"/>
      <c r="AD109" s="218"/>
      <c r="AE109" s="218"/>
      <c r="AF109" s="218"/>
      <c r="AG109" s="218"/>
      <c r="AH109" s="218"/>
      <c r="AI109" s="218"/>
      <c r="AJ109" s="218"/>
      <c r="AK109" s="218"/>
      <c r="AL109" s="218"/>
    </row>
    <row r="110" spans="4:38">
      <c r="D110" s="218"/>
      <c r="E110" s="218"/>
      <c r="F110" s="218"/>
      <c r="G110" s="218"/>
      <c r="H110" s="218"/>
      <c r="I110" s="218"/>
      <c r="J110" s="221"/>
      <c r="K110" s="221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  <c r="AC110" s="218"/>
      <c r="AD110" s="218"/>
      <c r="AE110" s="218"/>
      <c r="AF110" s="218"/>
      <c r="AG110" s="218"/>
      <c r="AH110" s="218"/>
      <c r="AI110" s="218"/>
      <c r="AJ110" s="218"/>
      <c r="AK110" s="218"/>
      <c r="AL110" s="218"/>
    </row>
    <row r="111" spans="4:38">
      <c r="D111" s="218"/>
      <c r="E111" s="218"/>
      <c r="F111" s="218"/>
      <c r="G111" s="218"/>
      <c r="H111" s="218"/>
      <c r="I111" s="218"/>
      <c r="J111" s="218"/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  <c r="AC111" s="218"/>
      <c r="AD111" s="218"/>
      <c r="AE111" s="218"/>
      <c r="AF111" s="218"/>
      <c r="AG111" s="218"/>
      <c r="AH111" s="218"/>
      <c r="AI111" s="218"/>
      <c r="AJ111" s="218"/>
      <c r="AK111" s="218"/>
      <c r="AL111" s="218"/>
    </row>
    <row r="112" spans="4:38">
      <c r="D112" s="218"/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  <c r="AC112" s="218"/>
      <c r="AD112" s="218"/>
      <c r="AE112" s="218"/>
      <c r="AF112" s="218"/>
      <c r="AG112" s="218"/>
      <c r="AH112" s="218"/>
      <c r="AI112" s="218"/>
      <c r="AJ112" s="218"/>
      <c r="AK112" s="218"/>
      <c r="AL112" s="218"/>
    </row>
    <row r="113" spans="4:38"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  <c r="AC113" s="218"/>
      <c r="AD113" s="218"/>
      <c r="AE113" s="218"/>
      <c r="AF113" s="218"/>
      <c r="AG113" s="218"/>
      <c r="AH113" s="218"/>
      <c r="AI113" s="218"/>
      <c r="AJ113" s="218"/>
      <c r="AK113" s="218"/>
      <c r="AL113" s="218"/>
    </row>
    <row r="114" spans="4:38">
      <c r="D114" s="218"/>
      <c r="E114" s="218"/>
      <c r="F114" s="218"/>
      <c r="G114" s="218"/>
      <c r="H114" s="218"/>
      <c r="I114" s="218"/>
      <c r="J114" s="218"/>
      <c r="K114" s="218"/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  <c r="AC114" s="218"/>
      <c r="AD114" s="218"/>
      <c r="AE114" s="218"/>
      <c r="AF114" s="218"/>
      <c r="AG114" s="218"/>
      <c r="AH114" s="218"/>
      <c r="AI114" s="218"/>
      <c r="AJ114" s="218"/>
      <c r="AK114" s="218"/>
      <c r="AL114" s="218"/>
    </row>
    <row r="115" spans="4:38">
      <c r="D115" s="218"/>
      <c r="E115" s="218"/>
      <c r="F115" s="218"/>
      <c r="G115" s="218"/>
      <c r="H115" s="218"/>
      <c r="I115" s="218"/>
      <c r="J115" s="218"/>
      <c r="K115" s="218"/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  <c r="AC115" s="218"/>
      <c r="AD115" s="218"/>
      <c r="AE115" s="218"/>
      <c r="AF115" s="218"/>
      <c r="AG115" s="218"/>
      <c r="AH115" s="218"/>
      <c r="AI115" s="218"/>
      <c r="AJ115" s="218"/>
      <c r="AK115" s="218"/>
      <c r="AL115" s="218"/>
    </row>
    <row r="116" spans="4:38">
      <c r="D116" s="218"/>
      <c r="E116" s="218"/>
      <c r="F116" s="218"/>
      <c r="G116" s="218"/>
      <c r="H116" s="218"/>
      <c r="I116" s="218"/>
      <c r="J116" s="218"/>
      <c r="K116" s="218"/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  <c r="AC116" s="218"/>
      <c r="AD116" s="218"/>
      <c r="AE116" s="218"/>
      <c r="AF116" s="218"/>
      <c r="AG116" s="218"/>
      <c r="AH116" s="218"/>
      <c r="AI116" s="218"/>
      <c r="AJ116" s="218"/>
      <c r="AK116" s="218"/>
      <c r="AL116" s="218"/>
    </row>
    <row r="117" spans="4:38">
      <c r="D117" s="218"/>
      <c r="E117" s="218"/>
      <c r="F117" s="218"/>
      <c r="G117" s="218"/>
      <c r="H117" s="218"/>
      <c r="I117" s="218"/>
      <c r="J117" s="218"/>
      <c r="K117" s="218"/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  <c r="AC117" s="218"/>
      <c r="AD117" s="218"/>
      <c r="AE117" s="218"/>
      <c r="AF117" s="218"/>
      <c r="AG117" s="218"/>
      <c r="AH117" s="218"/>
      <c r="AI117" s="218"/>
      <c r="AJ117" s="218"/>
      <c r="AK117" s="218"/>
      <c r="AL117" s="218"/>
    </row>
    <row r="118" spans="4:38">
      <c r="D118" s="218"/>
      <c r="E118" s="218"/>
      <c r="F118" s="218"/>
      <c r="G118" s="218"/>
      <c r="H118" s="218"/>
      <c r="I118" s="21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  <c r="AC118" s="218"/>
      <c r="AD118" s="218"/>
      <c r="AE118" s="218"/>
      <c r="AF118" s="218"/>
      <c r="AG118" s="218"/>
      <c r="AH118" s="218"/>
      <c r="AI118" s="218"/>
      <c r="AJ118" s="218"/>
      <c r="AK118" s="218"/>
      <c r="AL118" s="218"/>
    </row>
    <row r="119" spans="4:38">
      <c r="D119" s="218"/>
      <c r="E119" s="218"/>
      <c r="F119" s="218"/>
      <c r="G119" s="218"/>
      <c r="H119" s="218"/>
      <c r="I119" s="21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  <c r="AC119" s="218"/>
      <c r="AD119" s="218"/>
      <c r="AE119" s="218"/>
      <c r="AF119" s="218"/>
      <c r="AG119" s="218"/>
      <c r="AH119" s="218"/>
      <c r="AI119" s="218"/>
      <c r="AJ119" s="218"/>
      <c r="AK119" s="218"/>
      <c r="AL119" s="218"/>
    </row>
    <row r="120" spans="4:38">
      <c r="D120" s="218"/>
      <c r="E120" s="218"/>
      <c r="F120" s="218"/>
      <c r="G120" s="218"/>
      <c r="H120" s="218"/>
      <c r="I120" s="21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  <c r="AC120" s="218"/>
      <c r="AD120" s="218"/>
      <c r="AE120" s="218"/>
      <c r="AF120" s="218"/>
      <c r="AG120" s="218"/>
      <c r="AH120" s="218"/>
      <c r="AI120" s="218"/>
      <c r="AJ120" s="218"/>
      <c r="AK120" s="218"/>
      <c r="AL120" s="218"/>
    </row>
    <row r="121" spans="4:38">
      <c r="D121" s="218"/>
      <c r="E121" s="218"/>
      <c r="F121" s="218"/>
      <c r="G121" s="218"/>
      <c r="H121" s="218"/>
      <c r="I121" s="21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  <c r="AC121" s="218"/>
      <c r="AD121" s="218"/>
      <c r="AE121" s="218"/>
      <c r="AF121" s="218"/>
      <c r="AG121" s="218"/>
      <c r="AH121" s="218"/>
      <c r="AI121" s="218"/>
      <c r="AJ121" s="218"/>
      <c r="AK121" s="218"/>
      <c r="AL121" s="218"/>
    </row>
    <row r="122" spans="4:38">
      <c r="D122" s="218"/>
      <c r="E122" s="218"/>
      <c r="F122" s="218"/>
      <c r="G122" s="218"/>
      <c r="H122" s="218"/>
      <c r="I122" s="21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  <c r="AC122" s="218"/>
      <c r="AD122" s="218"/>
      <c r="AE122" s="218"/>
      <c r="AF122" s="218"/>
      <c r="AG122" s="218"/>
      <c r="AH122" s="218"/>
      <c r="AI122" s="218"/>
      <c r="AJ122" s="218"/>
      <c r="AK122" s="218"/>
      <c r="AL122" s="218"/>
    </row>
    <row r="123" spans="4:38">
      <c r="D123" s="218"/>
      <c r="E123" s="218"/>
      <c r="F123" s="218"/>
      <c r="G123" s="218"/>
      <c r="H123" s="218"/>
      <c r="I123" s="218"/>
      <c r="J123" s="218"/>
      <c r="K123" s="218"/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  <c r="AC123" s="218"/>
      <c r="AD123" s="218"/>
      <c r="AE123" s="218"/>
      <c r="AF123" s="218"/>
      <c r="AG123" s="218"/>
      <c r="AH123" s="218"/>
      <c r="AI123" s="218"/>
      <c r="AJ123" s="218"/>
      <c r="AK123" s="218"/>
      <c r="AL123" s="218"/>
    </row>
    <row r="124" spans="4:38">
      <c r="D124" s="218"/>
      <c r="E124" s="218"/>
      <c r="F124" s="218"/>
      <c r="G124" s="218"/>
      <c r="H124" s="218"/>
      <c r="I124" s="218"/>
      <c r="J124" s="218"/>
      <c r="K124" s="218"/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  <c r="AC124" s="218"/>
      <c r="AD124" s="218"/>
      <c r="AE124" s="218"/>
      <c r="AF124" s="218"/>
      <c r="AG124" s="218"/>
      <c r="AH124" s="218"/>
      <c r="AI124" s="218"/>
      <c r="AJ124" s="218"/>
      <c r="AK124" s="218"/>
      <c r="AL124" s="218"/>
    </row>
    <row r="125" spans="4:38">
      <c r="D125" s="218"/>
      <c r="E125" s="218"/>
      <c r="F125" s="218"/>
      <c r="G125" s="218"/>
      <c r="H125" s="218"/>
      <c r="I125" s="218"/>
      <c r="J125" s="218"/>
      <c r="K125" s="218"/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  <c r="AC125" s="218"/>
      <c r="AD125" s="218"/>
      <c r="AE125" s="218"/>
      <c r="AF125" s="218"/>
      <c r="AG125" s="218"/>
      <c r="AH125" s="218"/>
      <c r="AI125" s="218"/>
      <c r="AJ125" s="218"/>
      <c r="AK125" s="218"/>
      <c r="AL125" s="218"/>
    </row>
    <row r="126" spans="4:38">
      <c r="D126" s="218"/>
      <c r="E126" s="218"/>
      <c r="F126" s="218"/>
      <c r="G126" s="218"/>
      <c r="H126" s="218"/>
      <c r="I126" s="21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  <c r="AC126" s="218"/>
      <c r="AD126" s="218"/>
      <c r="AE126" s="218"/>
      <c r="AF126" s="218"/>
      <c r="AG126" s="218"/>
      <c r="AH126" s="218"/>
      <c r="AI126" s="218"/>
      <c r="AJ126" s="218"/>
      <c r="AK126" s="218"/>
      <c r="AL126" s="218"/>
    </row>
    <row r="127" spans="4:38">
      <c r="D127" s="218"/>
      <c r="E127" s="218"/>
      <c r="F127" s="218"/>
      <c r="G127" s="218"/>
      <c r="H127" s="218"/>
      <c r="I127" s="21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  <c r="AC127" s="218"/>
      <c r="AD127" s="218"/>
      <c r="AE127" s="218"/>
      <c r="AF127" s="218"/>
      <c r="AG127" s="218"/>
      <c r="AH127" s="218"/>
      <c r="AI127" s="218"/>
      <c r="AJ127" s="218"/>
      <c r="AK127" s="218"/>
      <c r="AL127" s="218"/>
    </row>
    <row r="128" spans="4:38">
      <c r="D128" s="218"/>
      <c r="E128" s="218"/>
      <c r="F128" s="218"/>
      <c r="G128" s="218"/>
      <c r="H128" s="218"/>
      <c r="I128" s="218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  <c r="AC128" s="218"/>
      <c r="AD128" s="218"/>
      <c r="AE128" s="218"/>
      <c r="AF128" s="218"/>
      <c r="AG128" s="218"/>
      <c r="AH128" s="218"/>
      <c r="AI128" s="218"/>
      <c r="AJ128" s="218"/>
      <c r="AK128" s="218"/>
      <c r="AL128" s="218"/>
    </row>
    <row r="129" spans="4:38">
      <c r="D129" s="218"/>
      <c r="E129" s="218"/>
      <c r="F129" s="218"/>
      <c r="G129" s="218"/>
      <c r="H129" s="218"/>
      <c r="I129" s="218"/>
      <c r="J129" s="218"/>
      <c r="K129" s="218"/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  <c r="AC129" s="218"/>
      <c r="AD129" s="218"/>
      <c r="AE129" s="218"/>
      <c r="AF129" s="218"/>
      <c r="AG129" s="218"/>
      <c r="AH129" s="218"/>
      <c r="AI129" s="218"/>
      <c r="AJ129" s="218"/>
      <c r="AK129" s="218"/>
      <c r="AL129" s="218"/>
    </row>
    <row r="130" spans="4:38">
      <c r="D130" s="218"/>
      <c r="E130" s="218"/>
      <c r="F130" s="218"/>
      <c r="G130" s="218"/>
      <c r="H130" s="218"/>
      <c r="I130" s="218"/>
      <c r="J130" s="218"/>
      <c r="K130" s="218"/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  <c r="AC130" s="218"/>
      <c r="AD130" s="218"/>
      <c r="AE130" s="218"/>
      <c r="AF130" s="218"/>
      <c r="AG130" s="218"/>
      <c r="AH130" s="218"/>
      <c r="AI130" s="218"/>
      <c r="AJ130" s="218"/>
      <c r="AK130" s="218"/>
      <c r="AL130" s="218"/>
    </row>
    <row r="131" spans="4:38">
      <c r="D131" s="218"/>
      <c r="E131" s="218"/>
      <c r="F131" s="218"/>
      <c r="G131" s="218"/>
      <c r="H131" s="218"/>
      <c r="I131" s="21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  <c r="AC131" s="218"/>
      <c r="AD131" s="218"/>
      <c r="AE131" s="218"/>
      <c r="AF131" s="218"/>
      <c r="AG131" s="218"/>
      <c r="AH131" s="218"/>
      <c r="AI131" s="218"/>
      <c r="AJ131" s="218"/>
      <c r="AK131" s="218"/>
      <c r="AL131" s="218"/>
    </row>
    <row r="132" spans="4:38">
      <c r="D132" s="218"/>
      <c r="E132" s="218"/>
      <c r="F132" s="218"/>
      <c r="G132" s="218"/>
      <c r="H132" s="218"/>
      <c r="I132" s="218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  <c r="AC132" s="218"/>
      <c r="AD132" s="218"/>
      <c r="AE132" s="218"/>
      <c r="AF132" s="218"/>
      <c r="AG132" s="218"/>
      <c r="AH132" s="218"/>
      <c r="AI132" s="218"/>
      <c r="AJ132" s="218"/>
      <c r="AK132" s="218"/>
      <c r="AL132" s="218"/>
    </row>
    <row r="133" spans="4:38">
      <c r="D133" s="218"/>
      <c r="E133" s="218"/>
      <c r="F133" s="218"/>
      <c r="G133" s="218"/>
      <c r="H133" s="218"/>
      <c r="I133" s="218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  <c r="AC133" s="218"/>
      <c r="AD133" s="218"/>
      <c r="AE133" s="218"/>
      <c r="AF133" s="218"/>
      <c r="AG133" s="218"/>
      <c r="AH133" s="218"/>
      <c r="AI133" s="218"/>
      <c r="AJ133" s="218"/>
      <c r="AK133" s="218"/>
      <c r="AL133" s="218"/>
    </row>
    <row r="134" spans="4:38">
      <c r="D134" s="218"/>
      <c r="E134" s="218"/>
      <c r="F134" s="218"/>
      <c r="G134" s="218"/>
      <c r="H134" s="218"/>
      <c r="I134" s="21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  <c r="AC134" s="218"/>
      <c r="AD134" s="218"/>
      <c r="AE134" s="218"/>
      <c r="AF134" s="218"/>
      <c r="AG134" s="218"/>
      <c r="AH134" s="218"/>
      <c r="AI134" s="218"/>
      <c r="AJ134" s="218"/>
      <c r="AK134" s="218"/>
      <c r="AL134" s="218"/>
    </row>
    <row r="135" spans="4:38">
      <c r="D135" s="218"/>
      <c r="E135" s="218"/>
      <c r="F135" s="218"/>
      <c r="G135" s="218"/>
      <c r="H135" s="218"/>
      <c r="I135" s="21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  <c r="AC135" s="218"/>
      <c r="AD135" s="218"/>
      <c r="AE135" s="218"/>
      <c r="AF135" s="218"/>
      <c r="AG135" s="218"/>
      <c r="AH135" s="218"/>
      <c r="AI135" s="218"/>
      <c r="AJ135" s="218"/>
      <c r="AK135" s="218"/>
      <c r="AL135" s="218"/>
    </row>
    <row r="136" spans="4:38">
      <c r="D136" s="218"/>
      <c r="E136" s="218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  <c r="AC136" s="218"/>
      <c r="AD136" s="218"/>
      <c r="AE136" s="218"/>
      <c r="AF136" s="218"/>
      <c r="AG136" s="218"/>
      <c r="AH136" s="218"/>
      <c r="AI136" s="218"/>
      <c r="AJ136" s="218"/>
      <c r="AK136" s="218"/>
      <c r="AL136" s="218"/>
    </row>
    <row r="137" spans="4:38">
      <c r="D137" s="218"/>
      <c r="E137" s="218"/>
      <c r="F137" s="218"/>
      <c r="G137" s="218"/>
      <c r="H137" s="218"/>
      <c r="I137" s="21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  <c r="AC137" s="218"/>
      <c r="AD137" s="218"/>
      <c r="AE137" s="218"/>
      <c r="AF137" s="218"/>
      <c r="AG137" s="218"/>
      <c r="AH137" s="218"/>
      <c r="AI137" s="218"/>
      <c r="AJ137" s="218"/>
      <c r="AK137" s="218"/>
      <c r="AL137" s="218"/>
    </row>
    <row r="138" spans="4:38">
      <c r="D138" s="218"/>
      <c r="E138" s="218"/>
      <c r="F138" s="218"/>
      <c r="G138" s="218"/>
      <c r="H138" s="218"/>
      <c r="I138" s="218"/>
      <c r="J138" s="218"/>
      <c r="K138" s="218"/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  <c r="AC138" s="218"/>
      <c r="AD138" s="218"/>
      <c r="AE138" s="218"/>
      <c r="AF138" s="218"/>
      <c r="AG138" s="218"/>
      <c r="AH138" s="218"/>
      <c r="AI138" s="218"/>
      <c r="AJ138" s="218"/>
      <c r="AK138" s="218"/>
      <c r="AL138" s="218"/>
    </row>
    <row r="139" spans="4:38">
      <c r="D139" s="218"/>
      <c r="E139" s="218"/>
      <c r="F139" s="218"/>
      <c r="G139" s="218"/>
      <c r="H139" s="218"/>
      <c r="I139" s="21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  <c r="AC139" s="218"/>
      <c r="AD139" s="218"/>
      <c r="AE139" s="218"/>
      <c r="AF139" s="218"/>
      <c r="AG139" s="218"/>
      <c r="AH139" s="218"/>
      <c r="AI139" s="218"/>
      <c r="AJ139" s="218"/>
      <c r="AK139" s="218"/>
      <c r="AL139" s="218"/>
    </row>
    <row r="140" spans="4:38">
      <c r="D140" s="218"/>
      <c r="E140" s="218"/>
      <c r="F140" s="218"/>
      <c r="G140" s="218"/>
      <c r="H140" s="218"/>
      <c r="I140" s="218"/>
      <c r="J140" s="218"/>
      <c r="K140" s="218"/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  <c r="AC140" s="218"/>
      <c r="AD140" s="218"/>
      <c r="AE140" s="218"/>
      <c r="AF140" s="218"/>
      <c r="AG140" s="218"/>
      <c r="AH140" s="218"/>
      <c r="AI140" s="218"/>
      <c r="AJ140" s="218"/>
      <c r="AK140" s="218"/>
      <c r="AL140" s="218"/>
    </row>
    <row r="141" spans="4:38">
      <c r="D141" s="218"/>
      <c r="E141" s="218"/>
      <c r="F141" s="218"/>
      <c r="G141" s="218"/>
      <c r="H141" s="218"/>
      <c r="I141" s="21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  <c r="AC141" s="218"/>
      <c r="AD141" s="218"/>
      <c r="AE141" s="218"/>
      <c r="AF141" s="218"/>
      <c r="AG141" s="218"/>
      <c r="AH141" s="218"/>
      <c r="AI141" s="218"/>
      <c r="AJ141" s="218"/>
      <c r="AK141" s="218"/>
      <c r="AL141" s="218"/>
    </row>
    <row r="142" spans="4:38">
      <c r="D142" s="218"/>
      <c r="E142" s="218"/>
      <c r="F142" s="218"/>
      <c r="G142" s="218"/>
      <c r="H142" s="218"/>
      <c r="I142" s="218"/>
      <c r="J142" s="218"/>
      <c r="K142" s="218"/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  <c r="AC142" s="218"/>
      <c r="AD142" s="218"/>
      <c r="AE142" s="218"/>
      <c r="AF142" s="218"/>
      <c r="AG142" s="218"/>
      <c r="AH142" s="218"/>
      <c r="AI142" s="218"/>
      <c r="AJ142" s="218"/>
      <c r="AK142" s="218"/>
      <c r="AL142" s="218"/>
    </row>
    <row r="143" spans="4:38">
      <c r="D143" s="218"/>
      <c r="E143" s="218"/>
      <c r="F143" s="218"/>
      <c r="G143" s="218"/>
      <c r="H143" s="218"/>
      <c r="I143" s="21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  <c r="AC143" s="218"/>
      <c r="AD143" s="218"/>
      <c r="AE143" s="218"/>
      <c r="AF143" s="218"/>
      <c r="AG143" s="218"/>
      <c r="AH143" s="218"/>
      <c r="AI143" s="218"/>
      <c r="AJ143" s="218"/>
      <c r="AK143" s="218"/>
      <c r="AL143" s="218"/>
    </row>
    <row r="144" spans="4:38">
      <c r="D144" s="218"/>
      <c r="E144" s="218"/>
      <c r="F144" s="218"/>
      <c r="G144" s="218"/>
      <c r="H144" s="218"/>
      <c r="I144" s="218"/>
      <c r="J144" s="218"/>
      <c r="K144" s="218"/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  <c r="AC144" s="218"/>
      <c r="AD144" s="218"/>
      <c r="AE144" s="218"/>
      <c r="AF144" s="218"/>
      <c r="AG144" s="218"/>
      <c r="AH144" s="218"/>
      <c r="AI144" s="218"/>
      <c r="AJ144" s="218"/>
      <c r="AK144" s="218"/>
      <c r="AL144" s="218"/>
    </row>
    <row r="145" spans="4:38">
      <c r="D145" s="218"/>
      <c r="E145" s="218"/>
      <c r="F145" s="218"/>
      <c r="G145" s="218"/>
      <c r="H145" s="218"/>
      <c r="I145" s="218"/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  <c r="AC145" s="218"/>
      <c r="AD145" s="218"/>
      <c r="AE145" s="218"/>
      <c r="AF145" s="218"/>
      <c r="AG145" s="218"/>
      <c r="AH145" s="218"/>
      <c r="AI145" s="218"/>
      <c r="AJ145" s="218"/>
      <c r="AK145" s="218"/>
      <c r="AL145" s="218"/>
    </row>
    <row r="146" spans="4:38">
      <c r="D146" s="218"/>
      <c r="E146" s="218"/>
      <c r="F146" s="218"/>
      <c r="G146" s="218"/>
      <c r="H146" s="218"/>
      <c r="I146" s="218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  <c r="AC146" s="218"/>
      <c r="AD146" s="218"/>
      <c r="AE146" s="218"/>
      <c r="AF146" s="218"/>
      <c r="AG146" s="218"/>
      <c r="AH146" s="218"/>
      <c r="AI146" s="218"/>
      <c r="AJ146" s="218"/>
      <c r="AK146" s="218"/>
      <c r="AL146" s="218"/>
    </row>
    <row r="147" spans="4:38">
      <c r="D147" s="218"/>
      <c r="E147" s="218"/>
      <c r="F147" s="218"/>
      <c r="G147" s="218"/>
      <c r="H147" s="218"/>
      <c r="I147" s="218"/>
      <c r="J147" s="218"/>
      <c r="K147" s="218"/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  <c r="AC147" s="218"/>
      <c r="AD147" s="218"/>
      <c r="AE147" s="218"/>
      <c r="AF147" s="218"/>
      <c r="AG147" s="218"/>
      <c r="AH147" s="218"/>
      <c r="AI147" s="218"/>
      <c r="AJ147" s="218"/>
      <c r="AK147" s="218"/>
      <c r="AL147" s="218"/>
    </row>
    <row r="148" spans="4:38">
      <c r="D148" s="218"/>
      <c r="E148" s="218"/>
      <c r="F148" s="218"/>
      <c r="G148" s="218"/>
      <c r="H148" s="218"/>
      <c r="I148" s="218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  <c r="AC148" s="218"/>
      <c r="AD148" s="218"/>
      <c r="AE148" s="218"/>
      <c r="AF148" s="218"/>
      <c r="AG148" s="218"/>
      <c r="AH148" s="218"/>
      <c r="AI148" s="218"/>
      <c r="AJ148" s="218"/>
      <c r="AK148" s="218"/>
      <c r="AL148" s="218"/>
    </row>
    <row r="149" spans="4:38">
      <c r="D149" s="218"/>
      <c r="E149" s="218"/>
      <c r="F149" s="218"/>
      <c r="G149" s="218"/>
      <c r="H149" s="218"/>
      <c r="I149" s="218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  <c r="AC149" s="218"/>
      <c r="AD149" s="218"/>
      <c r="AE149" s="218"/>
      <c r="AF149" s="218"/>
      <c r="AG149" s="218"/>
      <c r="AH149" s="218"/>
      <c r="AI149" s="218"/>
      <c r="AJ149" s="218"/>
      <c r="AK149" s="218"/>
      <c r="AL149" s="218"/>
    </row>
    <row r="150" spans="4:38">
      <c r="D150" s="218"/>
      <c r="E150" s="218"/>
      <c r="F150" s="218"/>
      <c r="G150" s="218"/>
      <c r="H150" s="218"/>
      <c r="I150" s="218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  <c r="AC150" s="218"/>
      <c r="AD150" s="218"/>
      <c r="AE150" s="218"/>
      <c r="AF150" s="218"/>
      <c r="AG150" s="218"/>
      <c r="AH150" s="218"/>
      <c r="AI150" s="218"/>
      <c r="AJ150" s="218"/>
      <c r="AK150" s="218"/>
      <c r="AL150" s="218"/>
    </row>
    <row r="151" spans="4:38">
      <c r="D151" s="218"/>
      <c r="E151" s="218"/>
      <c r="F151" s="218"/>
      <c r="G151" s="218"/>
      <c r="H151" s="218"/>
      <c r="I151" s="218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  <c r="AC151" s="218"/>
      <c r="AD151" s="218"/>
      <c r="AE151" s="218"/>
      <c r="AF151" s="218"/>
      <c r="AG151" s="218"/>
      <c r="AH151" s="218"/>
      <c r="AI151" s="218"/>
      <c r="AJ151" s="218"/>
      <c r="AK151" s="218"/>
      <c r="AL151" s="218"/>
    </row>
    <row r="152" spans="4:38">
      <c r="D152" s="218"/>
      <c r="E152" s="218"/>
      <c r="F152" s="218"/>
      <c r="G152" s="218"/>
      <c r="H152" s="218"/>
      <c r="I152" s="21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  <c r="AC152" s="218"/>
      <c r="AD152" s="218"/>
      <c r="AE152" s="218"/>
      <c r="AF152" s="218"/>
      <c r="AG152" s="218"/>
      <c r="AH152" s="218"/>
      <c r="AI152" s="218"/>
      <c r="AJ152" s="218"/>
      <c r="AK152" s="218"/>
      <c r="AL152" s="218"/>
    </row>
    <row r="153" spans="4:38">
      <c r="D153" s="218"/>
      <c r="E153" s="218"/>
      <c r="F153" s="218"/>
      <c r="G153" s="218"/>
      <c r="H153" s="218"/>
      <c r="I153" s="21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  <c r="AC153" s="218"/>
      <c r="AD153" s="218"/>
      <c r="AE153" s="218"/>
      <c r="AF153" s="218"/>
      <c r="AG153" s="218"/>
      <c r="AH153" s="218"/>
      <c r="AI153" s="218"/>
      <c r="AJ153" s="218"/>
      <c r="AK153" s="218"/>
      <c r="AL153" s="218"/>
    </row>
    <row r="154" spans="4:38">
      <c r="D154" s="218"/>
      <c r="E154" s="218"/>
      <c r="F154" s="218"/>
      <c r="G154" s="218"/>
      <c r="H154" s="218"/>
      <c r="I154" s="21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  <c r="AC154" s="218"/>
      <c r="AD154" s="218"/>
      <c r="AE154" s="218"/>
      <c r="AF154" s="218"/>
      <c r="AG154" s="218"/>
      <c r="AH154" s="218"/>
      <c r="AI154" s="218"/>
      <c r="AJ154" s="218"/>
      <c r="AK154" s="218"/>
      <c r="AL154" s="218"/>
    </row>
    <row r="155" spans="4:38">
      <c r="D155" s="218"/>
      <c r="E155" s="218"/>
      <c r="F155" s="218"/>
      <c r="G155" s="218"/>
      <c r="H155" s="218"/>
      <c r="I155" s="21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  <c r="AC155" s="218"/>
      <c r="AD155" s="218"/>
      <c r="AE155" s="218"/>
      <c r="AF155" s="218"/>
      <c r="AG155" s="218"/>
      <c r="AH155" s="218"/>
      <c r="AI155" s="218"/>
      <c r="AJ155" s="218"/>
      <c r="AK155" s="218"/>
      <c r="AL155" s="218"/>
    </row>
    <row r="156" spans="4:38">
      <c r="D156" s="218"/>
      <c r="E156" s="218"/>
      <c r="F156" s="218"/>
      <c r="G156" s="218"/>
      <c r="H156" s="218"/>
      <c r="I156" s="21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  <c r="AC156" s="218"/>
      <c r="AD156" s="218"/>
      <c r="AE156" s="218"/>
      <c r="AF156" s="218"/>
      <c r="AG156" s="218"/>
      <c r="AH156" s="218"/>
      <c r="AI156" s="218"/>
      <c r="AJ156" s="218"/>
      <c r="AK156" s="218"/>
      <c r="AL156" s="218"/>
    </row>
    <row r="157" spans="4:38">
      <c r="D157" s="218"/>
      <c r="E157" s="218"/>
      <c r="F157" s="218"/>
      <c r="G157" s="218"/>
      <c r="H157" s="218"/>
      <c r="I157" s="21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  <c r="AC157" s="218"/>
      <c r="AD157" s="218"/>
      <c r="AE157" s="218"/>
      <c r="AF157" s="218"/>
      <c r="AG157" s="218"/>
      <c r="AH157" s="218"/>
      <c r="AI157" s="218"/>
      <c r="AJ157" s="218"/>
      <c r="AK157" s="218"/>
      <c r="AL157" s="218"/>
    </row>
    <row r="158" spans="4:38"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  <c r="AC158" s="218"/>
      <c r="AD158" s="218"/>
      <c r="AE158" s="218"/>
      <c r="AF158" s="218"/>
      <c r="AG158" s="218"/>
      <c r="AH158" s="218"/>
      <c r="AI158" s="218"/>
      <c r="AJ158" s="218"/>
      <c r="AK158" s="218"/>
      <c r="AL158" s="218"/>
    </row>
    <row r="159" spans="4:38">
      <c r="D159" s="218"/>
      <c r="E159" s="218"/>
      <c r="F159" s="218"/>
      <c r="G159" s="218"/>
      <c r="H159" s="218"/>
      <c r="I159" s="21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  <c r="AC159" s="218"/>
      <c r="AD159" s="218"/>
      <c r="AE159" s="218"/>
      <c r="AF159" s="218"/>
      <c r="AG159" s="218"/>
      <c r="AH159" s="218"/>
      <c r="AI159" s="218"/>
      <c r="AJ159" s="218"/>
      <c r="AK159" s="218"/>
      <c r="AL159" s="218"/>
    </row>
  </sheetData>
  <sheetProtection algorithmName="SHA-512" hashValue="vq2DQlv33sYFNqruNHVl+qztR9fGEh3L1nZRr0/UnJ37ICYokeXiFqortUAv+aLGK2KNvJAON03CrFIMZ/9pGg==" saltValue="nJ/l6Zle/pOeDheMdM1eWw==" spinCount="100000" sheet="1" objects="1" scenarios="1" selectLockedCells="1" selectUnlockedCells="1"/>
  <mergeCells count="4">
    <mergeCell ref="M38:O38"/>
    <mergeCell ref="J38:K38"/>
    <mergeCell ref="J73:K73"/>
    <mergeCell ref="R38:S38"/>
  </mergeCells>
  <phoneticPr fontId="33" type="noConversion"/>
  <conditionalFormatting sqref="J4:T27 Q28:R37">
    <cfRule type="expression" dxfId="17" priority="16">
      <formula>J4&lt;&gt;0</formula>
    </cfRule>
  </conditionalFormatting>
  <conditionalFormatting sqref="V40:V63 R40:T70">
    <cfRule type="expression" dxfId="16" priority="13">
      <formula>ABS(R40)&gt;=10%</formula>
    </cfRule>
  </conditionalFormatting>
  <conditionalFormatting sqref="J28:W34 U4:W34">
    <cfRule type="expression" dxfId="15" priority="8">
      <formula>J4&lt;&gt;0</formula>
    </cfRule>
  </conditionalFormatting>
  <conditionalFormatting sqref="V64:V70">
    <cfRule type="expression" dxfId="14" priority="7">
      <formula>ABS(V64)&gt;=10%</formula>
    </cfRule>
  </conditionalFormatting>
  <conditionalFormatting sqref="AB39:AC39">
    <cfRule type="cellIs" dxfId="13" priority="6" operator="greaterThan">
      <formula>0.001</formula>
    </cfRule>
  </conditionalFormatting>
  <conditionalFormatting sqref="AB39:AC39">
    <cfRule type="cellIs" dxfId="12" priority="5" operator="lessThan">
      <formula>-0.001</formula>
    </cfRule>
  </conditionalFormatting>
  <conditionalFormatting sqref="AB40:AC52">
    <cfRule type="cellIs" dxfId="11" priority="4" operator="greaterThan">
      <formula>0.001</formula>
    </cfRule>
  </conditionalFormatting>
  <conditionalFormatting sqref="AB40:AC52">
    <cfRule type="cellIs" dxfId="10" priority="3" operator="lessThan">
      <formula>-0.001</formula>
    </cfRule>
  </conditionalFormatting>
  <conditionalFormatting sqref="AA4:AX14 AY11:BE12">
    <cfRule type="expression" dxfId="9" priority="2">
      <formula>AA4&lt;&gt;0</formula>
    </cfRule>
  </conditionalFormatting>
  <conditionalFormatting sqref="AY4:BE17 AA15:AX17">
    <cfRule type="expression" dxfId="8" priority="1">
      <formula>AA4&lt;&gt;0</formula>
    </cfRule>
  </conditionalFormatting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62F3-D02A-9D44-BAA0-5F329E2E8528}">
  <sheetPr>
    <tabColor theme="5" tint="0.59999389629810485"/>
  </sheetPr>
  <dimension ref="A1"/>
  <sheetViews>
    <sheetView tabSelected="1" workbookViewId="0">
      <selection activeCell="F27" sqref="F27"/>
    </sheetView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7745-D338-7744-A219-B6477F450083}">
  <sheetPr>
    <tabColor theme="5" tint="0.59999389629810485"/>
  </sheetPr>
  <dimension ref="A1:D31"/>
  <sheetViews>
    <sheetView workbookViewId="0">
      <selection activeCell="D31" sqref="D1:D31"/>
    </sheetView>
  </sheetViews>
  <sheetFormatPr baseColWidth="10" defaultRowHeight="15"/>
  <cols>
    <col min="1" max="1" width="39.83203125" customWidth="1"/>
  </cols>
  <sheetData>
    <row r="1" spans="1:4">
      <c r="A1" s="224" t="s">
        <v>28</v>
      </c>
      <c r="B1" s="22">
        <v>635936.20200000005</v>
      </c>
      <c r="C1" s="248">
        <v>0.53950295786000002</v>
      </c>
      <c r="D1" s="249"/>
    </row>
    <row r="2" spans="1:4">
      <c r="A2" s="224" t="s">
        <v>69</v>
      </c>
      <c r="B2" s="22">
        <v>0</v>
      </c>
      <c r="C2" s="248">
        <v>0</v>
      </c>
      <c r="D2" s="249"/>
    </row>
    <row r="3" spans="1:4">
      <c r="A3" s="224" t="s">
        <v>29</v>
      </c>
      <c r="B3" s="22">
        <v>21556.786400000001</v>
      </c>
      <c r="C3" s="248">
        <v>0.63023373883</v>
      </c>
      <c r="D3" s="249"/>
    </row>
    <row r="4" spans="1:4">
      <c r="A4" s="224" t="s">
        <v>33</v>
      </c>
      <c r="B4" s="22">
        <v>21556.786400000001</v>
      </c>
      <c r="C4" s="248">
        <v>0.63023373883</v>
      </c>
      <c r="D4" s="249"/>
    </row>
    <row r="5" spans="1:4">
      <c r="A5" s="224" t="s">
        <v>30</v>
      </c>
      <c r="B5" s="22">
        <v>635936.20200000005</v>
      </c>
      <c r="C5" s="248">
        <v>0.53950295786000002</v>
      </c>
      <c r="D5" s="249"/>
    </row>
    <row r="6" spans="1:4">
      <c r="A6" s="224" t="s">
        <v>31</v>
      </c>
      <c r="B6" s="22">
        <v>0</v>
      </c>
      <c r="C6" s="248">
        <v>0</v>
      </c>
      <c r="D6" s="249"/>
    </row>
    <row r="7" spans="1:4">
      <c r="A7" s="224" t="s">
        <v>32</v>
      </c>
      <c r="B7" s="22">
        <v>635936.20200000005</v>
      </c>
      <c r="C7" s="248">
        <v>0.53950295786000002</v>
      </c>
      <c r="D7" s="249"/>
    </row>
    <row r="8" spans="1:4">
      <c r="A8" s="224" t="s">
        <v>34</v>
      </c>
      <c r="B8" s="22">
        <v>8158.0619999999999</v>
      </c>
      <c r="C8" s="248">
        <v>0.53950295800000003</v>
      </c>
      <c r="D8" s="249"/>
    </row>
    <row r="9" spans="1:4">
      <c r="A9" s="224" t="s">
        <v>70</v>
      </c>
      <c r="B9" s="22">
        <v>627778.14</v>
      </c>
      <c r="C9" s="248">
        <v>0.53950295786000002</v>
      </c>
      <c r="D9" s="249"/>
    </row>
    <row r="10" spans="1:4">
      <c r="A10" s="224" t="s">
        <v>172</v>
      </c>
      <c r="B10" s="22">
        <v>0</v>
      </c>
      <c r="C10" s="248">
        <v>0</v>
      </c>
      <c r="D10" s="249"/>
    </row>
    <row r="11" spans="1:4">
      <c r="A11" s="224" t="s">
        <v>35</v>
      </c>
      <c r="B11" s="22">
        <v>57468.221721000002</v>
      </c>
      <c r="C11" s="248">
        <v>0.58591834491000006</v>
      </c>
      <c r="D11" s="249"/>
    </row>
    <row r="12" spans="1:4">
      <c r="A12" s="224" t="s">
        <v>72</v>
      </c>
      <c r="B12" s="22">
        <v>52451.256800000003</v>
      </c>
      <c r="C12" s="248">
        <v>0.61664549999999996</v>
      </c>
      <c r="D12" s="249"/>
    </row>
    <row r="13" spans="1:4">
      <c r="A13" s="224" t="s">
        <v>71</v>
      </c>
      <c r="B13" s="22">
        <v>519665.78352</v>
      </c>
      <c r="C13" s="248">
        <v>0.60820495416999998</v>
      </c>
      <c r="D13" s="249"/>
    </row>
    <row r="14" spans="1:4">
      <c r="A14" s="224" t="s">
        <v>86</v>
      </c>
      <c r="B14" s="22">
        <v>108112.35648</v>
      </c>
      <c r="C14" s="248">
        <v>0.20927172525000001</v>
      </c>
      <c r="D14" s="249"/>
    </row>
    <row r="15" spans="1:4">
      <c r="A15" s="224" t="s">
        <v>73</v>
      </c>
      <c r="B15" s="22">
        <v>19394.5455</v>
      </c>
      <c r="C15" s="248">
        <v>0.19782955895000001</v>
      </c>
      <c r="D15" s="249"/>
    </row>
    <row r="16" spans="1:4">
      <c r="A16" s="224" t="s">
        <v>200</v>
      </c>
      <c r="B16" s="22">
        <v>88717.810979000002</v>
      </c>
      <c r="C16" s="248">
        <v>0.21177309011000001</v>
      </c>
      <c r="D16" s="249"/>
    </row>
    <row r="17" spans="1:4">
      <c r="A17" s="224" t="s">
        <v>37</v>
      </c>
      <c r="B17" s="22">
        <v>45958.833721000003</v>
      </c>
      <c r="C17" s="248">
        <v>0.177288</v>
      </c>
      <c r="D17" s="249"/>
    </row>
    <row r="18" spans="1:4">
      <c r="A18" s="224" t="s">
        <v>131</v>
      </c>
      <c r="B18" s="22">
        <v>65353.379221000003</v>
      </c>
      <c r="C18" s="248">
        <v>0.18338399999999999</v>
      </c>
      <c r="D18" s="249"/>
    </row>
    <row r="19" spans="1:4">
      <c r="A19" s="224" t="s">
        <v>74</v>
      </c>
      <c r="B19" s="22">
        <v>154071.19020000001</v>
      </c>
      <c r="C19" s="248">
        <v>0.19973110504</v>
      </c>
      <c r="D19" s="249"/>
    </row>
    <row r="20" spans="1:4">
      <c r="A20" s="224" t="s">
        <v>38</v>
      </c>
      <c r="B20" s="22">
        <v>129854.1048</v>
      </c>
      <c r="C20" s="248">
        <v>0.14616000000000001</v>
      </c>
      <c r="D20" s="249"/>
    </row>
    <row r="21" spans="1:4">
      <c r="A21" s="224" t="s">
        <v>132</v>
      </c>
      <c r="B21" s="22">
        <v>24217.0854</v>
      </c>
      <c r="C21" s="248">
        <v>0.48698399999999997</v>
      </c>
      <c r="D21" s="249"/>
    </row>
    <row r="22" spans="1:4">
      <c r="A22" s="224" t="s">
        <v>5</v>
      </c>
      <c r="B22" s="22">
        <v>1218.6096</v>
      </c>
      <c r="C22" s="248">
        <v>0.49230655541000001</v>
      </c>
      <c r="D22" s="249"/>
    </row>
    <row r="23" spans="1:4">
      <c r="A23" s="224" t="s">
        <v>39</v>
      </c>
      <c r="B23" s="22">
        <v>25435.695</v>
      </c>
      <c r="C23" s="248">
        <v>0.48723900059000003</v>
      </c>
      <c r="D23" s="249"/>
    </row>
    <row r="24" spans="1:4">
      <c r="A24" s="224" t="s">
        <v>40</v>
      </c>
      <c r="B24" s="22">
        <v>409746.30499999999</v>
      </c>
      <c r="C24" s="248">
        <v>0.61025025525999999</v>
      </c>
      <c r="D24" s="249"/>
    </row>
    <row r="25" spans="1:4">
      <c r="A25" s="224" t="s">
        <v>177</v>
      </c>
      <c r="B25" s="22">
        <v>0</v>
      </c>
      <c r="C25" s="248">
        <v>0</v>
      </c>
      <c r="D25" s="249"/>
    </row>
    <row r="26" spans="1:4">
      <c r="A26" s="224" t="s">
        <v>178</v>
      </c>
      <c r="B26" s="22">
        <v>0</v>
      </c>
      <c r="C26" s="248">
        <v>0</v>
      </c>
      <c r="D26" s="249"/>
    </row>
    <row r="27" spans="1:4">
      <c r="A27" s="224" t="s">
        <v>179</v>
      </c>
      <c r="B27" s="22">
        <v>0</v>
      </c>
      <c r="C27" s="248">
        <v>0</v>
      </c>
      <c r="D27" s="249"/>
    </row>
    <row r="28" spans="1:4">
      <c r="A28" s="224" t="s">
        <v>181</v>
      </c>
      <c r="B28" s="22">
        <v>0</v>
      </c>
      <c r="C28" s="248">
        <v>0</v>
      </c>
      <c r="D28" s="249"/>
    </row>
    <row r="29" spans="1:4">
      <c r="A29" s="224" t="s">
        <v>180</v>
      </c>
      <c r="B29" s="22">
        <v>0</v>
      </c>
      <c r="C29" s="248">
        <v>0</v>
      </c>
      <c r="D29" s="249"/>
    </row>
    <row r="30" spans="1:4">
      <c r="A30" s="224" t="s">
        <v>182</v>
      </c>
      <c r="B30" s="22">
        <v>0</v>
      </c>
      <c r="C30" s="248">
        <v>0</v>
      </c>
      <c r="D30" s="249"/>
    </row>
    <row r="31" spans="1:4">
      <c r="A31" s="224" t="s">
        <v>183</v>
      </c>
      <c r="B31" s="22">
        <v>0</v>
      </c>
      <c r="C31" s="248">
        <v>0</v>
      </c>
      <c r="D31" s="2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  <pageSetUpPr fitToPage="1"/>
  </sheetPr>
  <dimension ref="B1:AG103"/>
  <sheetViews>
    <sheetView showGridLines="0" topLeftCell="G67" zoomScale="110" zoomScaleNormal="110" workbookViewId="0">
      <selection activeCell="P96" sqref="P96"/>
    </sheetView>
  </sheetViews>
  <sheetFormatPr baseColWidth="10" defaultRowHeight="15"/>
  <cols>
    <col min="1" max="1" width="4.83203125" customWidth="1"/>
    <col min="5" max="5" width="16" customWidth="1"/>
    <col min="7" max="7" width="18" customWidth="1"/>
    <col min="8" max="8" width="14.83203125" customWidth="1"/>
    <col min="9" max="9" width="26.83203125" customWidth="1"/>
    <col min="10" max="10" width="17.33203125" customWidth="1"/>
    <col min="11" max="11" width="13.5" customWidth="1"/>
    <col min="12" max="12" width="16" customWidth="1"/>
    <col min="13" max="13" width="13.5" customWidth="1"/>
    <col min="14" max="14" width="13.83203125" customWidth="1"/>
    <col min="15" max="15" width="18.1640625" customWidth="1"/>
    <col min="16" max="16" width="13.6640625" customWidth="1"/>
    <col min="18" max="18" width="7.33203125" customWidth="1"/>
    <col min="19" max="19" width="23.33203125" customWidth="1"/>
    <col min="20" max="20" width="5.5" customWidth="1"/>
    <col min="24" max="24" width="26.5" customWidth="1"/>
  </cols>
  <sheetData>
    <row r="1" spans="2:27" ht="16" thickBot="1">
      <c r="P1" s="101"/>
    </row>
    <row r="2" spans="2:27">
      <c r="B2" s="88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Q2" s="24"/>
      <c r="R2" s="24"/>
      <c r="S2" s="24"/>
      <c r="T2" s="89"/>
    </row>
    <row r="3" spans="2:27" ht="19">
      <c r="B3" s="90"/>
      <c r="C3" s="23"/>
      <c r="D3" s="23"/>
      <c r="E3" s="23"/>
      <c r="F3" s="23"/>
      <c r="G3" s="23"/>
      <c r="H3" s="23"/>
      <c r="I3" s="23"/>
      <c r="J3" s="190" t="s">
        <v>173</v>
      </c>
      <c r="K3" s="189" t="e">
        <f>+I6/(1-#REF!)</f>
        <v>#REF!</v>
      </c>
      <c r="L3" s="23" t="e">
        <f>+K4/K3</f>
        <v>#REF!</v>
      </c>
      <c r="M3" s="23"/>
      <c r="O3" s="23"/>
      <c r="Q3" s="23"/>
      <c r="R3" s="23"/>
      <c r="S3" s="23"/>
      <c r="T3" s="91"/>
      <c r="X3" s="202"/>
      <c r="Y3" s="207"/>
      <c r="Z3" s="202"/>
      <c r="AA3" s="202"/>
    </row>
    <row r="4" spans="2:27" ht="20" thickBot="1">
      <c r="B4" s="90"/>
      <c r="C4" s="23"/>
      <c r="D4" s="23"/>
      <c r="E4" s="23"/>
      <c r="F4" s="23"/>
      <c r="G4" s="23"/>
      <c r="H4" s="23"/>
      <c r="I4" s="23"/>
      <c r="J4" s="23" t="s">
        <v>199</v>
      </c>
      <c r="K4" s="189">
        <v>641388</v>
      </c>
      <c r="L4" s="23" t="e">
        <f>1-L3</f>
        <v>#REF!</v>
      </c>
      <c r="M4" s="23"/>
      <c r="N4" s="23"/>
      <c r="O4" s="23"/>
      <c r="Q4" s="23"/>
      <c r="R4" s="23"/>
      <c r="S4" s="23"/>
      <c r="T4" s="91"/>
      <c r="W4" s="185"/>
      <c r="X4" s="202"/>
      <c r="Y4" s="207"/>
      <c r="Z4" s="202"/>
      <c r="AA4" s="202"/>
    </row>
    <row r="5" spans="2:27" ht="17" thickBot="1">
      <c r="B5" s="90"/>
      <c r="C5" s="23"/>
      <c r="D5" s="23"/>
      <c r="E5" s="23"/>
      <c r="F5" s="23"/>
      <c r="G5" s="23"/>
      <c r="H5" s="23"/>
      <c r="I5" s="23"/>
      <c r="J5" s="23"/>
      <c r="K5" s="9" t="e">
        <f>+K3-K4</f>
        <v>#REF!</v>
      </c>
      <c r="L5" s="23"/>
      <c r="M5" s="23"/>
      <c r="N5" s="23"/>
      <c r="P5" s="185" t="s">
        <v>196</v>
      </c>
      <c r="Q5" s="185"/>
      <c r="R5" s="185"/>
      <c r="S5" s="201">
        <f>J19</f>
        <v>8158.0620000000345</v>
      </c>
      <c r="T5" s="91"/>
      <c r="X5" s="185"/>
      <c r="Y5" s="185"/>
      <c r="Z5" s="185"/>
      <c r="AA5" s="185"/>
    </row>
    <row r="6" spans="2:27" ht="17" thickBot="1">
      <c r="B6" s="90"/>
      <c r="C6" s="23"/>
      <c r="D6" s="23"/>
      <c r="E6" s="23"/>
      <c r="F6" s="93">
        <f>+Utilidad!M41</f>
        <v>0</v>
      </c>
      <c r="G6" s="23"/>
      <c r="H6" s="23"/>
      <c r="I6" s="95">
        <f>+Utilidad!M40+W7</f>
        <v>635936.20200000005</v>
      </c>
      <c r="J6" s="23"/>
      <c r="K6" s="23"/>
      <c r="L6" s="23"/>
      <c r="M6" s="23"/>
      <c r="N6" s="23"/>
      <c r="O6" s="23"/>
      <c r="T6" s="91"/>
    </row>
    <row r="7" spans="2:27" ht="17" thickBot="1">
      <c r="B7" s="90"/>
      <c r="C7" s="23"/>
      <c r="D7" s="23"/>
      <c r="E7" s="92">
        <f>+-C8+D16-F6</f>
        <v>-21556.786400000001</v>
      </c>
      <c r="F7" s="94">
        <f>+Utilidad!N41</f>
        <v>0</v>
      </c>
      <c r="G7" s="23"/>
      <c r="H7" s="23"/>
      <c r="I7" s="97">
        <f>+Utilidad!N40</f>
        <v>0.53950295786000002</v>
      </c>
      <c r="J7" s="23"/>
      <c r="K7" s="23"/>
      <c r="L7" s="23"/>
      <c r="M7" s="23"/>
      <c r="N7" s="23"/>
      <c r="O7" s="23"/>
      <c r="P7" s="23" t="s">
        <v>195</v>
      </c>
      <c r="S7" s="201">
        <v>43367</v>
      </c>
      <c r="T7" s="91"/>
    </row>
    <row r="8" spans="2:27" ht="17" thickBot="1">
      <c r="B8" s="90"/>
      <c r="C8" s="95">
        <f>+Utilidad!M42</f>
        <v>21556.786400000001</v>
      </c>
      <c r="D8" s="23"/>
      <c r="E8" s="210">
        <f>+E9/E7</f>
        <v>0.63023373883</v>
      </c>
      <c r="F8" s="96">
        <f>+Utilidad!O41</f>
        <v>0</v>
      </c>
      <c r="G8" s="23"/>
      <c r="H8" s="23"/>
      <c r="I8" s="98">
        <f>+Utilidad!O40+W8</f>
        <v>343089.46198925452</v>
      </c>
      <c r="J8" s="23"/>
      <c r="K8" s="23"/>
      <c r="L8" s="23"/>
      <c r="M8" s="23"/>
      <c r="O8" s="23"/>
      <c r="P8" s="23" t="s">
        <v>194</v>
      </c>
      <c r="Q8" s="23"/>
      <c r="R8" s="23"/>
      <c r="S8" s="201">
        <f>+S7+S5</f>
        <v>51525.062000000034</v>
      </c>
      <c r="T8" s="91"/>
    </row>
    <row r="9" spans="2:27" ht="16">
      <c r="B9" s="90"/>
      <c r="C9" s="97">
        <f>+Utilidad!N42</f>
        <v>0.63023373883</v>
      </c>
      <c r="D9" s="23"/>
      <c r="E9" s="209">
        <f>+-C10+D18-F8</f>
        <v>-13585.814090031696</v>
      </c>
      <c r="F9" s="23"/>
      <c r="G9" s="23"/>
      <c r="H9" s="23"/>
      <c r="I9" s="23"/>
      <c r="J9" s="23"/>
      <c r="K9" s="23"/>
      <c r="L9" s="23"/>
      <c r="M9" s="23"/>
      <c r="O9" s="23"/>
      <c r="R9" s="23"/>
      <c r="S9" s="23"/>
      <c r="T9" s="91"/>
    </row>
    <row r="10" spans="2:27" ht="16">
      <c r="B10" s="90"/>
      <c r="C10" s="98">
        <f>+Utilidad!O42</f>
        <v>13585.814090031696</v>
      </c>
      <c r="D10" s="23"/>
      <c r="E10" s="209"/>
      <c r="F10" s="23"/>
      <c r="G10" s="23"/>
      <c r="H10" s="23"/>
      <c r="I10" s="23"/>
      <c r="J10" s="23"/>
      <c r="K10" s="23"/>
      <c r="L10" s="23"/>
      <c r="M10" s="23"/>
      <c r="O10" s="23"/>
      <c r="R10" s="23"/>
      <c r="T10" s="91"/>
    </row>
    <row r="11" spans="2:27" ht="16">
      <c r="B11" s="90"/>
      <c r="C11" s="23"/>
      <c r="D11" s="23"/>
      <c r="E11" s="23"/>
      <c r="F11" s="23"/>
      <c r="G11" s="23"/>
      <c r="H11" s="23"/>
      <c r="I11" s="23"/>
      <c r="J11" s="95">
        <f>+Utilidad!M46+W7</f>
        <v>635936.20200000005</v>
      </c>
      <c r="K11" s="23"/>
      <c r="L11" s="23"/>
      <c r="M11" s="23"/>
      <c r="N11" s="23"/>
      <c r="O11" s="23"/>
      <c r="R11" s="23"/>
      <c r="T11" s="91"/>
    </row>
    <row r="12" spans="2:27" ht="16">
      <c r="B12" s="90"/>
      <c r="C12" s="23"/>
      <c r="D12" s="23"/>
      <c r="E12" s="23"/>
      <c r="F12" s="23"/>
      <c r="G12" s="23"/>
      <c r="H12" s="95">
        <f>+Utilidad!M44+W7</f>
        <v>635936.20200000005</v>
      </c>
      <c r="I12" s="23"/>
      <c r="J12" s="97">
        <f>+Utilidad!N46</f>
        <v>0.53950295786000002</v>
      </c>
      <c r="K12" s="23"/>
      <c r="L12" s="23"/>
      <c r="M12" s="23"/>
      <c r="N12" s="23"/>
      <c r="O12" s="23"/>
      <c r="R12" s="23"/>
      <c r="T12" s="91"/>
      <c r="X12" s="198"/>
    </row>
    <row r="13" spans="2:27" ht="16">
      <c r="B13" s="90"/>
      <c r="C13" s="23"/>
      <c r="D13" s="23"/>
      <c r="E13" s="23"/>
      <c r="F13" s="23"/>
      <c r="G13" s="23"/>
      <c r="H13" s="97">
        <f>+Utilidad!N44</f>
        <v>0.53950295786000002</v>
      </c>
      <c r="I13" s="23"/>
      <c r="J13" s="98">
        <f>+Utilidad!O46+W8</f>
        <v>343089.46198925452</v>
      </c>
      <c r="K13" s="9"/>
      <c r="M13" s="23"/>
      <c r="N13" s="23"/>
      <c r="O13" s="23"/>
      <c r="R13" s="23"/>
      <c r="S13" s="23"/>
      <c r="T13" s="91"/>
      <c r="X13" s="99"/>
    </row>
    <row r="14" spans="2:27" ht="16">
      <c r="B14" s="90"/>
      <c r="C14" s="23"/>
      <c r="D14" s="23"/>
      <c r="E14" s="23"/>
      <c r="F14" s="23"/>
      <c r="G14" s="23"/>
      <c r="H14" s="98">
        <f>+Utilidad!O44+W8</f>
        <v>343089.46198925452</v>
      </c>
      <c r="I14" s="23"/>
      <c r="J14" s="23"/>
      <c r="K14" s="8"/>
      <c r="M14" s="23"/>
      <c r="N14" s="23"/>
      <c r="O14" s="23"/>
      <c r="T14" s="91"/>
    </row>
    <row r="15" spans="2:27" ht="16">
      <c r="B15" s="9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93">
        <f>+Utilidad!M54</f>
        <v>19394.5455</v>
      </c>
      <c r="N15" s="23"/>
      <c r="O15" s="23"/>
      <c r="T15" s="91"/>
    </row>
    <row r="16" spans="2:27" ht="16">
      <c r="B16" s="90"/>
      <c r="C16" s="23"/>
      <c r="D16" s="93">
        <f>+Utilidad!M49</f>
        <v>0</v>
      </c>
      <c r="E16" s="23"/>
      <c r="F16" s="23"/>
      <c r="G16" s="23"/>
      <c r="H16" s="23"/>
      <c r="I16" s="23"/>
      <c r="J16" s="23"/>
      <c r="K16" s="23"/>
      <c r="L16" s="23"/>
      <c r="M16" s="94">
        <f>+Utilidad!N54</f>
        <v>0.19782955895000001</v>
      </c>
      <c r="N16" s="23"/>
      <c r="O16" s="23"/>
      <c r="P16" s="23"/>
      <c r="T16" s="91"/>
      <c r="U16" s="11"/>
    </row>
    <row r="17" spans="2:33" ht="16">
      <c r="B17" s="90"/>
      <c r="C17" s="23"/>
      <c r="D17" s="94">
        <f>+Utilidad!N49</f>
        <v>0</v>
      </c>
      <c r="E17" s="23"/>
      <c r="F17" s="23"/>
      <c r="G17" s="23"/>
      <c r="H17" s="23"/>
      <c r="I17" s="23"/>
      <c r="J17" s="23"/>
      <c r="K17" s="23"/>
      <c r="L17" s="23"/>
      <c r="M17" s="96">
        <f>+Utilidad!O54</f>
        <v>3836.8143823007076</v>
      </c>
      <c r="N17" s="23"/>
      <c r="O17" s="23"/>
      <c r="P17" s="23"/>
      <c r="T17" s="91"/>
      <c r="U17" s="11"/>
    </row>
    <row r="18" spans="2:33" ht="16">
      <c r="B18" s="90"/>
      <c r="C18" s="23"/>
      <c r="D18" s="96">
        <f>+Utilidad!O49</f>
        <v>0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R18" s="8">
        <f>P24+M32-O35-S30</f>
        <v>-1.2002419680356979E-7</v>
      </c>
      <c r="T18" s="91"/>
      <c r="Z18" s="208"/>
      <c r="AA18" s="208"/>
    </row>
    <row r="19" spans="2:33" ht="16">
      <c r="B19" s="90"/>
      <c r="C19" s="23"/>
      <c r="D19" s="23"/>
      <c r="E19" s="23"/>
      <c r="F19" s="23"/>
      <c r="G19" s="23"/>
      <c r="H19" s="95"/>
      <c r="I19" s="23"/>
      <c r="J19" s="92">
        <f>+J11-K20</f>
        <v>8158.0620000000345</v>
      </c>
      <c r="K19" s="9"/>
      <c r="L19" s="23"/>
      <c r="M19" s="23"/>
      <c r="N19" s="23"/>
      <c r="O19" s="23"/>
      <c r="P19" s="23"/>
      <c r="T19" s="91"/>
      <c r="Y19" s="8"/>
      <c r="Z19" s="208"/>
      <c r="AA19" s="208"/>
      <c r="AC19" s="8"/>
    </row>
    <row r="20" spans="2:33" ht="16">
      <c r="B20" s="90"/>
      <c r="C20" s="23"/>
      <c r="D20" s="23"/>
      <c r="E20" s="23"/>
      <c r="F20" s="23"/>
      <c r="G20" s="23"/>
      <c r="H20" s="97"/>
      <c r="I20" s="23"/>
      <c r="J20" s="212"/>
      <c r="K20" s="95">
        <f>+Utilidad!M48</f>
        <v>627778.14</v>
      </c>
      <c r="L20" s="23"/>
      <c r="M20" s="23"/>
      <c r="N20" s="23"/>
      <c r="O20" s="92">
        <f>+M15-P22</f>
        <v>-45958.833721000003</v>
      </c>
      <c r="P20" s="23"/>
      <c r="T20" s="91"/>
      <c r="Z20" s="208"/>
      <c r="AA20" s="208"/>
      <c r="AC20" s="8"/>
      <c r="AF20" s="185"/>
      <c r="AG20" s="185"/>
    </row>
    <row r="21" spans="2:33" ht="16">
      <c r="B21" s="90"/>
      <c r="C21" s="23"/>
      <c r="D21" s="23"/>
      <c r="E21" s="23"/>
      <c r="F21" s="23"/>
      <c r="G21" s="23"/>
      <c r="H21" s="98"/>
      <c r="I21" s="23"/>
      <c r="J21" s="213"/>
      <c r="K21" s="97">
        <f>+Utilidad!N48</f>
        <v>0.53950295786000002</v>
      </c>
      <c r="L21" s="23"/>
      <c r="M21" s="23"/>
      <c r="N21" s="23"/>
      <c r="O21" s="210">
        <f>+O22/O20</f>
        <v>0.17728800000075082</v>
      </c>
      <c r="P21" s="23"/>
      <c r="T21" s="91"/>
      <c r="AC21" s="185"/>
    </row>
    <row r="22" spans="2:33" ht="16">
      <c r="B22" s="176"/>
      <c r="C22" s="23"/>
      <c r="D22" s="23"/>
      <c r="E22" s="23"/>
      <c r="F22" s="23"/>
      <c r="G22" s="23"/>
      <c r="H22" s="23"/>
      <c r="I22" s="23"/>
      <c r="J22" s="23"/>
      <c r="K22" s="98">
        <f>+Utilidad!O48</f>
        <v>338688.16340984922</v>
      </c>
      <c r="L22" s="23"/>
      <c r="M22" s="23"/>
      <c r="N22" s="23"/>
      <c r="O22" s="209">
        <f>+M17-P24</f>
        <v>-8147.9497127631557</v>
      </c>
      <c r="P22" s="93">
        <f>+Utilidad!M57</f>
        <v>65353.379221000003</v>
      </c>
      <c r="Q22" s="8">
        <f>+P22-L29</f>
        <v>65353.37922000001</v>
      </c>
      <c r="T22" s="91"/>
    </row>
    <row r="23" spans="2:33" ht="16">
      <c r="B23" s="9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94">
        <f>+Utilidad!N57</f>
        <v>0.18338399999999999</v>
      </c>
      <c r="Q23" s="23"/>
      <c r="R23" s="23"/>
      <c r="S23" s="23"/>
      <c r="T23" s="91"/>
    </row>
    <row r="24" spans="2:33" ht="16">
      <c r="B24" s="9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6">
        <f>+Utilidad!O57</f>
        <v>11984.764095063863</v>
      </c>
      <c r="Q24" s="23"/>
      <c r="R24" s="23"/>
      <c r="S24" s="23"/>
      <c r="T24" s="91"/>
    </row>
    <row r="25" spans="2:33" ht="16">
      <c r="B25" s="90"/>
      <c r="C25" s="23"/>
      <c r="D25" s="23"/>
      <c r="E25" s="23"/>
      <c r="F25" s="23"/>
      <c r="G25" s="23"/>
      <c r="H25" s="23"/>
      <c r="I25" s="95">
        <f>+Utilidad!M52</f>
        <v>519665.78352</v>
      </c>
      <c r="J25" s="23"/>
      <c r="K25" s="23"/>
      <c r="L25" s="95">
        <f>+Utilidad!M53</f>
        <v>108112.35648</v>
      </c>
      <c r="M25" s="23"/>
      <c r="N25" s="23"/>
      <c r="O25" s="23"/>
      <c r="P25" s="23"/>
      <c r="Q25" s="23"/>
      <c r="R25" s="23"/>
      <c r="S25" s="215">
        <f>S28+O33-P22-M30</f>
        <v>0</v>
      </c>
      <c r="T25" s="91"/>
      <c r="AB25" s="8"/>
    </row>
    <row r="26" spans="2:33" ht="19">
      <c r="B26" s="90"/>
      <c r="C26" s="23"/>
      <c r="D26" s="23"/>
      <c r="E26" s="23"/>
      <c r="F26" s="23"/>
      <c r="G26" s="23"/>
      <c r="H26" s="23"/>
      <c r="I26" s="97">
        <f>+Utilidad!N52</f>
        <v>0.60820495416999998</v>
      </c>
      <c r="J26" s="23"/>
      <c r="K26" s="23"/>
      <c r="L26" s="97">
        <f>Utilidad!N53</f>
        <v>0.20927172525000001</v>
      </c>
      <c r="M26" s="23"/>
      <c r="N26" s="187"/>
      <c r="O26" s="188"/>
      <c r="P26" s="23"/>
      <c r="Q26" s="23"/>
      <c r="R26" s="23"/>
      <c r="S26" s="23"/>
      <c r="T26" s="91"/>
    </row>
    <row r="27" spans="2:33" ht="16">
      <c r="B27" s="90"/>
      <c r="C27" s="23"/>
      <c r="D27" s="23"/>
      <c r="E27" s="23"/>
      <c r="F27" s="23"/>
      <c r="G27" s="103">
        <f>+I25-C28-G36-D16+F45</f>
        <v>86500.424819999971</v>
      </c>
      <c r="H27" s="23"/>
      <c r="I27" s="98">
        <f>+Utilidad!O52</f>
        <v>316063.30404949875</v>
      </c>
      <c r="J27" s="9"/>
      <c r="K27" s="23"/>
      <c r="L27" s="98">
        <f>L25*L26</f>
        <v>22624.859361412618</v>
      </c>
      <c r="M27" s="23"/>
      <c r="N27" s="23"/>
      <c r="O27" s="23"/>
      <c r="P27" s="23"/>
      <c r="Q27" s="23"/>
      <c r="R27" s="23"/>
      <c r="S27" s="23"/>
      <c r="T27" s="91"/>
      <c r="AB27" s="8"/>
    </row>
    <row r="28" spans="2:33" ht="19">
      <c r="B28" s="90"/>
      <c r="C28" s="95">
        <f>+Utilidad!M51</f>
        <v>52451.256800000003</v>
      </c>
      <c r="D28" s="23"/>
      <c r="E28" s="23"/>
      <c r="F28" s="23"/>
      <c r="G28" s="97">
        <f>+G29/G27</f>
        <v>0.59312824909294548</v>
      </c>
      <c r="H28" s="23"/>
      <c r="I28" s="214"/>
      <c r="J28" s="211"/>
      <c r="K28" s="23"/>
      <c r="L28" s="9"/>
      <c r="M28" s="23"/>
      <c r="N28" s="188"/>
      <c r="O28" s="23"/>
      <c r="P28" s="23"/>
      <c r="Q28" s="23"/>
      <c r="R28" s="23"/>
      <c r="S28" s="93">
        <f>+Utilidad!M59</f>
        <v>129854.1048</v>
      </c>
      <c r="T28" s="91"/>
      <c r="Z28" s="8"/>
      <c r="AA28" s="8"/>
      <c r="AB28" s="8"/>
    </row>
    <row r="29" spans="2:33" ht="16">
      <c r="B29" s="90"/>
      <c r="C29" s="97">
        <f>+Utilidad!N51</f>
        <v>0.61664549999999996</v>
      </c>
      <c r="D29" s="23"/>
      <c r="E29" s="23"/>
      <c r="F29" s="23"/>
      <c r="G29" s="103">
        <f>+I27-C30-G38-D18+F47</f>
        <v>51305.84551928255</v>
      </c>
      <c r="H29" s="23"/>
      <c r="I29" s="9"/>
      <c r="J29" s="211"/>
      <c r="K29" s="23"/>
      <c r="L29" s="9">
        <f>+L25-L30</f>
        <v>9.9999306257814169E-7</v>
      </c>
      <c r="M29" s="23"/>
      <c r="N29" s="23"/>
      <c r="O29" s="23"/>
      <c r="P29" s="23"/>
      <c r="Q29" s="23"/>
      <c r="R29" s="23"/>
      <c r="S29" s="94">
        <f>+Utilidad!N59</f>
        <v>0.14616000000000001</v>
      </c>
      <c r="T29" s="91"/>
      <c r="Z29" s="8"/>
      <c r="AA29" s="8"/>
      <c r="AB29" s="8"/>
    </row>
    <row r="30" spans="2:33" ht="16">
      <c r="B30" s="90"/>
      <c r="C30" s="98">
        <f>+Utilidad!O51</f>
        <v>32343.831475064399</v>
      </c>
      <c r="D30" s="23"/>
      <c r="E30" s="23"/>
      <c r="F30" s="23"/>
      <c r="G30" s="23"/>
      <c r="H30" s="23"/>
      <c r="I30" s="23"/>
      <c r="J30" s="211"/>
      <c r="K30" s="9"/>
      <c r="L30" s="9">
        <f>+M30+M15</f>
        <v>108112.35647900001</v>
      </c>
      <c r="M30" s="93">
        <f>+Utilidad!M55</f>
        <v>88717.810979000002</v>
      </c>
      <c r="N30" s="23"/>
      <c r="O30" s="23"/>
      <c r="P30" s="23"/>
      <c r="Q30" s="23"/>
      <c r="R30" s="23"/>
      <c r="S30" s="96">
        <f>+Utilidad!O59</f>
        <v>18979.475957568</v>
      </c>
      <c r="T30" s="91"/>
      <c r="Z30" s="8"/>
      <c r="AA30" s="8"/>
      <c r="AB30" s="8"/>
    </row>
    <row r="31" spans="2:33" ht="16">
      <c r="B31" s="90"/>
      <c r="C31" s="23"/>
      <c r="D31" s="23"/>
      <c r="E31" s="23"/>
      <c r="F31" s="23"/>
      <c r="G31" s="23"/>
      <c r="H31" s="9"/>
      <c r="I31" s="23"/>
      <c r="J31" s="23"/>
      <c r="K31" s="23"/>
      <c r="L31" s="9">
        <f>+M30+L29</f>
        <v>88717.810979999995</v>
      </c>
      <c r="M31" s="94">
        <f>+Utilidad!N55</f>
        <v>0.21177309011000001</v>
      </c>
      <c r="N31" s="23"/>
      <c r="O31" s="23"/>
      <c r="P31" s="23"/>
      <c r="Q31" s="23"/>
      <c r="R31" s="23"/>
      <c r="S31" s="23"/>
      <c r="T31" s="91"/>
    </row>
    <row r="32" spans="2:33" ht="16">
      <c r="B32" s="90"/>
      <c r="C32" s="23"/>
      <c r="D32" s="23"/>
      <c r="E32" s="23"/>
      <c r="F32" s="23"/>
      <c r="G32" s="23"/>
      <c r="H32" s="9"/>
      <c r="I32" s="216">
        <f>(I27-K22)/L25</f>
        <v>-0.20927172524017554</v>
      </c>
      <c r="J32" s="23"/>
      <c r="K32" s="190" t="s">
        <v>174</v>
      </c>
      <c r="L32" s="23"/>
      <c r="M32" s="96">
        <f>+Utilidad!O55</f>
        <v>18788.044978817714</v>
      </c>
      <c r="N32" s="23"/>
      <c r="O32" s="23"/>
      <c r="P32" s="23"/>
      <c r="Q32" s="23"/>
      <c r="R32" s="23"/>
      <c r="S32" s="23"/>
      <c r="T32" s="91"/>
    </row>
    <row r="33" spans="2:33" ht="19">
      <c r="B33" s="90"/>
      <c r="C33" s="23"/>
      <c r="D33" s="23"/>
      <c r="E33" s="23"/>
      <c r="F33" s="23"/>
      <c r="G33" s="23"/>
      <c r="H33" s="23"/>
      <c r="I33" s="184"/>
      <c r="J33" s="23"/>
      <c r="K33" s="191" t="e">
        <f>+K34/(1-#REF!)</f>
        <v>#REF!</v>
      </c>
      <c r="L33" s="23"/>
      <c r="M33" s="23"/>
      <c r="N33" s="23"/>
      <c r="O33" s="93">
        <f>+Utilidad!M60</f>
        <v>24217.0854</v>
      </c>
      <c r="P33" s="188"/>
      <c r="Q33" s="23"/>
      <c r="R33" s="23"/>
      <c r="S33" s="23"/>
      <c r="T33" s="91"/>
      <c r="V33" s="8"/>
    </row>
    <row r="34" spans="2:33" ht="16">
      <c r="B34" s="90"/>
      <c r="C34" s="23"/>
      <c r="D34" s="23"/>
      <c r="E34" s="23"/>
      <c r="F34" s="23"/>
      <c r="G34" s="23"/>
      <c r="H34" s="23"/>
      <c r="I34" s="215">
        <f>(I27+L27-K22)/L25</f>
        <v>9.8247178299683765E-12</v>
      </c>
      <c r="J34" s="23"/>
      <c r="K34" s="191">
        <f>+M30+P22</f>
        <v>154071.19020000001</v>
      </c>
      <c r="L34" s="23"/>
      <c r="M34" s="23"/>
      <c r="N34" s="23"/>
      <c r="O34" s="94">
        <f>+Utilidad!N60</f>
        <v>0.48698399999999997</v>
      </c>
      <c r="P34" s="23"/>
      <c r="Q34" s="23"/>
      <c r="R34" s="23"/>
      <c r="S34" s="23"/>
      <c r="T34" s="91"/>
    </row>
    <row r="35" spans="2:33" ht="16">
      <c r="B35" s="90"/>
      <c r="C35" s="23"/>
      <c r="D35" s="23"/>
      <c r="E35" s="23"/>
      <c r="F35" s="23"/>
      <c r="G35" s="23"/>
      <c r="H35" s="23"/>
      <c r="I35" s="23"/>
      <c r="J35" s="23"/>
      <c r="K35" s="186">
        <f>+K36/K34</f>
        <v>0.19973110504264524</v>
      </c>
      <c r="L35" s="23"/>
      <c r="M35" s="23"/>
      <c r="N35" s="23"/>
      <c r="O35" s="96">
        <f>+Utilidad!O60</f>
        <v>11793.3331164336</v>
      </c>
      <c r="P35" s="23"/>
      <c r="Q35" s="23"/>
      <c r="R35" s="23"/>
      <c r="S35" s="23"/>
      <c r="T35" s="91"/>
      <c r="AF35" s="23"/>
    </row>
    <row r="36" spans="2:33" ht="16">
      <c r="B36" s="90"/>
      <c r="C36" s="23"/>
      <c r="D36" s="23"/>
      <c r="E36" s="23"/>
      <c r="F36" s="23"/>
      <c r="G36" s="93">
        <f>+Utilidad!M63</f>
        <v>409746.30499999999</v>
      </c>
      <c r="H36" s="23"/>
      <c r="I36" s="23"/>
      <c r="J36" s="23"/>
      <c r="K36" s="191">
        <f>+M32+P24</f>
        <v>30772.809073881577</v>
      </c>
      <c r="L36" s="23"/>
      <c r="M36" s="23"/>
      <c r="N36" s="23"/>
      <c r="O36" s="23"/>
      <c r="P36" s="23"/>
      <c r="Q36" s="23"/>
      <c r="R36" s="23"/>
      <c r="S36" s="93">
        <f>+Utilidad!M62</f>
        <v>25435.695</v>
      </c>
      <c r="T36" s="91"/>
    </row>
    <row r="37" spans="2:33" ht="16">
      <c r="B37" s="90"/>
      <c r="C37" s="23"/>
      <c r="D37" s="23"/>
      <c r="E37" s="23"/>
      <c r="F37" s="23"/>
      <c r="G37" s="94">
        <f>+Utilidad!N63</f>
        <v>0.61025025525999999</v>
      </c>
      <c r="H37" s="23"/>
      <c r="J37" s="23"/>
      <c r="K37" s="23"/>
      <c r="L37" s="23"/>
      <c r="M37" s="23"/>
      <c r="N37" s="23"/>
      <c r="O37" s="23"/>
      <c r="P37" s="23"/>
      <c r="Q37" s="23"/>
      <c r="R37" s="23"/>
      <c r="S37" s="94">
        <f>+Utilidad!N62</f>
        <v>0.48723900059000003</v>
      </c>
      <c r="T37" s="91"/>
    </row>
    <row r="38" spans="2:33" ht="16">
      <c r="B38" s="90"/>
      <c r="C38" s="23"/>
      <c r="D38" s="23"/>
      <c r="E38" s="23"/>
      <c r="F38" s="23"/>
      <c r="G38" s="96">
        <f>+Utilidad!O63</f>
        <v>250047.78721809181</v>
      </c>
      <c r="H38" s="23"/>
      <c r="I38" s="23"/>
      <c r="J38" s="9">
        <f>I27+L27-K22</f>
        <v>1.0621733963489532E-6</v>
      </c>
      <c r="K38" s="23"/>
      <c r="L38" s="23"/>
      <c r="M38" s="23"/>
      <c r="N38" s="23"/>
      <c r="O38" s="23"/>
      <c r="P38" s="23"/>
      <c r="Q38" s="23"/>
      <c r="R38" s="23"/>
      <c r="S38" s="96">
        <f>+Utilidad!O62</f>
        <v>12393.262611112061</v>
      </c>
      <c r="T38" s="91"/>
    </row>
    <row r="39" spans="2:33">
      <c r="B39" s="9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91"/>
    </row>
    <row r="40" spans="2:33" ht="16">
      <c r="B40" s="90"/>
      <c r="C40" s="333"/>
      <c r="D40" s="33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92">
        <f>+Utilidad!M61*Utilidad!G61</f>
        <v>0</v>
      </c>
      <c r="Q40" s="23"/>
      <c r="R40" s="23"/>
      <c r="S40" s="23"/>
      <c r="T40" s="91"/>
    </row>
    <row r="41" spans="2:33" s="185" customFormat="1" ht="16">
      <c r="B41" s="90"/>
      <c r="C41" s="197"/>
      <c r="D41" s="197"/>
      <c r="E41" s="23"/>
      <c r="F41" s="23"/>
      <c r="G41" s="23"/>
      <c r="H41" s="23"/>
      <c r="I41" s="23"/>
      <c r="J41" s="23"/>
      <c r="K41" s="9">
        <f>K22-L27-I27</f>
        <v>-1.0621733963489532E-6</v>
      </c>
      <c r="L41" s="23"/>
      <c r="M41" s="23"/>
      <c r="N41" s="23"/>
      <c r="O41" s="23"/>
      <c r="P41" s="94" t="e">
        <f>+P42/P40</f>
        <v>#DIV/0!</v>
      </c>
      <c r="Q41" s="23"/>
      <c r="R41" s="23"/>
      <c r="S41" s="23"/>
      <c r="T41" s="91"/>
    </row>
    <row r="42" spans="2:33" s="185" customFormat="1" ht="16">
      <c r="B42" s="90"/>
      <c r="C42" s="198"/>
      <c r="D42" s="198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98">
        <f>+Utilidad!O61*Utilidad!G61</f>
        <v>0</v>
      </c>
      <c r="Q42" s="23"/>
      <c r="R42" s="23"/>
      <c r="S42" s="23"/>
      <c r="T42" s="91"/>
    </row>
    <row r="43" spans="2:33" s="185" customFormat="1" ht="16">
      <c r="B43" s="90"/>
      <c r="C43" s="23"/>
      <c r="D43" s="23"/>
      <c r="E43" s="23"/>
      <c r="F43" s="23"/>
      <c r="G43" s="23"/>
      <c r="H43" s="23"/>
      <c r="I43" s="94"/>
      <c r="J43" s="23"/>
      <c r="K43" s="23"/>
      <c r="L43" s="23"/>
      <c r="M43" s="23"/>
      <c r="N43" s="23"/>
      <c r="O43" s="23"/>
      <c r="P43" s="92"/>
      <c r="Q43" s="23"/>
      <c r="R43" s="23"/>
      <c r="S43" s="23"/>
      <c r="T43" s="91"/>
    </row>
    <row r="44" spans="2:33" s="185" customFormat="1" ht="16">
      <c r="B44" s="90"/>
      <c r="C44" s="23"/>
      <c r="D44" s="23"/>
      <c r="E44" s="23" t="s">
        <v>195</v>
      </c>
      <c r="F44" s="23">
        <v>29287</v>
      </c>
      <c r="G44" s="23"/>
      <c r="H44" s="23"/>
      <c r="I44" s="96"/>
      <c r="J44" s="23"/>
      <c r="K44" s="23"/>
      <c r="L44" s="23"/>
      <c r="M44" s="23"/>
      <c r="N44" s="23"/>
      <c r="O44" s="23"/>
      <c r="P44" s="92"/>
      <c r="Q44" s="23"/>
      <c r="R44" s="23"/>
      <c r="S44" s="23"/>
      <c r="T44" s="91"/>
    </row>
    <row r="45" spans="2:33" s="185" customFormat="1" ht="16">
      <c r="B45" s="90"/>
      <c r="C45" s="23"/>
      <c r="D45" s="23"/>
      <c r="E45" s="23"/>
      <c r="F45" s="93">
        <f>+F44*(1-0.0087)</f>
        <v>29032.203099999999</v>
      </c>
      <c r="G45" s="23"/>
      <c r="H45" s="23"/>
      <c r="I45" s="23"/>
      <c r="J45" s="23"/>
      <c r="K45" s="23"/>
      <c r="L45" s="23"/>
      <c r="M45" s="23"/>
      <c r="N45" s="23"/>
      <c r="O45" s="23"/>
      <c r="P45" s="92"/>
      <c r="Q45" s="23"/>
      <c r="R45" s="23"/>
      <c r="S45" s="23"/>
      <c r="T45" s="91"/>
    </row>
    <row r="46" spans="2:33" s="185" customFormat="1" ht="21">
      <c r="B46" s="90"/>
      <c r="C46" s="23"/>
      <c r="D46" s="23"/>
      <c r="E46" s="23"/>
      <c r="F46" s="94">
        <v>0.60740000000000005</v>
      </c>
      <c r="G46" s="23"/>
      <c r="H46" s="23"/>
      <c r="I46" s="23"/>
      <c r="J46" s="23"/>
      <c r="K46" s="23"/>
      <c r="L46" s="23"/>
      <c r="M46" s="23"/>
      <c r="N46" s="23"/>
      <c r="O46" s="23"/>
      <c r="P46" s="92"/>
      <c r="Q46" s="23"/>
      <c r="R46" s="23"/>
      <c r="S46" s="23"/>
      <c r="T46" s="91"/>
      <c r="AE46" s="203"/>
      <c r="AF46" s="203"/>
      <c r="AG46" s="203"/>
    </row>
    <row r="47" spans="2:33" s="185" customFormat="1" ht="21">
      <c r="B47" s="90"/>
      <c r="C47" s="23"/>
      <c r="D47" s="23"/>
      <c r="E47" s="23"/>
      <c r="F47" s="96">
        <f>+F45*F46</f>
        <v>17634.160162939999</v>
      </c>
      <c r="G47" s="23"/>
      <c r="H47" s="23"/>
      <c r="I47" s="23"/>
      <c r="J47" s="23"/>
      <c r="K47" s="23"/>
      <c r="L47" s="23"/>
      <c r="M47" s="23"/>
      <c r="N47" s="23"/>
      <c r="P47" s="92"/>
      <c r="Q47" s="23"/>
      <c r="R47" s="23"/>
      <c r="S47" s="23"/>
      <c r="T47" s="91"/>
      <c r="AE47" s="203"/>
      <c r="AF47" s="203"/>
      <c r="AG47" s="203"/>
    </row>
    <row r="48" spans="2:33" s="185" customFormat="1" ht="21">
      <c r="B48" s="90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92"/>
      <c r="Q48" s="23"/>
      <c r="R48" s="23"/>
      <c r="S48" s="23"/>
      <c r="T48" s="91"/>
      <c r="AE48" s="203"/>
      <c r="AF48" s="203"/>
      <c r="AG48" s="203"/>
    </row>
    <row r="49" spans="2:33" s="185" customFormat="1" ht="21">
      <c r="B49" s="90"/>
      <c r="C49" s="23"/>
      <c r="D49" s="23"/>
      <c r="E49" s="23"/>
      <c r="F49" s="23"/>
      <c r="G49" s="23"/>
      <c r="H49" s="23"/>
      <c r="I49" s="23"/>
      <c r="K49" s="23"/>
      <c r="L49" s="23"/>
      <c r="M49" s="95"/>
      <c r="N49" s="23"/>
      <c r="O49" s="95"/>
      <c r="P49" s="92"/>
      <c r="Q49" s="23"/>
      <c r="R49" s="23"/>
      <c r="S49" s="93"/>
      <c r="T49" s="91"/>
      <c r="AE49" s="203"/>
      <c r="AF49" s="203"/>
      <c r="AG49" s="203"/>
    </row>
    <row r="50" spans="2:33" s="185" customFormat="1" ht="21">
      <c r="B50" s="90"/>
      <c r="C50" s="23"/>
      <c r="D50" s="23"/>
      <c r="E50" s="23"/>
      <c r="F50" s="23"/>
      <c r="G50" s="23"/>
      <c r="H50" s="23"/>
      <c r="I50" s="94"/>
      <c r="K50" s="23"/>
      <c r="L50" s="23"/>
      <c r="M50" s="97"/>
      <c r="N50" s="23"/>
      <c r="O50" s="97"/>
      <c r="P50" s="92"/>
      <c r="Q50" s="23"/>
      <c r="R50" s="23"/>
      <c r="S50" s="94"/>
      <c r="T50" s="91"/>
      <c r="AE50" s="203"/>
      <c r="AF50" s="204"/>
      <c r="AG50" s="203"/>
    </row>
    <row r="51" spans="2:33" s="185" customFormat="1" ht="21">
      <c r="B51" s="90"/>
      <c r="C51" s="23"/>
      <c r="D51" s="23"/>
      <c r="E51" s="23"/>
      <c r="F51" s="23"/>
      <c r="G51" s="23"/>
      <c r="H51" s="23"/>
      <c r="I51" s="96"/>
      <c r="K51" s="23"/>
      <c r="L51" s="23"/>
      <c r="M51" s="96"/>
      <c r="N51" s="92"/>
      <c r="O51" s="96"/>
      <c r="P51" s="92"/>
      <c r="Q51" s="23"/>
      <c r="R51" s="23"/>
      <c r="S51" s="96"/>
      <c r="T51" s="91"/>
      <c r="Y51" s="95"/>
      <c r="Z51" s="95"/>
      <c r="AE51" s="203"/>
      <c r="AF51" s="205"/>
      <c r="AG51" s="203"/>
    </row>
    <row r="52" spans="2:33" s="185" customFormat="1" ht="21">
      <c r="B52" s="90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06"/>
      <c r="R52" s="23"/>
      <c r="S52" s="23"/>
      <c r="T52" s="91"/>
      <c r="Y52" s="97"/>
      <c r="Z52" s="97"/>
      <c r="AE52" s="203"/>
      <c r="AF52" s="203"/>
      <c r="AG52" s="203"/>
    </row>
    <row r="53" spans="2:33" s="185" customFormat="1" ht="21">
      <c r="B53" s="90"/>
      <c r="C53" s="23"/>
      <c r="D53" s="23"/>
      <c r="E53" s="23"/>
      <c r="F53" s="23"/>
      <c r="G53" s="23"/>
      <c r="H53" s="23"/>
      <c r="J53" s="23"/>
      <c r="K53" s="23"/>
      <c r="L53" s="23"/>
      <c r="M53" s="23"/>
      <c r="N53" s="96"/>
      <c r="O53"/>
      <c r="P53" s="334" t="s">
        <v>168</v>
      </c>
      <c r="Q53" s="334"/>
      <c r="R53" s="334" t="s">
        <v>184</v>
      </c>
      <c r="S53" s="334"/>
      <c r="T53" s="91"/>
      <c r="Y53" s="98"/>
      <c r="Z53" s="98"/>
      <c r="AE53" s="203"/>
      <c r="AF53" s="203"/>
      <c r="AG53" s="203"/>
    </row>
    <row r="54" spans="2:33" s="185" customFormat="1" ht="21">
      <c r="B54" s="90"/>
      <c r="C54" s="23"/>
      <c r="D54" s="23"/>
      <c r="E54" s="23"/>
      <c r="F54" s="23"/>
      <c r="G54" s="23"/>
      <c r="H54" s="23"/>
      <c r="J54" s="23"/>
      <c r="K54" s="23"/>
      <c r="L54" s="93"/>
      <c r="M54" s="23"/>
      <c r="N54" s="9"/>
      <c r="P54" s="174" t="s">
        <v>169</v>
      </c>
      <c r="Q54" s="175">
        <f>+I25/K20</f>
        <v>0.82778572621212965</v>
      </c>
      <c r="R54" s="174" t="s">
        <v>169</v>
      </c>
      <c r="S54" s="175">
        <f>+I42/K20</f>
        <v>0</v>
      </c>
      <c r="T54" s="91"/>
      <c r="AE54" s="203"/>
      <c r="AF54" s="203"/>
      <c r="AG54" s="203"/>
    </row>
    <row r="55" spans="2:33" s="185" customFormat="1" ht="21">
      <c r="B55" s="90"/>
      <c r="C55" s="23"/>
      <c r="D55" s="23"/>
      <c r="E55" s="23"/>
      <c r="F55" s="23"/>
      <c r="G55" s="23"/>
      <c r="H55" s="23"/>
      <c r="J55" s="23"/>
      <c r="K55" s="23"/>
      <c r="L55" s="94"/>
      <c r="M55" s="23"/>
      <c r="N55" s="23"/>
      <c r="P55" s="174" t="s">
        <v>170</v>
      </c>
      <c r="Q55" s="175">
        <f>+I27/K22</f>
        <v>0.93319855310983524</v>
      </c>
      <c r="R55" s="174" t="s">
        <v>170</v>
      </c>
      <c r="S55" s="175">
        <f>++I44/K22</f>
        <v>0</v>
      </c>
      <c r="T55" s="91"/>
      <c r="AE55" s="203"/>
      <c r="AF55" s="203"/>
      <c r="AG55" s="203"/>
    </row>
    <row r="56" spans="2:33" s="185" customFormat="1" ht="21">
      <c r="B56" s="90"/>
      <c r="C56" s="23"/>
      <c r="D56" s="23"/>
      <c r="E56" s="23"/>
      <c r="F56" s="23"/>
      <c r="G56" s="23"/>
      <c r="H56" s="23"/>
      <c r="I56" s="23"/>
      <c r="J56" s="23"/>
      <c r="K56" s="23"/>
      <c r="L56" s="96"/>
      <c r="M56" s="23"/>
      <c r="N56" s="23"/>
      <c r="P56" s="193" t="s">
        <v>36</v>
      </c>
      <c r="Q56" s="193"/>
      <c r="R56" s="196" t="s">
        <v>36</v>
      </c>
      <c r="S56" s="196"/>
      <c r="T56" s="91"/>
      <c r="AE56" s="203"/>
      <c r="AF56" s="203"/>
      <c r="AG56" s="23"/>
    </row>
    <row r="57" spans="2:33" s="185" customFormat="1" ht="16">
      <c r="B57" s="90"/>
      <c r="C57" s="23"/>
      <c r="D57" s="23"/>
      <c r="E57" s="94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174" t="s">
        <v>169</v>
      </c>
      <c r="Q57" s="175">
        <f>+(M49+O33)/(P22+M30+I49)</f>
        <v>0.15718114054005664</v>
      </c>
      <c r="R57" s="174" t="s">
        <v>169</v>
      </c>
      <c r="S57" s="175">
        <f>+(M49+O33)/(P22+M30+I49)</f>
        <v>0.15718114054005664</v>
      </c>
      <c r="T57" s="91"/>
      <c r="AG57" s="9"/>
    </row>
    <row r="58" spans="2:33" s="185" customFormat="1" ht="16">
      <c r="B58" s="90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174" t="s">
        <v>170</v>
      </c>
      <c r="Q58" s="175">
        <f>+(M51+O35)/(P24+M32+I51)</f>
        <v>0.38323875757066295</v>
      </c>
      <c r="R58" s="174" t="s">
        <v>170</v>
      </c>
      <c r="S58" s="175">
        <f>(M51+O35)/(P24+M32+I51)</f>
        <v>0.38323875757066295</v>
      </c>
      <c r="T58" s="91"/>
      <c r="AG58" s="9"/>
    </row>
    <row r="59" spans="2:33" s="185" customFormat="1" ht="16">
      <c r="B59" s="90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194" t="s">
        <v>171</v>
      </c>
      <c r="Q59" s="194"/>
      <c r="R59" s="194" t="s">
        <v>171</v>
      </c>
      <c r="S59" s="194"/>
      <c r="T59" s="91"/>
    </row>
    <row r="60" spans="2:33" s="185" customFormat="1" ht="16">
      <c r="B60" s="9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174" t="s">
        <v>169</v>
      </c>
      <c r="Q60" s="175">
        <f>+(O33+I25+M49)/(K20+(M30+P22-(L25-M15)+I49))</f>
        <v>0.78467484718058478</v>
      </c>
      <c r="R60" s="174" t="s">
        <v>169</v>
      </c>
      <c r="S60" s="175">
        <f>+(O33+I42+M49)/(K20+(M30+P22-(L25-M15)+I49))</f>
        <v>3.4938658434191756E-2</v>
      </c>
      <c r="T60" s="91"/>
    </row>
    <row r="61" spans="2:33" s="185" customFormat="1" ht="16">
      <c r="B61" s="90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174" t="s">
        <v>170</v>
      </c>
      <c r="Q61" s="175">
        <f>+(O35+I27+M51)/(K22+(M32+P24-(L27-M17)+I51))</f>
        <v>0.93493569491934614</v>
      </c>
      <c r="R61" s="174" t="s">
        <v>170</v>
      </c>
      <c r="S61" s="175">
        <f>+(O35+I44+M51)/(K22+(M32+P24-(L27-M17)+I51))</f>
        <v>3.3630577644971647E-2</v>
      </c>
      <c r="T61" s="91"/>
    </row>
    <row r="62" spans="2:33" s="185" customFormat="1" ht="16">
      <c r="B62" s="90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92"/>
      <c r="Q62" s="23"/>
      <c r="R62" s="23"/>
      <c r="S62" s="23"/>
      <c r="T62" s="91"/>
    </row>
    <row r="63" spans="2:33">
      <c r="B63" s="9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91"/>
    </row>
    <row r="64" spans="2:33" ht="16" thickBot="1">
      <c r="B64" s="100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2"/>
    </row>
    <row r="65" spans="5:14" ht="16">
      <c r="E65" s="85" t="s">
        <v>129</v>
      </c>
    </row>
    <row r="66" spans="5:14" ht="32" customHeight="1">
      <c r="E66" s="330" t="s">
        <v>117</v>
      </c>
      <c r="F66" s="330"/>
      <c r="G66" s="331"/>
      <c r="H66" s="330" t="s">
        <v>124</v>
      </c>
      <c r="I66" s="330"/>
      <c r="J66" s="330"/>
      <c r="K66" s="332" t="s">
        <v>116</v>
      </c>
      <c r="L66" s="332"/>
      <c r="M66" s="332"/>
      <c r="N66" s="332"/>
    </row>
    <row r="67" spans="5:14">
      <c r="E67" s="80" t="s">
        <v>118</v>
      </c>
      <c r="F67" s="80"/>
      <c r="G67" s="79">
        <f>+I6</f>
        <v>635936.20200000005</v>
      </c>
      <c r="H67" s="323" t="s">
        <v>119</v>
      </c>
      <c r="I67" s="323"/>
      <c r="J67" s="79">
        <f>+Utilidad!M43</f>
        <v>-21556.786400000001</v>
      </c>
      <c r="K67" s="323" t="s">
        <v>122</v>
      </c>
      <c r="L67" s="323"/>
      <c r="M67" s="323"/>
      <c r="N67" s="79">
        <f>+C8</f>
        <v>21556.786400000001</v>
      </c>
    </row>
    <row r="68" spans="5:14">
      <c r="E68" s="328" t="s">
        <v>192</v>
      </c>
      <c r="F68" s="329"/>
      <c r="G68" s="79">
        <f>+I49</f>
        <v>0</v>
      </c>
      <c r="H68" s="323" t="s">
        <v>120</v>
      </c>
      <c r="I68" s="323"/>
      <c r="J68" s="79">
        <f>Utilidad!M47</f>
        <v>8158.0619999999999</v>
      </c>
      <c r="K68" s="323" t="s">
        <v>188</v>
      </c>
      <c r="L68" s="323"/>
      <c r="M68" s="323"/>
      <c r="N68" s="79">
        <f>+C28</f>
        <v>52451.256800000003</v>
      </c>
    </row>
    <row r="69" spans="5:14">
      <c r="E69" s="321"/>
      <c r="F69" s="322"/>
      <c r="G69" s="22"/>
      <c r="H69" s="323" t="s">
        <v>121</v>
      </c>
      <c r="I69" s="323"/>
      <c r="J69" s="79">
        <f>+Utilidad!M50</f>
        <v>57468.221721000002</v>
      </c>
      <c r="K69" s="323" t="s">
        <v>189</v>
      </c>
      <c r="L69" s="323"/>
      <c r="M69" s="323"/>
      <c r="N69" s="79">
        <f>+G36</f>
        <v>409746.30499999999</v>
      </c>
    </row>
    <row r="70" spans="5:14" s="185" customFormat="1">
      <c r="E70" s="199"/>
      <c r="F70" s="200"/>
      <c r="G70" s="22"/>
      <c r="H70" s="323" t="s">
        <v>185</v>
      </c>
      <c r="I70" s="323"/>
      <c r="J70" s="79">
        <f>+Utilidad!M56</f>
        <v>-45958.833721000003</v>
      </c>
      <c r="K70" s="323" t="s">
        <v>190</v>
      </c>
      <c r="L70" s="323"/>
      <c r="M70" s="323"/>
      <c r="N70" s="79">
        <f>+S36</f>
        <v>25435.695</v>
      </c>
    </row>
    <row r="71" spans="5:14" s="185" customFormat="1">
      <c r="E71" s="199"/>
      <c r="F71" s="200"/>
      <c r="G71" s="22"/>
      <c r="H71" s="323" t="s">
        <v>186</v>
      </c>
      <c r="I71" s="323"/>
      <c r="J71" s="79">
        <f>+Utilidad!M61</f>
        <v>-1218.6096</v>
      </c>
      <c r="K71" s="323" t="s">
        <v>191</v>
      </c>
      <c r="L71" s="323"/>
      <c r="M71" s="323"/>
      <c r="N71" s="79">
        <f>+S49</f>
        <v>0</v>
      </c>
    </row>
    <row r="72" spans="5:14" s="185" customFormat="1">
      <c r="E72" s="321"/>
      <c r="F72" s="322"/>
      <c r="G72" s="22"/>
      <c r="H72" s="323" t="s">
        <v>187</v>
      </c>
      <c r="I72" s="323"/>
      <c r="J72" s="79">
        <f>+Utilidad!M67</f>
        <v>0</v>
      </c>
      <c r="K72" s="323" t="s">
        <v>123</v>
      </c>
      <c r="L72" s="323"/>
      <c r="M72" s="323"/>
      <c r="N72" s="79">
        <f>+S28</f>
        <v>129854.1048</v>
      </c>
    </row>
    <row r="73" spans="5:14" s="185" customFormat="1">
      <c r="E73" s="321"/>
      <c r="F73" s="322"/>
      <c r="G73" s="22"/>
      <c r="H73" s="323"/>
      <c r="I73" s="323"/>
      <c r="J73" s="79"/>
      <c r="K73" s="323" t="s">
        <v>193</v>
      </c>
      <c r="L73" s="323"/>
      <c r="M73" s="323"/>
      <c r="N73" s="79">
        <f>+L54</f>
        <v>0</v>
      </c>
    </row>
    <row r="74" spans="5:14" s="185" customFormat="1">
      <c r="E74" s="321"/>
      <c r="F74" s="322"/>
      <c r="G74" s="22"/>
      <c r="H74" s="323"/>
      <c r="I74" s="323"/>
      <c r="J74" s="79"/>
      <c r="K74" s="323"/>
      <c r="L74" s="323"/>
      <c r="M74" s="323"/>
      <c r="N74" s="79"/>
    </row>
    <row r="75" spans="5:14">
      <c r="E75" s="321"/>
      <c r="F75" s="322"/>
      <c r="G75" s="22"/>
      <c r="H75" s="323"/>
      <c r="I75" s="323"/>
      <c r="J75" s="79"/>
      <c r="K75" s="323"/>
      <c r="L75" s="323"/>
      <c r="M75" s="323"/>
      <c r="N75" s="79"/>
    </row>
    <row r="76" spans="5:14" ht="19">
      <c r="E76" s="324" t="s">
        <v>126</v>
      </c>
      <c r="F76" s="325"/>
      <c r="G76" s="81">
        <f>+SUM(G67:G75)</f>
        <v>635936.20200000005</v>
      </c>
      <c r="H76" s="326" t="s">
        <v>125</v>
      </c>
      <c r="I76" s="326"/>
      <c r="J76" s="87">
        <f>+SUM(J67:J75)</f>
        <v>-3107.9459999999999</v>
      </c>
      <c r="K76" s="327" t="s">
        <v>127</v>
      </c>
      <c r="L76" s="327"/>
      <c r="M76" s="327"/>
      <c r="N76" s="81">
        <f>+SUM(N67:N75)</f>
        <v>639044.14800000004</v>
      </c>
    </row>
    <row r="78" spans="5:14" ht="19">
      <c r="J78" s="86" t="s">
        <v>128</v>
      </c>
      <c r="K78" s="83"/>
      <c r="L78" s="82"/>
      <c r="M78" s="83"/>
      <c r="N78" s="84">
        <f>+G76-J76-N76</f>
        <v>0</v>
      </c>
    </row>
    <row r="81" spans="5:16" ht="16">
      <c r="E81" s="85" t="s">
        <v>130</v>
      </c>
      <c r="F81" s="185"/>
      <c r="G81" s="185"/>
      <c r="H81" s="185"/>
      <c r="I81" s="185"/>
      <c r="J81" s="185"/>
      <c r="K81" s="185"/>
      <c r="L81" s="185"/>
      <c r="M81" s="185"/>
      <c r="N81" s="185"/>
    </row>
    <row r="82" spans="5:16" ht="19">
      <c r="E82" s="330" t="s">
        <v>117</v>
      </c>
      <c r="F82" s="330"/>
      <c r="G82" s="331"/>
      <c r="H82" s="330" t="s">
        <v>124</v>
      </c>
      <c r="I82" s="330"/>
      <c r="J82" s="330"/>
      <c r="K82" s="332" t="s">
        <v>116</v>
      </c>
      <c r="L82" s="332"/>
      <c r="M82" s="332"/>
      <c r="N82" s="332"/>
    </row>
    <row r="83" spans="5:16">
      <c r="E83" s="80" t="s">
        <v>118</v>
      </c>
      <c r="F83" s="80"/>
      <c r="G83" s="79">
        <f>+I8</f>
        <v>343089.46198925452</v>
      </c>
      <c r="H83" s="323" t="s">
        <v>119</v>
      </c>
      <c r="I83" s="323"/>
      <c r="J83" s="79">
        <f>+Utilidad!O43</f>
        <v>-13585.814090031696</v>
      </c>
      <c r="K83" s="323" t="s">
        <v>122</v>
      </c>
      <c r="L83" s="323"/>
      <c r="M83" s="323"/>
      <c r="N83" s="79">
        <f>+C10</f>
        <v>13585.814090031696</v>
      </c>
    </row>
    <row r="84" spans="5:16">
      <c r="E84" s="328" t="s">
        <v>192</v>
      </c>
      <c r="F84" s="329"/>
      <c r="G84" s="79">
        <f>+I51</f>
        <v>0</v>
      </c>
      <c r="H84" s="323" t="s">
        <v>120</v>
      </c>
      <c r="I84" s="323"/>
      <c r="J84" s="79">
        <f>+Utilidad!O47</f>
        <v>4401.2985805473963</v>
      </c>
      <c r="K84" s="323" t="s">
        <v>188</v>
      </c>
      <c r="L84" s="323"/>
      <c r="M84" s="323"/>
      <c r="N84" s="79">
        <f>+C30</f>
        <v>32343.831475064399</v>
      </c>
    </row>
    <row r="85" spans="5:16">
      <c r="E85" s="321"/>
      <c r="F85" s="322"/>
      <c r="G85" s="22"/>
      <c r="H85" s="323" t="s">
        <v>121</v>
      </c>
      <c r="I85" s="323"/>
      <c r="J85" s="79">
        <f>+Utilidad!O50</f>
        <v>33671.685355689238</v>
      </c>
      <c r="K85" s="323" t="s">
        <v>189</v>
      </c>
      <c r="L85" s="323"/>
      <c r="M85" s="323"/>
      <c r="N85" s="79">
        <f>+G38</f>
        <v>250047.78721809181</v>
      </c>
    </row>
    <row r="86" spans="5:16">
      <c r="E86" s="199"/>
      <c r="F86" s="200"/>
      <c r="G86" s="22"/>
      <c r="H86" s="323" t="s">
        <v>185</v>
      </c>
      <c r="I86" s="323"/>
      <c r="J86" s="79">
        <f>+Utilidad!O56</f>
        <v>-8147.9497127286486</v>
      </c>
      <c r="K86" s="323" t="s">
        <v>190</v>
      </c>
      <c r="L86" s="323"/>
      <c r="M86" s="323"/>
      <c r="N86" s="79">
        <f>+S38</f>
        <v>12393.262611112061</v>
      </c>
    </row>
    <row r="87" spans="5:16">
      <c r="E87" s="199"/>
      <c r="F87" s="200"/>
      <c r="G87" s="22"/>
      <c r="H87" s="323" t="s">
        <v>186</v>
      </c>
      <c r="I87" s="323"/>
      <c r="J87" s="79">
        <f>+Utilidad!O61</f>
        <v>-599.929494565558</v>
      </c>
      <c r="K87" s="323" t="s">
        <v>191</v>
      </c>
      <c r="L87" s="323"/>
      <c r="M87" s="323"/>
      <c r="N87" s="79">
        <f>+S51</f>
        <v>0</v>
      </c>
    </row>
    <row r="88" spans="5:16">
      <c r="E88" s="321"/>
      <c r="F88" s="322"/>
      <c r="G88" s="22"/>
      <c r="H88" s="323" t="s">
        <v>187</v>
      </c>
      <c r="I88" s="323"/>
      <c r="J88" s="79">
        <f>+Utilidad!O67</f>
        <v>0</v>
      </c>
      <c r="K88" s="323" t="s">
        <v>123</v>
      </c>
      <c r="L88" s="323"/>
      <c r="M88" s="323"/>
      <c r="N88" s="79">
        <f>+S30</f>
        <v>18979.475957568</v>
      </c>
    </row>
    <row r="89" spans="5:16">
      <c r="E89" s="321"/>
      <c r="F89" s="322"/>
      <c r="G89" s="22"/>
      <c r="H89" s="323"/>
      <c r="I89" s="323"/>
      <c r="J89" s="79"/>
      <c r="K89" s="323" t="s">
        <v>193</v>
      </c>
      <c r="L89" s="323"/>
      <c r="M89" s="323"/>
      <c r="N89" s="79">
        <f>+L56</f>
        <v>0</v>
      </c>
    </row>
    <row r="90" spans="5:16">
      <c r="E90" s="321"/>
      <c r="F90" s="322"/>
      <c r="G90" s="22"/>
      <c r="H90" s="323"/>
      <c r="I90" s="323"/>
      <c r="J90" s="79"/>
      <c r="K90" s="323"/>
      <c r="L90" s="323"/>
      <c r="M90" s="323"/>
      <c r="N90" s="79"/>
    </row>
    <row r="91" spans="5:16">
      <c r="E91" s="321"/>
      <c r="F91" s="322"/>
      <c r="G91" s="22"/>
      <c r="H91" s="323"/>
      <c r="I91" s="323"/>
      <c r="J91" s="79"/>
      <c r="K91" s="323"/>
      <c r="L91" s="323"/>
      <c r="M91" s="323"/>
      <c r="N91" s="79"/>
    </row>
    <row r="92" spans="5:16" ht="19">
      <c r="E92" s="324" t="s">
        <v>126</v>
      </c>
      <c r="F92" s="325"/>
      <c r="G92" s="81">
        <f>+SUM(G83:G91)</f>
        <v>343089.46198925452</v>
      </c>
      <c r="H92" s="326" t="s">
        <v>125</v>
      </c>
      <c r="I92" s="326"/>
      <c r="J92" s="87">
        <f>+SUM(J83:J91)</f>
        <v>15739.290638910732</v>
      </c>
      <c r="K92" s="327" t="s">
        <v>127</v>
      </c>
      <c r="L92" s="327"/>
      <c r="M92" s="327"/>
      <c r="N92" s="81">
        <f>+SUM(N83:N91)</f>
        <v>327350.1713518679</v>
      </c>
    </row>
    <row r="93" spans="5:16">
      <c r="E93" s="185"/>
      <c r="F93" s="185"/>
      <c r="G93" s="185"/>
      <c r="H93" s="185"/>
      <c r="I93" s="185"/>
      <c r="J93" s="185"/>
      <c r="K93" s="185"/>
      <c r="L93" s="185"/>
      <c r="M93" s="185"/>
      <c r="N93" s="185"/>
    </row>
    <row r="94" spans="5:16" ht="19">
      <c r="E94" s="185"/>
      <c r="F94" s="185"/>
      <c r="G94" s="185"/>
      <c r="H94" s="185"/>
      <c r="I94" s="185"/>
      <c r="J94" s="86" t="s">
        <v>128</v>
      </c>
      <c r="K94" s="83"/>
      <c r="L94" s="82"/>
      <c r="M94" s="83"/>
      <c r="N94" s="84">
        <f>+G92-J92-N92-P96</f>
        <v>-1.5241093933582306E-6</v>
      </c>
    </row>
    <row r="96" spans="5:16">
      <c r="G96" s="8"/>
      <c r="J96" s="8"/>
      <c r="N96" s="8"/>
      <c r="P96" s="33"/>
    </row>
    <row r="97" spans="7:14">
      <c r="G97" s="8"/>
    </row>
    <row r="102" spans="7:14">
      <c r="G102" s="8"/>
      <c r="J102" s="8"/>
      <c r="N102" s="8"/>
    </row>
    <row r="103" spans="7:14">
      <c r="N103" s="8"/>
    </row>
  </sheetData>
  <mergeCells count="63">
    <mergeCell ref="R53:S53"/>
    <mergeCell ref="H76:I76"/>
    <mergeCell ref="K67:M67"/>
    <mergeCell ref="K68:M68"/>
    <mergeCell ref="K69:M69"/>
    <mergeCell ref="K74:M74"/>
    <mergeCell ref="K66:N66"/>
    <mergeCell ref="K75:M75"/>
    <mergeCell ref="K73:M73"/>
    <mergeCell ref="K70:M70"/>
    <mergeCell ref="K71:M71"/>
    <mergeCell ref="E69:F69"/>
    <mergeCell ref="E74:F74"/>
    <mergeCell ref="E75:F75"/>
    <mergeCell ref="H75:I75"/>
    <mergeCell ref="H70:I70"/>
    <mergeCell ref="H71:I71"/>
    <mergeCell ref="E76:F76"/>
    <mergeCell ref="C40:D40"/>
    <mergeCell ref="P53:Q53"/>
    <mergeCell ref="K76:M76"/>
    <mergeCell ref="E66:G66"/>
    <mergeCell ref="H69:I69"/>
    <mergeCell ref="H68:I68"/>
    <mergeCell ref="H67:I67"/>
    <mergeCell ref="H66:J66"/>
    <mergeCell ref="H74:I74"/>
    <mergeCell ref="E72:F72"/>
    <mergeCell ref="H72:I72"/>
    <mergeCell ref="K72:M72"/>
    <mergeCell ref="E73:F73"/>
    <mergeCell ref="H73:I73"/>
    <mergeCell ref="E68:F68"/>
    <mergeCell ref="E82:G82"/>
    <mergeCell ref="H82:J82"/>
    <mergeCell ref="K82:N82"/>
    <mergeCell ref="H83:I83"/>
    <mergeCell ref="K83:M83"/>
    <mergeCell ref="E84:F84"/>
    <mergeCell ref="H84:I84"/>
    <mergeCell ref="K84:M84"/>
    <mergeCell ref="E85:F85"/>
    <mergeCell ref="H85:I85"/>
    <mergeCell ref="K85:M85"/>
    <mergeCell ref="H86:I86"/>
    <mergeCell ref="K86:M86"/>
    <mergeCell ref="H87:I87"/>
    <mergeCell ref="K87:M87"/>
    <mergeCell ref="E88:F88"/>
    <mergeCell ref="H88:I88"/>
    <mergeCell ref="K88:M88"/>
    <mergeCell ref="E89:F89"/>
    <mergeCell ref="H89:I89"/>
    <mergeCell ref="K89:M89"/>
    <mergeCell ref="E90:F90"/>
    <mergeCell ref="H90:I90"/>
    <mergeCell ref="K90:M90"/>
    <mergeCell ref="E91:F91"/>
    <mergeCell ref="H91:I91"/>
    <mergeCell ref="K91:M91"/>
    <mergeCell ref="E92:F92"/>
    <mergeCell ref="H92:I92"/>
    <mergeCell ref="K92:M92"/>
  </mergeCells>
  <pageMargins left="0.23622047244094491" right="0" top="1.1417322834645669" bottom="0.74803149606299213" header="0.31496062992125984" footer="0.31496062992125984"/>
  <pageSetup scale="43" orientation="landscape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 J21</xm:sqref>
        </x14:conditionalFormatting>
        <x14:conditionalFormatting xmlns:xm="http://schemas.microsoft.com/office/excel/2006/main">
          <x14:cfRule type="iconSet" priority="9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 O22</xm:sqref>
        </x14:conditionalFormatting>
        <x14:conditionalFormatting xmlns:xm="http://schemas.microsoft.com/office/excel/2006/main">
          <x14:cfRule type="iconSet" priority="7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 G29</xm:sqref>
        </x14:conditionalFormatting>
        <x14:conditionalFormatting xmlns:xm="http://schemas.microsoft.com/office/excel/2006/main">
          <x14:cfRule type="iconSet" priority="6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 E9:E10</xm:sqref>
        </x14:conditionalFormatting>
        <x14:conditionalFormatting xmlns:xm="http://schemas.microsoft.com/office/excel/2006/main">
          <x14:cfRule type="iconSet" priority="4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J76</xm:sqref>
        </x14:conditionalFormatting>
        <x14:conditionalFormatting xmlns:xm="http://schemas.microsoft.com/office/excel/2006/main">
          <x14:cfRule type="iconSet" priority="21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 P62 P43:P51</xm:sqref>
        </x14:conditionalFormatting>
        <x14:conditionalFormatting xmlns:xm="http://schemas.microsoft.com/office/excel/2006/main">
          <x14:cfRule type="iconSet" priority="3" id="{70F197FC-E396-4666-9742-D2799AE95B2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N51</xm:sqref>
        </x14:conditionalFormatting>
        <x14:conditionalFormatting xmlns:xm="http://schemas.microsoft.com/office/excel/2006/main">
          <x14:cfRule type="iconSet" priority="1" id="{E49EF807-A5CB-45EF-A790-BE453FB6726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J92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3:CM236"/>
  <sheetViews>
    <sheetView topLeftCell="K61" zoomScale="70" zoomScaleNormal="70" workbookViewId="0">
      <selection activeCell="N62" sqref="K62:O116"/>
    </sheetView>
  </sheetViews>
  <sheetFormatPr baseColWidth="10" defaultRowHeight="15" outlineLevelCol="1"/>
  <cols>
    <col min="1" max="3" width="10.83203125" customWidth="1" outlineLevel="1"/>
    <col min="4" max="4" width="15.5" customWidth="1" outlineLevel="1"/>
    <col min="5" max="5" width="14.1640625" customWidth="1" outlineLevel="1"/>
    <col min="6" max="8" width="10.83203125" customWidth="1" outlineLevel="1"/>
    <col min="9" max="9" width="5.6640625" customWidth="1" outlineLevel="1"/>
    <col min="10" max="10" width="53.1640625" bestFit="1" customWidth="1"/>
    <col min="11" max="15" width="10.83203125" customWidth="1" outlineLevel="1"/>
    <col min="16" max="16" width="10.5" customWidth="1" outlineLevel="1"/>
    <col min="17" max="20" width="10.83203125" customWidth="1" outlineLevel="1"/>
    <col min="22" max="22" width="10.83203125" customWidth="1" outlineLevel="1"/>
    <col min="23" max="23" width="10.5" customWidth="1" outlineLevel="1"/>
    <col min="24" max="29" width="10.83203125" customWidth="1" outlineLevel="1"/>
    <col min="30" max="30" width="13.6640625" customWidth="1" outlineLevel="1"/>
    <col min="31" max="31" width="17.1640625" customWidth="1" outlineLevel="1"/>
    <col min="32" max="32" width="12.83203125" customWidth="1" outlineLevel="1"/>
    <col min="33" max="33" width="10.83203125" customWidth="1" outlineLevel="1"/>
    <col min="34" max="34" width="18.1640625" customWidth="1" outlineLevel="1"/>
    <col min="35" max="41" width="10.83203125" customWidth="1" outlineLevel="1"/>
    <col min="42" max="42" width="15.1640625" customWidth="1" outlineLevel="1"/>
    <col min="57" max="91" width="10.83203125" style="33"/>
  </cols>
  <sheetData>
    <row r="3" spans="9:91" s="2" customFormat="1" ht="51" customHeight="1" thickBot="1">
      <c r="K3" s="5" t="s">
        <v>0</v>
      </c>
      <c r="L3" s="6" t="s">
        <v>51</v>
      </c>
      <c r="M3" s="6" t="s">
        <v>1</v>
      </c>
      <c r="N3" s="3" t="s">
        <v>16</v>
      </c>
      <c r="O3" s="3" t="s">
        <v>98</v>
      </c>
      <c r="P3" s="3" t="s">
        <v>17</v>
      </c>
      <c r="Q3" s="3" t="s">
        <v>78</v>
      </c>
      <c r="R3" s="6" t="s">
        <v>18</v>
      </c>
      <c r="S3" s="6" t="s">
        <v>14</v>
      </c>
      <c r="T3" s="3" t="s">
        <v>19</v>
      </c>
      <c r="U3" s="3" t="s">
        <v>20</v>
      </c>
      <c r="V3" s="56" t="s">
        <v>99</v>
      </c>
      <c r="W3" s="6" t="s">
        <v>21</v>
      </c>
      <c r="X3" s="3" t="s">
        <v>22</v>
      </c>
      <c r="Y3" s="56" t="s">
        <v>100</v>
      </c>
      <c r="Z3" s="56" t="s">
        <v>101</v>
      </c>
      <c r="AA3" s="3" t="s">
        <v>23</v>
      </c>
      <c r="AB3" s="6" t="s">
        <v>24</v>
      </c>
      <c r="AC3" s="6" t="s">
        <v>25</v>
      </c>
      <c r="AD3" s="6" t="s">
        <v>26</v>
      </c>
      <c r="AE3" s="6" t="s">
        <v>13</v>
      </c>
      <c r="AF3" s="3" t="s">
        <v>27</v>
      </c>
      <c r="AG3" s="1"/>
      <c r="AH3" s="1"/>
      <c r="AI3" s="1" cm="1">
        <f t="array" ref="AI3:CL25">+TRANSPOSE(J3:AF58)</f>
        <v>0</v>
      </c>
      <c r="AJ3" s="1" t="str">
        <v>De Prec Los Colorados Nodo Alim Planta de Pellet</v>
      </c>
      <c r="AK3" s="1" t="str">
        <v>Preconc Los Colorados a Stock Sinter Feed</v>
      </c>
      <c r="AL3" s="2" t="str">
        <v>Prec los Colorados a Stock Prec Planta Pellet</v>
      </c>
      <c r="AM3" s="2" t="str">
        <v>Re-Harneo a Stock Prec Planta Pellet</v>
      </c>
      <c r="AN3" s="2" t="str">
        <v>Delta Stock  Prec Planta Pellet</v>
      </c>
      <c r="AO3" s="2" t="str">
        <v>Alim Silos Molienda</v>
      </c>
      <c r="AP3" s="2" t="str">
        <v>Delta Stock Silos Molienda</v>
      </c>
      <c r="AQ3" s="2" t="str">
        <v>Aliment Molienda Clasificación</v>
      </c>
      <c r="AR3" s="2" t="str">
        <v>De Molienda/clasificación a Stock Derrames</v>
      </c>
      <c r="AS3" s="2" t="str">
        <v>EMISARIO SUBMARINO</v>
      </c>
      <c r="AT3" s="2" t="str">
        <v>Alimentación a TK  Inventarios</v>
      </c>
      <c r="AU3" s="2" t="str">
        <v>Delta TK inventarios</v>
      </c>
      <c r="AV3" s="2" t="str">
        <v>TK Inventario a Stock Derrames</v>
      </c>
      <c r="AW3" s="2" t="str">
        <v>Alimentación Filtrado</v>
      </c>
      <c r="AX3" s="2" t="str">
        <v xml:space="preserve">Alim Nodo Productos Filtrados  </v>
      </c>
      <c r="AY3" s="2" t="str">
        <v>De filtros a Balling</v>
      </c>
      <c r="AZ3" s="2" t="str">
        <v>Filtrado a Stock Derrames</v>
      </c>
      <c r="BA3" s="2" t="str">
        <v>Alim Pila Intermedia desde (de nodo post filtros)</v>
      </c>
      <c r="BB3" s="2" t="str">
        <v>Delta Stock Pila Intermedia</v>
      </c>
      <c r="BC3" s="2" t="str">
        <v>de Pila Intermedia a Balling</v>
      </c>
      <c r="BD3" s="2" t="str">
        <v>de Pila Intermadia a Stok Pellet Feed</v>
      </c>
      <c r="BE3" s="67" t="str">
        <v>a Stock Pellet Feed (de nodo post filtros)</v>
      </c>
      <c r="BF3" s="67" t="str">
        <v>Delta Stock Pellet Feed</v>
      </c>
      <c r="BG3" s="67" t="str">
        <v>A embarque de Stock Pellet Feed</v>
      </c>
      <c r="BH3" s="67" t="str">
        <v>Aditivo a Balling</v>
      </c>
      <c r="BI3" s="67" t="str">
        <v>Pellet verde a edurecimiento</v>
      </c>
      <c r="BJ3" s="67" t="str">
        <v>Endurecimiento a Stock Derrames</v>
      </c>
      <c r="BK3" s="67" t="str">
        <v>Delta Inventarios de Derrames</v>
      </c>
      <c r="BL3" s="67" t="str">
        <v>Chunk de endurecimiento a Pila Chunk</v>
      </c>
      <c r="BM3" s="67" t="str">
        <v>Delta Stock Pila Chunk</v>
      </c>
      <c r="BN3" s="67" t="str">
        <v>Aporte Oxidación Endurecimiento</v>
      </c>
      <c r="BO3" s="67" t="str">
        <v xml:space="preserve">Alim endurecido a Pila Emergencia </v>
      </c>
      <c r="BP3" s="67" t="str">
        <v>De endurecimiento a Harnero Producto</v>
      </c>
      <c r="BQ3" s="67" t="str">
        <v>Alim Harnero Producto desde Pila de Emergencia</v>
      </c>
      <c r="BR3" s="67" t="str">
        <v>Delta Stock Pila Emergencia</v>
      </c>
      <c r="BS3" s="67" t="str">
        <v>De harnero Producto a Pila Chip Fresco</v>
      </c>
      <c r="BT3" s="67" t="str">
        <v>Delta Stock Pila Chip Fresco</v>
      </c>
      <c r="BU3" s="67" t="str">
        <v>De Harnero Producto a Stock Pellets Básico</v>
      </c>
      <c r="BV3" s="67" t="str">
        <v>Delta Stock Pellet Básico</v>
      </c>
      <c r="BW3" s="67" t="str">
        <v>A embarque desde Pellet básico</v>
      </c>
      <c r="BX3" s="67" t="str">
        <v>Alimentación Chip Fresco a Re harneo</v>
      </c>
      <c r="BY3" s="67" t="str">
        <v>Alimentación de Stock de Derrames a Planta de Re Harneo</v>
      </c>
      <c r="BZ3" s="67" t="str">
        <v>Alimentación de Pila Chunk a Re Harneo</v>
      </c>
      <c r="CA3" s="67" t="str">
        <v>Intermedio Re harneo de derrames a Stock Pila de Emergencia</v>
      </c>
      <c r="CB3" s="67" t="str">
        <v xml:space="preserve">Alimentación Total a  Stock Finos Huasco de Embarque </v>
      </c>
      <c r="CC3" s="67" t="str">
        <v xml:space="preserve">Chip Bajo tamaño de Re Harneo a Stock P Chip de Embarque </v>
      </c>
      <c r="CD3" s="67" t="str">
        <v>Traspaso de F Huasco a S Feed</v>
      </c>
      <c r="CE3" s="67" t="str">
        <v>A embarque desde Stock Finos Huasco</v>
      </c>
      <c r="CF3" s="67" t="str">
        <v>Delta Stock Finos Huasco</v>
      </c>
      <c r="CG3" s="67" t="str">
        <v>A embarque desde Stock Sinter Feed</v>
      </c>
      <c r="CH3" s="67" t="str">
        <v>Delta Stock Sinter Feed</v>
      </c>
      <c r="CI3" s="67" t="str">
        <v>Traspaso de  P Chip a P Básico</v>
      </c>
      <c r="CJ3" s="67" t="str">
        <v>A embarque desde Stock Pellet Chip</v>
      </c>
      <c r="CK3" s="67" t="str">
        <v>Delta Stock Pellet Chip</v>
      </c>
      <c r="CL3" s="67" t="str">
        <v>Total Embarcado</v>
      </c>
      <c r="CM3" s="67"/>
    </row>
    <row r="4" spans="9:91" s="2" customFormat="1" ht="20.5" customHeight="1">
      <c r="I4">
        <v>1</v>
      </c>
      <c r="J4" s="57" t="s">
        <v>111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  <c r="AH4" s="1"/>
      <c r="AI4" s="1" t="str">
        <v>Nodo Alim Stock Planta Pellet</v>
      </c>
      <c r="AJ4" s="1">
        <v>1</v>
      </c>
      <c r="AK4" s="1">
        <v>-1</v>
      </c>
      <c r="AL4" s="2">
        <v>-1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67">
        <v>0</v>
      </c>
      <c r="BF4" s="67">
        <v>0</v>
      </c>
      <c r="BG4" s="67">
        <v>0</v>
      </c>
      <c r="BH4" s="67">
        <v>0</v>
      </c>
      <c r="BI4" s="67">
        <v>0</v>
      </c>
      <c r="BJ4" s="67">
        <v>0</v>
      </c>
      <c r="BK4" s="67">
        <v>0</v>
      </c>
      <c r="BL4" s="67">
        <v>0</v>
      </c>
      <c r="BM4" s="67">
        <v>0</v>
      </c>
      <c r="BN4" s="67">
        <v>0</v>
      </c>
      <c r="BO4" s="67">
        <v>0</v>
      </c>
      <c r="BP4" s="67">
        <v>0</v>
      </c>
      <c r="BQ4" s="67">
        <v>0</v>
      </c>
      <c r="BR4" s="67">
        <v>0</v>
      </c>
      <c r="BS4" s="67">
        <v>0</v>
      </c>
      <c r="BT4" s="67">
        <v>0</v>
      </c>
      <c r="BU4" s="67">
        <v>0</v>
      </c>
      <c r="BV4" s="67">
        <v>0</v>
      </c>
      <c r="BW4" s="67">
        <v>0</v>
      </c>
      <c r="BX4" s="67">
        <v>0</v>
      </c>
      <c r="BY4" s="67">
        <v>0</v>
      </c>
      <c r="BZ4" s="67">
        <v>0</v>
      </c>
      <c r="CA4" s="67">
        <v>0</v>
      </c>
      <c r="CB4" s="67">
        <v>0</v>
      </c>
      <c r="CC4" s="67">
        <v>0</v>
      </c>
      <c r="CD4" s="67">
        <v>0</v>
      </c>
      <c r="CE4" s="67">
        <v>0</v>
      </c>
      <c r="CF4" s="67">
        <v>0</v>
      </c>
      <c r="CG4" s="67">
        <v>0</v>
      </c>
      <c r="CH4" s="67">
        <v>0</v>
      </c>
      <c r="CI4" s="67">
        <v>0</v>
      </c>
      <c r="CJ4" s="67">
        <v>0</v>
      </c>
      <c r="CK4" s="67">
        <v>0</v>
      </c>
      <c r="CL4" s="67">
        <v>0</v>
      </c>
      <c r="CM4" s="67"/>
    </row>
    <row r="5" spans="9:91">
      <c r="I5">
        <v>2</v>
      </c>
      <c r="J5" s="59" t="s">
        <v>41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 s="1"/>
      <c r="AI5" t="str">
        <v>Stock prec Planta de Pellet</v>
      </c>
      <c r="AJ5">
        <v>0</v>
      </c>
      <c r="AK5">
        <v>0</v>
      </c>
      <c r="AL5">
        <v>1</v>
      </c>
      <c r="AM5">
        <v>1</v>
      </c>
      <c r="AN5" t="e">
        <v>#REF!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33">
        <v>0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0</v>
      </c>
      <c r="CD5" s="33">
        <v>0</v>
      </c>
      <c r="CE5" s="33">
        <v>0</v>
      </c>
      <c r="CF5" s="33">
        <v>0</v>
      </c>
      <c r="CG5" s="33">
        <v>0</v>
      </c>
      <c r="CH5" s="33">
        <v>0</v>
      </c>
      <c r="CI5" s="33">
        <v>0</v>
      </c>
      <c r="CJ5" s="33">
        <v>0</v>
      </c>
      <c r="CK5" s="33">
        <v>0</v>
      </c>
      <c r="CL5" s="33">
        <v>0</v>
      </c>
    </row>
    <row r="6" spans="9:91" ht="16" thickBot="1">
      <c r="I6">
        <v>3</v>
      </c>
      <c r="J6" s="60" t="s">
        <v>42</v>
      </c>
      <c r="K6">
        <v>-1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  <c r="AI6" t="str">
        <v>Stock Silos de Molienda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 t="e">
        <v>#REF!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s="33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>
        <v>0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0</v>
      </c>
      <c r="CI6" s="33">
        <v>0</v>
      </c>
      <c r="CJ6" s="33">
        <v>0</v>
      </c>
      <c r="CK6" s="33">
        <v>0</v>
      </c>
      <c r="CL6" s="33">
        <v>0</v>
      </c>
    </row>
    <row r="7" spans="9:91">
      <c r="I7">
        <v>4</v>
      </c>
      <c r="J7" s="54" t="s">
        <v>52</v>
      </c>
      <c r="K7">
        <v>0</v>
      </c>
      <c r="L7">
        <v>1</v>
      </c>
      <c r="M7">
        <v>0</v>
      </c>
      <c r="N7" s="33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 s="1"/>
      <c r="AI7" t="str">
        <v>Molienda Clasificación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-1</v>
      </c>
      <c r="AS7">
        <v>-1</v>
      </c>
      <c r="AT7">
        <v>-1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>
        <v>0</v>
      </c>
      <c r="BX7" s="33">
        <v>0</v>
      </c>
      <c r="BY7" s="33">
        <v>0</v>
      </c>
      <c r="BZ7" s="33">
        <v>0</v>
      </c>
      <c r="CA7" s="33">
        <v>0</v>
      </c>
      <c r="CB7" s="33">
        <v>0</v>
      </c>
      <c r="CC7" s="33">
        <v>0</v>
      </c>
      <c r="CD7" s="33">
        <v>0</v>
      </c>
      <c r="CE7" s="33">
        <v>0</v>
      </c>
      <c r="CF7" s="33">
        <v>0</v>
      </c>
      <c r="CG7" s="33">
        <v>0</v>
      </c>
      <c r="CH7" s="33">
        <v>0</v>
      </c>
      <c r="CI7" s="33">
        <v>0</v>
      </c>
      <c r="CJ7" s="33">
        <v>0</v>
      </c>
      <c r="CK7" s="33">
        <v>0</v>
      </c>
      <c r="CL7" s="33">
        <v>0</v>
      </c>
    </row>
    <row r="8" spans="9:91" ht="16" thickBot="1">
      <c r="I8">
        <v>5</v>
      </c>
      <c r="J8" s="54" t="s">
        <v>75</v>
      </c>
      <c r="K8">
        <v>0</v>
      </c>
      <c r="L8" s="4" t="e">
        <f>+#REF!</f>
        <v>#REF!</v>
      </c>
      <c r="M8">
        <v>0</v>
      </c>
      <c r="N8" s="33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I8" t="str">
        <v xml:space="preserve"> TK Inventarios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 t="e">
        <v>#REF!</v>
      </c>
      <c r="AV8">
        <v>-1</v>
      </c>
      <c r="AW8">
        <v>-1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3">
        <v>0</v>
      </c>
      <c r="CE8" s="33">
        <v>0</v>
      </c>
      <c r="CF8" s="33">
        <v>0</v>
      </c>
      <c r="CG8" s="33">
        <v>0</v>
      </c>
      <c r="CH8" s="33">
        <v>0</v>
      </c>
      <c r="CI8" s="33">
        <v>0</v>
      </c>
      <c r="CJ8" s="33">
        <v>0</v>
      </c>
      <c r="CK8" s="33">
        <v>0</v>
      </c>
      <c r="CL8" s="33">
        <v>0</v>
      </c>
    </row>
    <row r="9" spans="9:91">
      <c r="I9">
        <v>6</v>
      </c>
      <c r="J9" s="57" t="s">
        <v>76</v>
      </c>
      <c r="K9">
        <v>0</v>
      </c>
      <c r="L9">
        <v>-1</v>
      </c>
      <c r="M9">
        <v>1</v>
      </c>
      <c r="N9" s="33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t="str">
        <v>Filtrado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-1</v>
      </c>
      <c r="AY9">
        <v>-1</v>
      </c>
      <c r="AZ9">
        <v>-1</v>
      </c>
      <c r="BA9">
        <v>0</v>
      </c>
      <c r="BB9">
        <v>0</v>
      </c>
      <c r="BC9">
        <v>0</v>
      </c>
      <c r="BD9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0</v>
      </c>
      <c r="CK9" s="33">
        <v>0</v>
      </c>
      <c r="CL9" s="33">
        <v>0</v>
      </c>
    </row>
    <row r="10" spans="9:91" ht="16" thickBot="1">
      <c r="I10">
        <v>7</v>
      </c>
      <c r="J10" s="60" t="s">
        <v>44</v>
      </c>
      <c r="K10">
        <v>0</v>
      </c>
      <c r="L10">
        <v>0</v>
      </c>
      <c r="M10" s="4" t="e">
        <f>+#REF!</f>
        <v>#REF!</v>
      </c>
      <c r="N10" s="33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I10" t="str">
        <v xml:space="preserve">Nodo Producto Filtrado  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-1</v>
      </c>
      <c r="BB10">
        <v>0</v>
      </c>
      <c r="BC10">
        <v>0</v>
      </c>
      <c r="BD10">
        <v>0</v>
      </c>
      <c r="BE10" s="33">
        <v>-1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3">
        <v>0</v>
      </c>
      <c r="CE10" s="33">
        <v>0</v>
      </c>
      <c r="CF10" s="33">
        <v>0</v>
      </c>
      <c r="CG10" s="33">
        <v>0</v>
      </c>
      <c r="CH10" s="33">
        <v>0</v>
      </c>
      <c r="CI10" s="33">
        <v>0</v>
      </c>
      <c r="CJ10" s="33">
        <v>0</v>
      </c>
      <c r="CK10" s="33">
        <v>0</v>
      </c>
      <c r="CL10" s="33">
        <v>0</v>
      </c>
    </row>
    <row r="11" spans="9:91">
      <c r="I11">
        <v>8</v>
      </c>
      <c r="J11" s="54" t="s">
        <v>43</v>
      </c>
      <c r="K11" s="33">
        <v>0</v>
      </c>
      <c r="L11" s="33">
        <v>0</v>
      </c>
      <c r="M11" s="33">
        <v>-1</v>
      </c>
      <c r="N11" s="33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I11" t="str">
        <v>Stock Pila Intermedia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 t="e">
        <v>#REF!</v>
      </c>
      <c r="BC11">
        <v>-1</v>
      </c>
      <c r="BD11">
        <v>-1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3">
        <v>0</v>
      </c>
      <c r="CE11" s="33">
        <v>0</v>
      </c>
      <c r="CF11" s="33">
        <v>0</v>
      </c>
      <c r="CG11" s="33">
        <v>0</v>
      </c>
      <c r="CH11" s="33">
        <v>0</v>
      </c>
      <c r="CI11" s="33">
        <v>0</v>
      </c>
      <c r="CJ11" s="33">
        <v>0</v>
      </c>
      <c r="CK11" s="33">
        <v>0</v>
      </c>
      <c r="CL11" s="33">
        <v>0</v>
      </c>
    </row>
    <row r="12" spans="9:91">
      <c r="I12">
        <v>9</v>
      </c>
      <c r="J12" s="4" t="s">
        <v>102</v>
      </c>
      <c r="K12" s="33">
        <v>0</v>
      </c>
      <c r="L12" s="33">
        <v>0</v>
      </c>
      <c r="M12" s="33">
        <v>0</v>
      </c>
      <c r="N12" s="33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I12" t="str">
        <v>Stock Pellet Feed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 s="33">
        <v>1</v>
      </c>
      <c r="BF12" s="33" t="e">
        <v>#REF!</v>
      </c>
      <c r="BG12" s="33">
        <v>-1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0</v>
      </c>
      <c r="CB12" s="33">
        <v>0</v>
      </c>
      <c r="CC12" s="33">
        <v>0</v>
      </c>
      <c r="CD12" s="33">
        <v>0</v>
      </c>
      <c r="CE12" s="33">
        <v>0</v>
      </c>
      <c r="CF12" s="33">
        <v>0</v>
      </c>
      <c r="CG12" s="33">
        <v>0</v>
      </c>
      <c r="CH12" s="33">
        <v>0</v>
      </c>
      <c r="CI12" s="33">
        <v>0</v>
      </c>
      <c r="CJ12" s="33">
        <v>0</v>
      </c>
      <c r="CK12" s="33">
        <v>0</v>
      </c>
      <c r="CL12" s="33">
        <v>0</v>
      </c>
    </row>
    <row r="13" spans="9:91" ht="16" thickBot="1">
      <c r="I13">
        <v>10</v>
      </c>
      <c r="J13" s="54" t="s">
        <v>45</v>
      </c>
      <c r="K13" s="33">
        <v>0</v>
      </c>
      <c r="L13" s="33">
        <v>0</v>
      </c>
      <c r="M13" s="33">
        <v>0</v>
      </c>
      <c r="N13" s="3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I13" t="str">
        <v>Balling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 s="33">
        <v>0</v>
      </c>
      <c r="BF13" s="33">
        <v>0</v>
      </c>
      <c r="BG13" s="33">
        <v>0</v>
      </c>
      <c r="BH13" s="33">
        <v>1</v>
      </c>
      <c r="BI13" s="33">
        <v>-1</v>
      </c>
      <c r="BJ13" s="33">
        <v>0</v>
      </c>
      <c r="BK13" s="33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3">
        <v>0</v>
      </c>
      <c r="CE13" s="33">
        <v>0</v>
      </c>
      <c r="CF13" s="33">
        <v>0</v>
      </c>
      <c r="CG13" s="33">
        <v>0</v>
      </c>
      <c r="CH13" s="33">
        <v>0</v>
      </c>
      <c r="CI13" s="33">
        <v>0</v>
      </c>
      <c r="CJ13" s="33">
        <v>0</v>
      </c>
      <c r="CK13" s="33">
        <v>0</v>
      </c>
      <c r="CL13" s="33">
        <v>0</v>
      </c>
    </row>
    <row r="14" spans="9:91">
      <c r="I14">
        <v>11</v>
      </c>
      <c r="J14" s="57" t="s">
        <v>89</v>
      </c>
      <c r="K14" s="33">
        <v>0</v>
      </c>
      <c r="L14" s="33">
        <v>0</v>
      </c>
      <c r="M14" s="33">
        <v>0</v>
      </c>
      <c r="N14" s="33">
        <v>-1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I14" t="str">
        <v>Endurecimiento Térmico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1</v>
      </c>
      <c r="BJ14" s="33">
        <v>-1</v>
      </c>
      <c r="BK14" s="33">
        <v>0</v>
      </c>
      <c r="BL14" s="33">
        <v>-1</v>
      </c>
      <c r="BM14" s="33">
        <v>0</v>
      </c>
      <c r="BN14" s="33">
        <v>1</v>
      </c>
      <c r="BO14" s="33">
        <v>-1</v>
      </c>
      <c r="BP14" s="33">
        <v>-1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</row>
    <row r="15" spans="9:91">
      <c r="I15">
        <v>12</v>
      </c>
      <c r="J15" s="59" t="s">
        <v>77</v>
      </c>
      <c r="K15">
        <v>0</v>
      </c>
      <c r="L15">
        <v>0</v>
      </c>
      <c r="M15">
        <v>0</v>
      </c>
      <c r="N15">
        <v>0</v>
      </c>
      <c r="O15" s="4" t="e">
        <f>+#REF!</f>
        <v>#REF!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I15" t="str">
        <v>Stock Derrames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1</v>
      </c>
      <c r="BK15" s="33" t="e">
        <v>#REF!</v>
      </c>
      <c r="BL15" s="33">
        <v>0</v>
      </c>
      <c r="BM15" s="33">
        <v>0</v>
      </c>
      <c r="BN15" s="33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0</v>
      </c>
      <c r="BV15" s="33">
        <v>0</v>
      </c>
      <c r="BW15" s="33">
        <v>0</v>
      </c>
      <c r="BX15" s="33">
        <v>0</v>
      </c>
      <c r="BY15" s="33">
        <v>-1</v>
      </c>
      <c r="BZ15" s="33">
        <v>0</v>
      </c>
      <c r="CA15" s="33">
        <v>0</v>
      </c>
      <c r="CB15" s="33">
        <v>0</v>
      </c>
      <c r="CC15" s="33">
        <v>0</v>
      </c>
      <c r="CD15" s="33">
        <v>0</v>
      </c>
      <c r="CE15" s="33">
        <v>0</v>
      </c>
      <c r="CF15" s="33">
        <v>0</v>
      </c>
      <c r="CG15" s="33">
        <v>0</v>
      </c>
      <c r="CH15" s="33">
        <v>0</v>
      </c>
      <c r="CI15" s="33">
        <v>0</v>
      </c>
      <c r="CJ15" s="33">
        <v>0</v>
      </c>
      <c r="CK15" s="33">
        <v>0</v>
      </c>
      <c r="CL15" s="33">
        <v>0</v>
      </c>
    </row>
    <row r="16" spans="9:91" ht="16" thickBot="1">
      <c r="I16">
        <v>13</v>
      </c>
      <c r="J16" s="61" t="s">
        <v>105</v>
      </c>
      <c r="K16">
        <v>0</v>
      </c>
      <c r="L16">
        <v>0</v>
      </c>
      <c r="M16">
        <v>0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I16" t="str">
        <v>Pila de Emergencia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33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>
        <v>0</v>
      </c>
      <c r="BN16" s="33">
        <v>0</v>
      </c>
      <c r="BO16" s="33">
        <v>1</v>
      </c>
      <c r="BP16" s="33">
        <v>0</v>
      </c>
      <c r="BQ16" s="33">
        <v>-1</v>
      </c>
      <c r="BR16" s="33" t="e">
        <v>#REF!</v>
      </c>
      <c r="BS16" s="33">
        <v>0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0</v>
      </c>
      <c r="BZ16" s="33">
        <v>0</v>
      </c>
      <c r="CA16" s="33">
        <v>1</v>
      </c>
      <c r="CB16" s="33">
        <v>0</v>
      </c>
      <c r="CC16" s="33">
        <v>0</v>
      </c>
      <c r="CD16" s="33">
        <v>0</v>
      </c>
      <c r="CE16" s="33">
        <v>0</v>
      </c>
      <c r="CF16" s="33">
        <v>0</v>
      </c>
      <c r="CG16" s="33">
        <v>0</v>
      </c>
      <c r="CH16" s="33">
        <v>0</v>
      </c>
      <c r="CI16" s="33">
        <v>0</v>
      </c>
      <c r="CJ16" s="33">
        <v>0</v>
      </c>
      <c r="CK16" s="33">
        <v>0</v>
      </c>
      <c r="CL16" s="33">
        <v>0</v>
      </c>
    </row>
    <row r="17" spans="9:90">
      <c r="I17">
        <v>14</v>
      </c>
      <c r="J17" s="57" t="s">
        <v>90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I17" t="str">
        <v>Harnero Pruducto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33">
        <v>0</v>
      </c>
      <c r="BF17" s="33">
        <v>0</v>
      </c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3">
        <v>0</v>
      </c>
      <c r="BO17" s="33">
        <v>0</v>
      </c>
      <c r="BP17" s="33">
        <v>1</v>
      </c>
      <c r="BQ17" s="33">
        <v>1</v>
      </c>
      <c r="BR17" s="33">
        <v>0</v>
      </c>
      <c r="BS17" s="33">
        <v>-1</v>
      </c>
      <c r="BT17" s="33">
        <v>0</v>
      </c>
      <c r="BU17" s="33">
        <v>-1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3">
        <v>0</v>
      </c>
      <c r="CE17" s="33">
        <v>0</v>
      </c>
      <c r="CF17" s="33">
        <v>0</v>
      </c>
      <c r="CG17" s="33">
        <v>0</v>
      </c>
      <c r="CH17" s="33">
        <v>0</v>
      </c>
      <c r="CI17" s="33">
        <v>0</v>
      </c>
      <c r="CJ17" s="33">
        <v>0</v>
      </c>
      <c r="CK17" s="33">
        <v>0</v>
      </c>
      <c r="CL17" s="33">
        <v>0</v>
      </c>
    </row>
    <row r="18" spans="9:90">
      <c r="I18">
        <v>15</v>
      </c>
      <c r="J18" s="59" t="s">
        <v>79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I18" t="str">
        <v>Stock Chunk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33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1</v>
      </c>
      <c r="BM18" s="33" t="e">
        <v>#REF!</v>
      </c>
      <c r="BN18" s="33">
        <v>0</v>
      </c>
      <c r="BO18" s="33">
        <v>0</v>
      </c>
      <c r="BP18" s="33">
        <v>0</v>
      </c>
      <c r="BQ18" s="33">
        <v>0</v>
      </c>
      <c r="BR18" s="33">
        <v>0</v>
      </c>
      <c r="BS18" s="33">
        <v>0</v>
      </c>
      <c r="BT18" s="33">
        <v>0</v>
      </c>
      <c r="BU18" s="33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-1</v>
      </c>
      <c r="CA18" s="33">
        <v>0</v>
      </c>
      <c r="CB18" s="33">
        <v>0</v>
      </c>
      <c r="CC18" s="33">
        <v>0</v>
      </c>
      <c r="CD18" s="33">
        <v>0</v>
      </c>
      <c r="CE18" s="33">
        <v>0</v>
      </c>
      <c r="CF18" s="33">
        <v>0</v>
      </c>
      <c r="CG18" s="33">
        <v>0</v>
      </c>
      <c r="CH18" s="33">
        <v>0</v>
      </c>
      <c r="CI18" s="33">
        <v>0</v>
      </c>
      <c r="CJ18" s="33">
        <v>0</v>
      </c>
      <c r="CK18" s="33">
        <v>0</v>
      </c>
      <c r="CL18" s="33">
        <v>0</v>
      </c>
    </row>
    <row r="19" spans="9:90">
      <c r="I19">
        <v>16</v>
      </c>
      <c r="J19" s="59" t="s">
        <v>82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I19" t="str">
        <v>Stock Chip Fresco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1</v>
      </c>
      <c r="BT19" s="33" t="e">
        <v>#REF!</v>
      </c>
      <c r="BU19" s="33">
        <v>0</v>
      </c>
      <c r="BV19" s="33">
        <v>0</v>
      </c>
      <c r="BW19" s="33">
        <v>0</v>
      </c>
      <c r="BX19" s="33">
        <v>-1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3">
        <v>0</v>
      </c>
      <c r="CE19" s="33">
        <v>0</v>
      </c>
      <c r="CF19" s="33">
        <v>0</v>
      </c>
      <c r="CG19" s="33">
        <v>0</v>
      </c>
      <c r="CH19" s="33">
        <v>0</v>
      </c>
      <c r="CI19" s="33">
        <v>0</v>
      </c>
      <c r="CJ19" s="33">
        <v>0</v>
      </c>
      <c r="CK19" s="33">
        <v>0</v>
      </c>
      <c r="CL19" s="33">
        <v>0</v>
      </c>
    </row>
    <row r="20" spans="9:90" ht="16" thickBot="1">
      <c r="I20">
        <v>17</v>
      </c>
      <c r="J20" s="61" t="s">
        <v>103</v>
      </c>
      <c r="K20">
        <v>0</v>
      </c>
      <c r="L20">
        <v>0</v>
      </c>
      <c r="M20">
        <v>0</v>
      </c>
      <c r="N20">
        <v>0</v>
      </c>
      <c r="O20">
        <v>0</v>
      </c>
      <c r="P20">
        <v>-1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I20" t="str">
        <v>Planta Re-Harneo</v>
      </c>
      <c r="AJ20">
        <v>0</v>
      </c>
      <c r="AK20">
        <v>0</v>
      </c>
      <c r="AL20">
        <v>0</v>
      </c>
      <c r="AM20">
        <v>-1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33">
        <v>0</v>
      </c>
      <c r="BW20" s="33">
        <v>0</v>
      </c>
      <c r="BX20" s="33">
        <v>1</v>
      </c>
      <c r="BY20" s="33">
        <v>1</v>
      </c>
      <c r="BZ20" s="33">
        <v>1</v>
      </c>
      <c r="CA20" s="33">
        <v>-1</v>
      </c>
      <c r="CB20" s="33">
        <v>-1</v>
      </c>
      <c r="CC20" s="33">
        <v>-1</v>
      </c>
      <c r="CD20" s="33">
        <v>0</v>
      </c>
      <c r="CE20" s="33">
        <v>0</v>
      </c>
      <c r="CF20" s="33">
        <v>0</v>
      </c>
      <c r="CG20" s="33">
        <v>0</v>
      </c>
      <c r="CH20" s="33">
        <v>0</v>
      </c>
      <c r="CI20" s="33">
        <v>0</v>
      </c>
      <c r="CJ20" s="33">
        <v>0</v>
      </c>
      <c r="CK20" s="33">
        <v>0</v>
      </c>
      <c r="CL20" s="33">
        <v>0</v>
      </c>
    </row>
    <row r="21" spans="9:90">
      <c r="I21">
        <v>18</v>
      </c>
      <c r="J21" s="54" t="s">
        <v>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I21" t="str">
        <v>Stock Pellet Básico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s="33">
        <v>0</v>
      </c>
      <c r="BF21" s="33">
        <v>0</v>
      </c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1</v>
      </c>
      <c r="BV21" s="33" t="e">
        <v>#REF!</v>
      </c>
      <c r="BW21" s="33">
        <v>-1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3">
        <v>0</v>
      </c>
      <c r="CE21" s="33">
        <v>0</v>
      </c>
      <c r="CF21" s="33">
        <v>0</v>
      </c>
      <c r="CG21" s="33">
        <v>0</v>
      </c>
      <c r="CH21" s="33">
        <v>0</v>
      </c>
      <c r="CI21" s="33">
        <v>1</v>
      </c>
      <c r="CJ21" s="33">
        <v>0</v>
      </c>
      <c r="CK21" s="33">
        <v>0</v>
      </c>
      <c r="CL21" s="33">
        <v>0</v>
      </c>
    </row>
    <row r="22" spans="9:90">
      <c r="I22">
        <v>19</v>
      </c>
      <c r="J22" s="54" t="s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4" t="e">
        <f>+#REF!</f>
        <v>#REF!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I22" t="str">
        <v>Stock Finos Huasco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s="33">
        <v>0</v>
      </c>
      <c r="BF22" s="33">
        <v>0</v>
      </c>
      <c r="BG22" s="33">
        <v>0</v>
      </c>
      <c r="BH22" s="33">
        <v>0</v>
      </c>
      <c r="BI22" s="33">
        <v>0</v>
      </c>
      <c r="BJ22" s="33">
        <v>0</v>
      </c>
      <c r="BK22" s="33">
        <v>0</v>
      </c>
      <c r="BL22" s="33">
        <v>0</v>
      </c>
      <c r="BM22" s="33">
        <v>0</v>
      </c>
      <c r="BN22" s="33">
        <v>0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1</v>
      </c>
      <c r="CC22" s="33">
        <v>0</v>
      </c>
      <c r="CD22" s="33">
        <v>-1</v>
      </c>
      <c r="CE22" s="33">
        <v>-1</v>
      </c>
      <c r="CF22" s="33" t="e">
        <v>#REF!</v>
      </c>
      <c r="CG22" s="33">
        <v>0</v>
      </c>
      <c r="CH22" s="33">
        <v>0</v>
      </c>
      <c r="CI22" s="33">
        <v>0</v>
      </c>
      <c r="CJ22" s="33">
        <v>0</v>
      </c>
      <c r="CK22" s="33">
        <v>0</v>
      </c>
      <c r="CL22" s="33">
        <v>0</v>
      </c>
    </row>
    <row r="23" spans="9:90">
      <c r="I23">
        <v>20</v>
      </c>
      <c r="J23" s="54" t="s">
        <v>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I23" t="str">
        <v>Stock Pellet Chip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s="33">
        <v>0</v>
      </c>
      <c r="BF23" s="33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  <c r="CA23" s="33">
        <v>0</v>
      </c>
      <c r="CB23" s="33">
        <v>0</v>
      </c>
      <c r="CC23" s="33">
        <v>1</v>
      </c>
      <c r="CD23" s="33">
        <v>0</v>
      </c>
      <c r="CE23" s="33">
        <v>0</v>
      </c>
      <c r="CF23" s="33">
        <v>0</v>
      </c>
      <c r="CG23" s="33">
        <v>0</v>
      </c>
      <c r="CH23" s="33">
        <v>0</v>
      </c>
      <c r="CI23" s="33">
        <v>-1</v>
      </c>
      <c r="CJ23" s="33">
        <v>-1</v>
      </c>
      <c r="CK23" s="33" t="e">
        <v>#REF!</v>
      </c>
      <c r="CL23" s="33">
        <v>0</v>
      </c>
    </row>
    <row r="24" spans="9:90">
      <c r="I24">
        <v>21</v>
      </c>
      <c r="J24" s="5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I24" t="str">
        <v>Stock Sinter Feed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0</v>
      </c>
      <c r="CC24" s="33">
        <v>0</v>
      </c>
      <c r="CD24" s="33">
        <v>1</v>
      </c>
      <c r="CE24" s="33">
        <v>0</v>
      </c>
      <c r="CF24" s="33">
        <v>0</v>
      </c>
      <c r="CG24" s="33">
        <v>-1</v>
      </c>
      <c r="CH24" s="33" t="e">
        <v>#REF!</v>
      </c>
      <c r="CI24" s="33">
        <v>0</v>
      </c>
      <c r="CJ24" s="33">
        <v>0</v>
      </c>
      <c r="CK24" s="33">
        <v>0</v>
      </c>
      <c r="CL24" s="33">
        <v>0</v>
      </c>
    </row>
    <row r="25" spans="9:90">
      <c r="I25">
        <v>22</v>
      </c>
      <c r="J25" s="54" t="s">
        <v>80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I25" t="str">
        <v>Nodo Alimentaciones Embarque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33">
        <v>0</v>
      </c>
      <c r="BF25" s="33">
        <v>0</v>
      </c>
      <c r="BG25" s="33">
        <v>1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1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3">
        <v>0</v>
      </c>
      <c r="CE25" s="33">
        <v>1</v>
      </c>
      <c r="CF25" s="33">
        <v>0</v>
      </c>
      <c r="CG25" s="33">
        <v>1</v>
      </c>
      <c r="CH25" s="33">
        <v>0</v>
      </c>
      <c r="CI25" s="33">
        <v>0</v>
      </c>
      <c r="CJ25" s="33">
        <v>1</v>
      </c>
      <c r="CK25" s="33">
        <v>0</v>
      </c>
      <c r="CL25" s="33">
        <v>-1</v>
      </c>
    </row>
    <row r="26" spans="9:90">
      <c r="I26">
        <v>23</v>
      </c>
      <c r="J26" s="54" t="s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4" t="e">
        <f>+#REF!</f>
        <v>#REF!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9:90">
      <c r="I27">
        <v>24</v>
      </c>
      <c r="J27" s="54" t="s">
        <v>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9:90" ht="16" thickBot="1">
      <c r="I28">
        <v>25</v>
      </c>
      <c r="J28" s="54" t="s">
        <v>47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J28" t="s">
        <v>60</v>
      </c>
      <c r="AK28" t="s">
        <v>4</v>
      </c>
    </row>
    <row r="29" spans="9:90">
      <c r="I29">
        <v>26</v>
      </c>
      <c r="J29" s="57" t="s">
        <v>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I29" s="8">
        <f>+I62</f>
        <v>1</v>
      </c>
      <c r="AJ29" s="8">
        <f>+N62</f>
        <v>345274.75482351059</v>
      </c>
      <c r="AK29" s="8">
        <f>+P62</f>
        <v>208129.93049790506</v>
      </c>
    </row>
    <row r="30" spans="9:90">
      <c r="I30">
        <v>27</v>
      </c>
      <c r="J30" s="58" t="s">
        <v>104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I30" s="8">
        <f t="shared" ref="AI30:AI59" si="0">+I63</f>
        <v>2</v>
      </c>
      <c r="AJ30" s="8">
        <f t="shared" ref="AJ30:AJ59" si="1">+N63</f>
        <v>85251.460056063574</v>
      </c>
      <c r="AK30" s="8">
        <f t="shared" ref="AK30:AK59" si="2">+P63</f>
        <v>56558.551782280752</v>
      </c>
    </row>
    <row r="31" spans="9:90">
      <c r="I31">
        <v>28</v>
      </c>
      <c r="J31" s="58" t="s">
        <v>115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4" t="e">
        <f>+#REF!</f>
        <v>#REF!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I31" s="8">
        <f t="shared" si="0"/>
        <v>3</v>
      </c>
      <c r="AJ31" s="8">
        <f t="shared" si="1"/>
        <v>260023.2947674451</v>
      </c>
      <c r="AK31" s="8">
        <f t="shared" si="2"/>
        <v>151571.37871562608</v>
      </c>
    </row>
    <row r="32" spans="9:90">
      <c r="I32">
        <v>29</v>
      </c>
      <c r="J32" s="58" t="s">
        <v>107</v>
      </c>
      <c r="K32" s="25">
        <v>0</v>
      </c>
      <c r="L32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>
        <v>-1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I32" s="8">
        <f t="shared" si="0"/>
        <v>4</v>
      </c>
      <c r="AJ32" s="8">
        <f t="shared" si="1"/>
        <v>0</v>
      </c>
      <c r="AK32" s="8">
        <f t="shared" si="2"/>
        <v>0</v>
      </c>
    </row>
    <row r="33" spans="9:37">
      <c r="I33">
        <v>30</v>
      </c>
      <c r="J33" s="58" t="s">
        <v>108</v>
      </c>
      <c r="K33" s="25">
        <v>0</v>
      </c>
      <c r="L33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4" t="e">
        <f>+#REF!</f>
        <v>#REF!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I33" s="8">
        <f t="shared" si="0"/>
        <v>5</v>
      </c>
      <c r="AJ33" s="8">
        <f t="shared" si="1"/>
        <v>15949.779301264325</v>
      </c>
      <c r="AK33" s="8">
        <f t="shared" si="2"/>
        <v>9650.935278090903</v>
      </c>
    </row>
    <row r="34" spans="9:37">
      <c r="I34">
        <v>31</v>
      </c>
      <c r="J34" s="59" t="s">
        <v>48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 s="25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I34" s="8">
        <f t="shared" si="0"/>
        <v>6</v>
      </c>
      <c r="AJ34" s="8">
        <f t="shared" si="1"/>
        <v>244073.51546618354</v>
      </c>
      <c r="AK34" s="8">
        <f t="shared" si="2"/>
        <v>141920.44343753223</v>
      </c>
    </row>
    <row r="35" spans="9:37" ht="16" thickBot="1">
      <c r="I35">
        <v>32</v>
      </c>
      <c r="J35" s="60" t="s">
        <v>50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</v>
      </c>
      <c r="V35">
        <v>0</v>
      </c>
      <c r="W35">
        <v>1</v>
      </c>
      <c r="X35">
        <v>0</v>
      </c>
      <c r="Y35">
        <v>0</v>
      </c>
      <c r="Z35" s="2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I35" s="8">
        <f t="shared" si="0"/>
        <v>7</v>
      </c>
      <c r="AJ35" s="8">
        <f t="shared" si="1"/>
        <v>278.09260285314838</v>
      </c>
      <c r="AK35" s="8">
        <f t="shared" si="2"/>
        <v>167.30836193749624</v>
      </c>
    </row>
    <row r="36" spans="9:37">
      <c r="I36">
        <v>33</v>
      </c>
      <c r="J36" s="57" t="s">
        <v>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</v>
      </c>
      <c r="V36">
        <v>0</v>
      </c>
      <c r="W36">
        <v>0</v>
      </c>
      <c r="X36">
        <v>1</v>
      </c>
      <c r="Y36">
        <v>0</v>
      </c>
      <c r="Z36" s="25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I36" s="8">
        <f t="shared" si="0"/>
        <v>8</v>
      </c>
      <c r="AJ36" s="8">
        <f t="shared" si="1"/>
        <v>244351.60806903665</v>
      </c>
      <c r="AK36" s="8">
        <f t="shared" si="2"/>
        <v>142087.75179946967</v>
      </c>
    </row>
    <row r="37" spans="9:37">
      <c r="I37">
        <v>34</v>
      </c>
      <c r="J37" s="59" t="s">
        <v>53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I37" s="8">
        <f t="shared" si="0"/>
        <v>9</v>
      </c>
      <c r="AJ37" s="8">
        <f t="shared" si="1"/>
        <v>1385.9477638867227</v>
      </c>
      <c r="AK37" s="8">
        <f t="shared" si="2"/>
        <v>816.43648212764401</v>
      </c>
    </row>
    <row r="38" spans="9:37">
      <c r="I38">
        <v>35</v>
      </c>
      <c r="J38" s="59" t="s">
        <v>49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4" t="e">
        <f>+#REF!</f>
        <v>#REF!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I38" s="8">
        <f t="shared" si="0"/>
        <v>10</v>
      </c>
      <c r="AJ38" s="8">
        <f t="shared" si="1"/>
        <v>42525.989594903927</v>
      </c>
      <c r="AK38" s="8">
        <f t="shared" si="2"/>
        <v>4150.536584462624</v>
      </c>
    </row>
    <row r="39" spans="9:37">
      <c r="I39">
        <v>36</v>
      </c>
      <c r="J39" s="58" t="s">
        <v>109</v>
      </c>
      <c r="K39" s="33">
        <v>0</v>
      </c>
      <c r="L39" s="33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-1</v>
      </c>
      <c r="Y39" s="25">
        <v>0</v>
      </c>
      <c r="Z39" s="25">
        <v>1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I39" s="8">
        <f t="shared" si="0"/>
        <v>11</v>
      </c>
      <c r="AJ39" s="8">
        <f t="shared" si="1"/>
        <v>200439.67071024602</v>
      </c>
      <c r="AK39" s="8">
        <f t="shared" si="2"/>
        <v>137120.77873287932</v>
      </c>
    </row>
    <row r="40" spans="9:37">
      <c r="I40">
        <v>37</v>
      </c>
      <c r="J40" s="58" t="s">
        <v>110</v>
      </c>
      <c r="K40" s="33">
        <v>0</v>
      </c>
      <c r="L40" s="33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4" t="e">
        <f>+#REF!</f>
        <v>#REF!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I40" s="8">
        <f t="shared" si="0"/>
        <v>12</v>
      </c>
      <c r="AJ40" s="8">
        <f t="shared" si="1"/>
        <v>2653.3423902459717</v>
      </c>
      <c r="AK40" s="8">
        <f t="shared" si="2"/>
        <v>1814.2776601087953</v>
      </c>
    </row>
    <row r="41" spans="9:37">
      <c r="I41">
        <v>38</v>
      </c>
      <c r="J41" s="59" t="s">
        <v>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I41" s="8">
        <f t="shared" si="0"/>
        <v>13</v>
      </c>
      <c r="AJ41" s="8">
        <f t="shared" si="1"/>
        <v>0</v>
      </c>
      <c r="AK41" s="8">
        <f t="shared" si="2"/>
        <v>0</v>
      </c>
    </row>
    <row r="42" spans="9:37">
      <c r="I42">
        <v>39</v>
      </c>
      <c r="J42" s="59" t="s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4" t="e">
        <f>+#REF!</f>
        <v>#REF!</v>
      </c>
      <c r="AC42">
        <v>0</v>
      </c>
      <c r="AD42">
        <v>0</v>
      </c>
      <c r="AE42">
        <v>0</v>
      </c>
      <c r="AF42">
        <v>0</v>
      </c>
      <c r="AI42" s="8">
        <f t="shared" si="0"/>
        <v>14</v>
      </c>
      <c r="AJ42" s="8">
        <f t="shared" si="1"/>
        <v>197786.32832</v>
      </c>
      <c r="AK42" s="8">
        <f t="shared" si="2"/>
        <v>135306.50107277051</v>
      </c>
    </row>
    <row r="43" spans="9:37" ht="16" thickBot="1">
      <c r="I43">
        <v>40</v>
      </c>
      <c r="J43" s="60" t="s">
        <v>84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-1</v>
      </c>
      <c r="AC43">
        <v>0</v>
      </c>
      <c r="AD43">
        <v>0</v>
      </c>
      <c r="AE43">
        <v>0</v>
      </c>
      <c r="AF43">
        <v>1</v>
      </c>
      <c r="AI43" s="8">
        <f t="shared" si="0"/>
        <v>15</v>
      </c>
      <c r="AJ43" s="8">
        <f t="shared" si="1"/>
        <v>197786.32831999997</v>
      </c>
      <c r="AK43" s="8">
        <f t="shared" si="2"/>
        <v>135306.50107277051</v>
      </c>
    </row>
    <row r="44" spans="9:37">
      <c r="I44">
        <v>41</v>
      </c>
      <c r="J44" s="58" t="s">
        <v>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I44" s="8">
        <f t="shared" si="0"/>
        <v>16</v>
      </c>
      <c r="AJ44" s="8">
        <f t="shared" si="1"/>
        <v>0</v>
      </c>
      <c r="AK44" s="8">
        <f t="shared" si="2"/>
        <v>0</v>
      </c>
    </row>
    <row r="45" spans="9:37">
      <c r="I45">
        <v>42</v>
      </c>
      <c r="J45" s="63" t="s">
        <v>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I45" s="8">
        <f t="shared" si="0"/>
        <v>17</v>
      </c>
      <c r="AJ45" s="8">
        <f t="shared" si="1"/>
        <v>0</v>
      </c>
      <c r="AK45" s="8">
        <f t="shared" si="2"/>
        <v>0</v>
      </c>
    </row>
    <row r="46" spans="9:37">
      <c r="I46">
        <v>43</v>
      </c>
      <c r="J46" s="63" t="s">
        <v>106</v>
      </c>
      <c r="K46" s="25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>
        <v>-1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I46" s="8">
        <f t="shared" si="0"/>
        <v>18</v>
      </c>
      <c r="AJ46" s="8">
        <f t="shared" si="1"/>
        <v>8819.2490834081636</v>
      </c>
      <c r="AK46" s="8">
        <f t="shared" si="2"/>
        <v>6120.1290856670576</v>
      </c>
    </row>
    <row r="47" spans="9:37">
      <c r="I47">
        <v>44</v>
      </c>
      <c r="J47" s="63" t="s">
        <v>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-1</v>
      </c>
      <c r="AB47">
        <v>0</v>
      </c>
      <c r="AC47">
        <v>0</v>
      </c>
      <c r="AD47">
        <v>0</v>
      </c>
      <c r="AE47">
        <v>0</v>
      </c>
      <c r="AF47">
        <v>0</v>
      </c>
      <c r="AI47" s="8">
        <f t="shared" si="0"/>
        <v>19</v>
      </c>
      <c r="AJ47" s="8">
        <f t="shared" si="1"/>
        <v>0</v>
      </c>
      <c r="AK47" s="8">
        <f t="shared" si="2"/>
        <v>0</v>
      </c>
    </row>
    <row r="48" spans="9:37">
      <c r="I48">
        <v>45</v>
      </c>
      <c r="J48" s="63" t="s">
        <v>133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</v>
      </c>
      <c r="AB48">
        <v>0</v>
      </c>
      <c r="AC48">
        <v>1</v>
      </c>
      <c r="AD48">
        <v>0</v>
      </c>
      <c r="AE48">
        <v>0</v>
      </c>
      <c r="AF48">
        <v>0</v>
      </c>
      <c r="AI48" s="8">
        <f t="shared" si="0"/>
        <v>20</v>
      </c>
      <c r="AJ48" s="8">
        <f t="shared" si="1"/>
        <v>0</v>
      </c>
      <c r="AK48" s="8">
        <f t="shared" si="2"/>
        <v>0</v>
      </c>
    </row>
    <row r="49" spans="9:37">
      <c r="I49">
        <v>46</v>
      </c>
      <c r="J49" s="63" t="s">
        <v>93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</v>
      </c>
      <c r="AB49">
        <v>0</v>
      </c>
      <c r="AC49">
        <v>0</v>
      </c>
      <c r="AD49">
        <v>1</v>
      </c>
      <c r="AE49">
        <v>0</v>
      </c>
      <c r="AF49">
        <v>0</v>
      </c>
      <c r="AI49" s="8">
        <f t="shared" si="0"/>
        <v>21</v>
      </c>
      <c r="AJ49" s="8">
        <f t="shared" si="1"/>
        <v>8819.2490834081636</v>
      </c>
      <c r="AK49" s="8">
        <f t="shared" si="2"/>
        <v>6120.1290856670576</v>
      </c>
    </row>
    <row r="50" spans="9:37">
      <c r="I50">
        <v>47</v>
      </c>
      <c r="J50" s="63" t="s">
        <v>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1</v>
      </c>
      <c r="AF50">
        <v>0</v>
      </c>
      <c r="AI50" s="8">
        <f t="shared" si="0"/>
        <v>22</v>
      </c>
      <c r="AJ50" s="8">
        <f t="shared" si="1"/>
        <v>188967.07923659179</v>
      </c>
      <c r="AK50" s="8">
        <f t="shared" si="2"/>
        <v>129186.37198710338</v>
      </c>
    </row>
    <row r="51" spans="9:37">
      <c r="I51">
        <v>48</v>
      </c>
      <c r="J51" s="62" t="s">
        <v>54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</v>
      </c>
      <c r="AD51">
        <v>0</v>
      </c>
      <c r="AE51">
        <v>0</v>
      </c>
      <c r="AF51">
        <v>1</v>
      </c>
      <c r="AI51" s="8">
        <f t="shared" si="0"/>
        <v>23</v>
      </c>
      <c r="AJ51" s="8">
        <f t="shared" si="1"/>
        <v>105047.23408000008</v>
      </c>
      <c r="AK51" s="8">
        <f t="shared" si="2"/>
        <v>72039.637323503033</v>
      </c>
    </row>
    <row r="52" spans="9:37">
      <c r="I52">
        <v>49</v>
      </c>
      <c r="J52" s="62" t="s">
        <v>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 t="e">
        <f>+#REF!</f>
        <v>#REF!</v>
      </c>
      <c r="AD52">
        <v>0</v>
      </c>
      <c r="AE52">
        <v>0</v>
      </c>
      <c r="AF52">
        <v>0</v>
      </c>
      <c r="AI52" s="8">
        <f t="shared" si="0"/>
        <v>24</v>
      </c>
      <c r="AJ52" s="8">
        <f t="shared" si="1"/>
        <v>302833.56240000005</v>
      </c>
      <c r="AK52" s="8">
        <f t="shared" si="2"/>
        <v>207346.13839627354</v>
      </c>
    </row>
    <row r="53" spans="9:37">
      <c r="I53">
        <v>50</v>
      </c>
      <c r="J53" s="62" t="s">
        <v>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-1</v>
      </c>
      <c r="AF53">
        <v>1</v>
      </c>
      <c r="AI53" s="8">
        <f t="shared" si="0"/>
        <v>25</v>
      </c>
      <c r="AJ53" s="8">
        <f t="shared" si="1"/>
        <v>0</v>
      </c>
      <c r="AK53" s="8">
        <f t="shared" si="2"/>
        <v>0</v>
      </c>
    </row>
    <row r="54" spans="9:37">
      <c r="I54">
        <v>51</v>
      </c>
      <c r="J54" s="62" t="s">
        <v>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 t="e">
        <f>+#REF!</f>
        <v>#REF!</v>
      </c>
      <c r="AF54">
        <v>0</v>
      </c>
      <c r="AI54" s="8">
        <f t="shared" si="0"/>
        <v>26</v>
      </c>
      <c r="AJ54" s="8">
        <f t="shared" si="1"/>
        <v>0</v>
      </c>
      <c r="AK54" s="8">
        <f t="shared" si="2"/>
        <v>0</v>
      </c>
    </row>
    <row r="55" spans="9:37">
      <c r="I55">
        <v>53</v>
      </c>
      <c r="J55" s="63" t="s">
        <v>95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>
        <v>1</v>
      </c>
      <c r="AC55">
        <v>0</v>
      </c>
      <c r="AD55">
        <v>-1</v>
      </c>
      <c r="AE55">
        <v>0</v>
      </c>
      <c r="AF55">
        <v>0</v>
      </c>
      <c r="AI55" s="8">
        <f t="shared" si="0"/>
        <v>27</v>
      </c>
      <c r="AJ55" s="8">
        <f t="shared" si="1"/>
        <v>0</v>
      </c>
      <c r="AK55" s="8">
        <f t="shared" si="2"/>
        <v>0</v>
      </c>
    </row>
    <row r="56" spans="9:37">
      <c r="I56">
        <v>54</v>
      </c>
      <c r="J56" s="62" t="s">
        <v>57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I56" s="8">
        <f t="shared" si="0"/>
        <v>28</v>
      </c>
      <c r="AJ56" s="8">
        <f t="shared" si="1"/>
        <v>5078.8022361132789</v>
      </c>
      <c r="AK56" s="8">
        <f t="shared" si="2"/>
        <v>2725.5036585099633</v>
      </c>
    </row>
    <row r="57" spans="9:37">
      <c r="I57">
        <v>55</v>
      </c>
      <c r="J57" s="54" t="s">
        <v>58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4" t="e">
        <f>+#REF!</f>
        <v>#REF!</v>
      </c>
      <c r="AE57">
        <v>0</v>
      </c>
      <c r="AF57">
        <v>0</v>
      </c>
      <c r="AI57" s="8">
        <f t="shared" si="0"/>
        <v>29</v>
      </c>
      <c r="AJ57" s="8">
        <f t="shared" si="1"/>
        <v>0</v>
      </c>
      <c r="AK57" s="8">
        <f t="shared" si="2"/>
        <v>0</v>
      </c>
    </row>
    <row r="58" spans="9:37">
      <c r="I58">
        <v>56</v>
      </c>
      <c r="J58" s="54" t="s">
        <v>59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I58" s="8">
        <f t="shared" si="0"/>
        <v>30</v>
      </c>
      <c r="AJ58" s="8">
        <f t="shared" si="1"/>
        <v>0</v>
      </c>
      <c r="AK58" s="8">
        <f t="shared" si="2"/>
        <v>0</v>
      </c>
    </row>
    <row r="59" spans="9:37" ht="16" thickBot="1">
      <c r="AI59" s="8">
        <f t="shared" si="0"/>
        <v>31</v>
      </c>
      <c r="AJ59" s="8">
        <f t="shared" si="1"/>
        <v>0</v>
      </c>
      <c r="AK59" s="8">
        <f t="shared" si="2"/>
        <v>0</v>
      </c>
    </row>
    <row r="60" spans="9:37" ht="18.5" customHeight="1">
      <c r="K60" s="335" t="s">
        <v>62</v>
      </c>
      <c r="L60" s="336"/>
      <c r="N60" s="337" t="s">
        <v>63</v>
      </c>
      <c r="O60" s="338"/>
      <c r="P60" s="339"/>
      <c r="R60" s="342" t="s">
        <v>65</v>
      </c>
      <c r="S60" s="343"/>
      <c r="T60" s="29" t="s">
        <v>87</v>
      </c>
      <c r="V60" s="27" t="s">
        <v>88</v>
      </c>
      <c r="X60" s="23"/>
      <c r="AD60" s="344" t="s">
        <v>112</v>
      </c>
      <c r="AE60" s="344"/>
      <c r="AG60" s="8"/>
      <c r="AH60" s="8"/>
      <c r="AI60" s="8">
        <f>+I93</f>
        <v>32</v>
      </c>
      <c r="AJ60" s="8">
        <f>+N93</f>
        <v>0</v>
      </c>
      <c r="AK60" s="8">
        <f>+P93</f>
        <v>0</v>
      </c>
    </row>
    <row r="61" spans="9:37" ht="16" thickBot="1">
      <c r="K61" s="49" t="s">
        <v>60</v>
      </c>
      <c r="L61" s="49" t="s">
        <v>3</v>
      </c>
      <c r="N61" s="13" t="s">
        <v>60</v>
      </c>
      <c r="O61" s="14" t="s">
        <v>3</v>
      </c>
      <c r="P61" s="15" t="s">
        <v>64</v>
      </c>
      <c r="R61" s="16" t="s">
        <v>60</v>
      </c>
      <c r="S61" s="16" t="s">
        <v>61</v>
      </c>
      <c r="T61" s="28" t="e">
        <f>+MAX(T62:T113)</f>
        <v>#REF!</v>
      </c>
      <c r="V61" s="28" t="e">
        <f>+MAX(V62:V113)</f>
        <v>#REF!</v>
      </c>
      <c r="X61" s="23"/>
      <c r="AC61" s="68" t="s">
        <v>0</v>
      </c>
      <c r="AD61" s="69" t="e" cm="1">
        <f t="array" ref="AD61">+MMULT(AJ4:CL25,AJ29:AK83)</f>
        <v>#REF!</v>
      </c>
      <c r="AE61" s="22"/>
      <c r="AG61" s="8"/>
      <c r="AH61" s="8"/>
      <c r="AI61" s="8">
        <f t="shared" ref="AI61:AI68" si="3">+I94</f>
        <v>33</v>
      </c>
      <c r="AJ61" s="8">
        <f t="shared" ref="AJ61:AJ68" si="4">+N94</f>
        <v>0</v>
      </c>
      <c r="AK61" s="8">
        <f t="shared" ref="AK61:AK68" si="5">+P94</f>
        <v>0</v>
      </c>
    </row>
    <row r="62" spans="9:37" ht="16">
      <c r="I62">
        <f>+I4</f>
        <v>1</v>
      </c>
      <c r="J62" s="57" t="str">
        <f>+J4</f>
        <v>De Prec Los Colorados Nodo Alim Planta de Pellet</v>
      </c>
      <c r="K62" s="34">
        <f>+Utilidad!M63</f>
        <v>409746.30499999999</v>
      </c>
      <c r="L62" s="35">
        <f>+Utilidad!N63</f>
        <v>0.61025025525999999</v>
      </c>
      <c r="N62" s="43">
        <v>345274.75482351059</v>
      </c>
      <c r="O62" s="44">
        <v>0.60279510039560236</v>
      </c>
      <c r="P62" s="36">
        <f>+N62*O62</f>
        <v>208129.93049790506</v>
      </c>
      <c r="R62" s="21">
        <f>+IF(K62&lt;&gt;0,(N62-K62)/K62,0)</f>
        <v>-0.1573450434812082</v>
      </c>
      <c r="S62" s="21">
        <f>+IF(L62&lt;&gt;0,(O62-L62)/L62,0)</f>
        <v>-1.2216553455141653E-2</v>
      </c>
      <c r="T62" s="178">
        <f t="shared" ref="T62" si="6">+IF(R62&lt;&gt;"",ABS(R62),"")</f>
        <v>0.1573450434812082</v>
      </c>
      <c r="U62" s="179">
        <v>0</v>
      </c>
      <c r="V62" s="178">
        <f t="shared" ref="V62:V93" si="7">+IF(S62&lt;&gt;"",ABS(S62),"")</f>
        <v>1.2216553455141653E-2</v>
      </c>
      <c r="W62" s="179">
        <v>0</v>
      </c>
      <c r="X62" s="23"/>
      <c r="AC62" s="19" t="s">
        <v>51</v>
      </c>
      <c r="AD62" s="69"/>
      <c r="AE62" s="22"/>
      <c r="AG62" s="8"/>
      <c r="AH62" s="8"/>
      <c r="AI62" s="8">
        <f t="shared" si="3"/>
        <v>34</v>
      </c>
      <c r="AJ62" s="8">
        <f t="shared" si="4"/>
        <v>3195.7516477166728</v>
      </c>
      <c r="AK62" s="8">
        <f t="shared" si="5"/>
        <v>1237.8897682634863</v>
      </c>
    </row>
    <row r="63" spans="9:37" ht="16">
      <c r="I63">
        <f>+I5</f>
        <v>2</v>
      </c>
      <c r="J63" s="59" t="str">
        <f t="shared" ref="J63:J116" si="8">+J5</f>
        <v>Preconc Los Colorados a Stock Sinter Feed</v>
      </c>
      <c r="K63" s="43" t="e">
        <f>+#REF!</f>
        <v>#REF!</v>
      </c>
      <c r="L63" s="44" t="e">
        <f>+#REF!</f>
        <v>#REF!</v>
      </c>
      <c r="M63" s="8" t="e">
        <f>+K108+D109</f>
        <v>#REF!</v>
      </c>
      <c r="N63" s="36">
        <v>85251.460056063574</v>
      </c>
      <c r="O63" s="37">
        <v>0.66343206022614021</v>
      </c>
      <c r="P63" s="36">
        <f>+N63*O63</f>
        <v>56558.551782280752</v>
      </c>
      <c r="Q63" s="8"/>
      <c r="R63" s="21" t="e">
        <f>+IF(K63&lt;&gt;0,(N63-K63)/K63,0)</f>
        <v>#REF!</v>
      </c>
      <c r="S63" s="21" t="e">
        <f t="shared" ref="S63:S116" si="9">+IF(L63&lt;&gt;0,(O63-L63)/L63,0)</f>
        <v>#REF!</v>
      </c>
      <c r="T63" s="178" t="e">
        <f>+IF(R63&lt;&gt;"",ABS(R63),"")</f>
        <v>#REF!</v>
      </c>
      <c r="U63" s="179">
        <v>0</v>
      </c>
      <c r="V63" s="178" t="e">
        <f t="shared" si="7"/>
        <v>#REF!</v>
      </c>
      <c r="W63" s="179"/>
      <c r="X63" s="23"/>
      <c r="AC63" s="19" t="s">
        <v>1</v>
      </c>
      <c r="AD63" s="69"/>
      <c r="AE63" s="22"/>
      <c r="AG63" s="8"/>
      <c r="AH63" s="8"/>
      <c r="AI63" s="8">
        <f t="shared" si="3"/>
        <v>35</v>
      </c>
      <c r="AJ63" s="8">
        <f t="shared" si="4"/>
        <v>3195.7516477166732</v>
      </c>
      <c r="AK63" s="8">
        <f t="shared" si="5"/>
        <v>1237.8897682634863</v>
      </c>
    </row>
    <row r="64" spans="9:37" ht="17" thickBot="1">
      <c r="I64">
        <f t="shared" ref="I64:I100" si="10">+I6</f>
        <v>3</v>
      </c>
      <c r="J64" s="60" t="str">
        <f t="shared" si="8"/>
        <v>Prec los Colorados a Stock Prec Planta Pellet</v>
      </c>
      <c r="K64" s="43" t="e">
        <f>+#REF!</f>
        <v>#REF!</v>
      </c>
      <c r="L64" s="44" t="e">
        <f>+#REF!</f>
        <v>#REF!</v>
      </c>
      <c r="M64" s="33"/>
      <c r="N64" s="36">
        <v>260023.2947674451</v>
      </c>
      <c r="O64" s="37">
        <v>0.58291461482782048</v>
      </c>
      <c r="P64" s="36">
        <f t="shared" ref="P64:P116" si="11">+N64*O64</f>
        <v>151571.37871562608</v>
      </c>
      <c r="R64" s="21" t="e">
        <f t="shared" ref="R64:R116" si="12">+IF(K64&lt;&gt;0,(N64-K64)/K64,0)</f>
        <v>#REF!</v>
      </c>
      <c r="S64" s="21" t="e">
        <f t="shared" si="9"/>
        <v>#REF!</v>
      </c>
      <c r="T64" s="178" t="e">
        <f t="shared" ref="T64:T112" si="13">+IF(R64&lt;&gt;"",ABS(R64),"")</f>
        <v>#REF!</v>
      </c>
      <c r="U64" s="179"/>
      <c r="V64" s="178" t="e">
        <f t="shared" si="7"/>
        <v>#REF!</v>
      </c>
      <c r="W64" s="179"/>
      <c r="X64" s="23"/>
      <c r="AC64" s="19" t="s">
        <v>16</v>
      </c>
      <c r="AD64" s="69"/>
      <c r="AE64" s="22"/>
      <c r="AG64" s="8"/>
      <c r="AH64" s="8"/>
      <c r="AI64" s="8">
        <f t="shared" si="3"/>
        <v>36</v>
      </c>
      <c r="AJ64" s="8">
        <f t="shared" si="4"/>
        <v>0</v>
      </c>
      <c r="AK64" s="8">
        <f t="shared" si="5"/>
        <v>0</v>
      </c>
    </row>
    <row r="65" spans="3:37" ht="16">
      <c r="I65">
        <f t="shared" si="10"/>
        <v>4</v>
      </c>
      <c r="J65" s="54" t="str">
        <f t="shared" si="8"/>
        <v>Re-Harneo a Stock Prec Planta Pellet</v>
      </c>
      <c r="K65" s="52" t="e">
        <f>+#REF!</f>
        <v>#REF!</v>
      </c>
      <c r="L65" s="53" t="e">
        <f>+IF(K65&lt;&gt;0,#REF!,0)</f>
        <v>#REF!</v>
      </c>
      <c r="M65" s="33"/>
      <c r="N65" s="36">
        <v>0</v>
      </c>
      <c r="O65" s="37">
        <v>0</v>
      </c>
      <c r="P65" s="36">
        <f t="shared" si="11"/>
        <v>0</v>
      </c>
      <c r="R65" s="21" t="e">
        <f t="shared" si="12"/>
        <v>#REF!</v>
      </c>
      <c r="S65" s="21" t="e">
        <f t="shared" si="9"/>
        <v>#REF!</v>
      </c>
      <c r="T65" s="178" t="e">
        <f t="shared" si="13"/>
        <v>#REF!</v>
      </c>
      <c r="U65" s="179"/>
      <c r="V65" s="178" t="e">
        <f t="shared" si="7"/>
        <v>#REF!</v>
      </c>
      <c r="W65" s="179"/>
      <c r="X65" s="23"/>
      <c r="AC65" s="19" t="s">
        <v>98</v>
      </c>
      <c r="AD65" s="69"/>
      <c r="AE65" s="22"/>
      <c r="AG65" s="8"/>
      <c r="AH65" s="8"/>
      <c r="AI65" s="8">
        <f t="shared" si="3"/>
        <v>37</v>
      </c>
      <c r="AJ65" s="8">
        <f t="shared" si="4"/>
        <v>16413.626700000001</v>
      </c>
      <c r="AK65" s="8">
        <f t="shared" si="5"/>
        <v>10918.303862390967</v>
      </c>
    </row>
    <row r="66" spans="3:37" ht="17" thickBot="1">
      <c r="D66" s="8" t="e">
        <f>+#REF!</f>
        <v>#REF!</v>
      </c>
      <c r="E66" s="8" t="e">
        <f>+#REF!</f>
        <v>#REF!</v>
      </c>
      <c r="F66" s="12" t="e">
        <f>+#REF!</f>
        <v>#REF!</v>
      </c>
      <c r="G66" t="e">
        <f>+#REF!</f>
        <v>#REF!</v>
      </c>
      <c r="H66" t="e">
        <f>+IF(D66&gt;0,1,IF(D66&lt;&gt;0,-1,0))</f>
        <v>#REF!</v>
      </c>
      <c r="I66">
        <f t="shared" si="10"/>
        <v>5</v>
      </c>
      <c r="J66" s="71" t="str">
        <f t="shared" si="8"/>
        <v>Delta Stock  Prec Planta Pellet</v>
      </c>
      <c r="K66" s="52" t="e">
        <f>+E66</f>
        <v>#REF!</v>
      </c>
      <c r="L66" s="53" t="e">
        <f>+F66</f>
        <v>#REF!</v>
      </c>
      <c r="M66" s="4"/>
      <c r="N66" s="36">
        <v>15949.779301264325</v>
      </c>
      <c r="O66" s="37">
        <v>0.60508268458146508</v>
      </c>
      <c r="P66" s="36">
        <f t="shared" si="11"/>
        <v>9650.935278090903</v>
      </c>
      <c r="R66" s="21" t="e">
        <f t="shared" si="12"/>
        <v>#REF!</v>
      </c>
      <c r="S66" s="21" t="e">
        <f t="shared" si="9"/>
        <v>#REF!</v>
      </c>
      <c r="T66" s="181" t="e">
        <f t="shared" si="13"/>
        <v>#REF!</v>
      </c>
      <c r="U66" s="179"/>
      <c r="V66" s="178" t="e">
        <f t="shared" si="7"/>
        <v>#REF!</v>
      </c>
      <c r="W66" s="179"/>
      <c r="X66" s="23"/>
      <c r="AC66" s="19" t="s">
        <v>17</v>
      </c>
      <c r="AD66" s="69"/>
      <c r="AE66" s="22"/>
      <c r="AG66" s="8"/>
      <c r="AH66" s="8"/>
      <c r="AI66" s="8">
        <f t="shared" si="3"/>
        <v>38</v>
      </c>
      <c r="AJ66" s="8">
        <f t="shared" si="4"/>
        <v>3195.760747440002</v>
      </c>
      <c r="AK66" s="8">
        <f t="shared" si="5"/>
        <v>1237.8949657514427</v>
      </c>
    </row>
    <row r="67" spans="3:37" ht="16">
      <c r="I67">
        <f t="shared" si="10"/>
        <v>6</v>
      </c>
      <c r="J67" s="57" t="str">
        <f t="shared" si="8"/>
        <v>Alim Silos Molienda</v>
      </c>
      <c r="K67" s="52" t="e">
        <f>+#REF!</f>
        <v>#REF!</v>
      </c>
      <c r="L67" s="53" t="e">
        <f>+#REF!</f>
        <v>#REF!</v>
      </c>
      <c r="M67" s="33"/>
      <c r="N67" s="36">
        <v>244073.51546618354</v>
      </c>
      <c r="O67" s="37">
        <v>0.58146597006423395</v>
      </c>
      <c r="P67" s="36">
        <f t="shared" si="11"/>
        <v>141920.44343753223</v>
      </c>
      <c r="R67" s="21" t="e">
        <f t="shared" si="12"/>
        <v>#REF!</v>
      </c>
      <c r="S67" s="21" t="e">
        <f t="shared" si="9"/>
        <v>#REF!</v>
      </c>
      <c r="T67" s="178" t="e">
        <f t="shared" si="13"/>
        <v>#REF!</v>
      </c>
      <c r="U67" s="179"/>
      <c r="V67" s="178" t="e">
        <f t="shared" si="7"/>
        <v>#REF!</v>
      </c>
      <c r="W67" s="179"/>
      <c r="X67" s="23"/>
      <c r="AC67" s="19" t="s">
        <v>78</v>
      </c>
      <c r="AD67" s="69"/>
      <c r="AE67" s="22"/>
      <c r="AG67" s="8"/>
      <c r="AH67" s="8"/>
      <c r="AI67" s="8">
        <f t="shared" si="3"/>
        <v>39</v>
      </c>
      <c r="AJ67" s="8">
        <f t="shared" si="4"/>
        <v>20519.338024560107</v>
      </c>
      <c r="AK67" s="8">
        <f t="shared" si="5"/>
        <v>14240.94953700461</v>
      </c>
    </row>
    <row r="68" spans="3:37" ht="17" thickBot="1">
      <c r="C68" s="8"/>
      <c r="D68" s="8" t="e">
        <f>+#REF!</f>
        <v>#REF!</v>
      </c>
      <c r="E68" s="8" t="e">
        <f>+#REF!</f>
        <v>#REF!</v>
      </c>
      <c r="F68" s="12" t="e">
        <f>+#REF!</f>
        <v>#REF!</v>
      </c>
      <c r="G68" t="e">
        <f>+#REF!</f>
        <v>#REF!</v>
      </c>
      <c r="H68" t="e">
        <f>+IF(D68&gt;0,1,IF(D68&lt;&gt;0,-1,0))</f>
        <v>#REF!</v>
      </c>
      <c r="I68">
        <f t="shared" si="10"/>
        <v>7</v>
      </c>
      <c r="J68" s="60" t="str">
        <f t="shared" si="8"/>
        <v>Delta Stock Silos Molienda</v>
      </c>
      <c r="K68" s="52" t="e">
        <f>+E68</f>
        <v>#REF!</v>
      </c>
      <c r="L68" s="53" t="e">
        <f>+F68</f>
        <v>#REF!</v>
      </c>
      <c r="M68" s="33"/>
      <c r="N68" s="36">
        <v>278.09260285314838</v>
      </c>
      <c r="O68" s="37">
        <v>0.6016282354185678</v>
      </c>
      <c r="P68" s="36">
        <f t="shared" si="11"/>
        <v>167.30836193749624</v>
      </c>
      <c r="R68" s="21" t="e">
        <f t="shared" si="12"/>
        <v>#REF!</v>
      </c>
      <c r="S68" s="21" t="e">
        <f t="shared" si="9"/>
        <v>#REF!</v>
      </c>
      <c r="T68" s="178" t="e">
        <f t="shared" si="13"/>
        <v>#REF!</v>
      </c>
      <c r="U68" s="179">
        <v>0.02</v>
      </c>
      <c r="V68" s="178" t="e">
        <f t="shared" si="7"/>
        <v>#REF!</v>
      </c>
      <c r="W68" s="179"/>
      <c r="X68" s="23"/>
      <c r="AC68" s="19" t="s">
        <v>18</v>
      </c>
      <c r="AD68" s="69"/>
      <c r="AE68" s="22"/>
      <c r="AG68" s="8"/>
      <c r="AH68" s="8"/>
      <c r="AI68" s="8">
        <f t="shared" si="3"/>
        <v>40</v>
      </c>
      <c r="AJ68" s="8">
        <f t="shared" si="4"/>
        <v>23715.098772000001</v>
      </c>
      <c r="AK68" s="8">
        <f t="shared" si="5"/>
        <v>15478.8449684844</v>
      </c>
    </row>
    <row r="69" spans="3:37" ht="16">
      <c r="D69" s="9"/>
      <c r="E69" s="9"/>
      <c r="F69" s="10"/>
      <c r="G69" s="10"/>
      <c r="H69" s="11"/>
      <c r="I69">
        <f t="shared" si="10"/>
        <v>8</v>
      </c>
      <c r="J69" s="54" t="str">
        <f t="shared" si="8"/>
        <v>Aliment Molienda Clasificación</v>
      </c>
      <c r="K69" s="46" t="e">
        <f>+K67-D68</f>
        <v>#REF!</v>
      </c>
      <c r="L69" s="47" t="e">
        <f>+IF(K69&lt;&gt;0,(K67*L67-D68*L68)/K69,0)</f>
        <v>#REF!</v>
      </c>
      <c r="M69" s="33"/>
      <c r="N69" s="36">
        <v>244351.60806903665</v>
      </c>
      <c r="O69" s="37">
        <v>0.58148891641149181</v>
      </c>
      <c r="P69" s="36">
        <f t="shared" si="11"/>
        <v>142087.75179946967</v>
      </c>
      <c r="R69" s="21" t="e">
        <f t="shared" si="12"/>
        <v>#REF!</v>
      </c>
      <c r="S69" s="21" t="e">
        <f t="shared" si="9"/>
        <v>#REF!</v>
      </c>
      <c r="T69" s="178" t="e">
        <f t="shared" si="13"/>
        <v>#REF!</v>
      </c>
      <c r="U69" s="179"/>
      <c r="V69" s="178" t="e">
        <f t="shared" si="7"/>
        <v>#REF!</v>
      </c>
      <c r="W69" s="179"/>
      <c r="X69" s="23"/>
      <c r="AC69" s="19" t="s">
        <v>14</v>
      </c>
      <c r="AD69" s="69"/>
      <c r="AE69" s="22"/>
      <c r="AG69" s="8"/>
      <c r="AH69" s="8"/>
      <c r="AI69" s="8">
        <f>+I102</f>
        <v>41</v>
      </c>
      <c r="AJ69" s="8">
        <f>+N102</f>
        <v>16413.626700000001</v>
      </c>
      <c r="AK69" s="8">
        <f>+P102</f>
        <v>10918.303862390967</v>
      </c>
    </row>
    <row r="70" spans="3:37" ht="16">
      <c r="I70">
        <f t="shared" si="10"/>
        <v>9</v>
      </c>
      <c r="J70" s="54" t="str">
        <f t="shared" si="8"/>
        <v>De Molienda/clasificación a Stock Derrames</v>
      </c>
      <c r="K70" s="52" t="e">
        <f>+#REF!</f>
        <v>#REF!</v>
      </c>
      <c r="L70" s="53" t="e">
        <f>+IF(K70&lt;&gt;0,#REF!,0)</f>
        <v>#REF!</v>
      </c>
      <c r="M70" s="33"/>
      <c r="N70" s="38">
        <v>1385.9477638867227</v>
      </c>
      <c r="O70" s="39">
        <v>0.5890817124579405</v>
      </c>
      <c r="P70" s="36">
        <f t="shared" si="11"/>
        <v>816.43648212764401</v>
      </c>
      <c r="R70" s="21" t="e">
        <f t="shared" si="12"/>
        <v>#REF!</v>
      </c>
      <c r="S70" s="21" t="e">
        <f t="shared" si="9"/>
        <v>#REF!</v>
      </c>
      <c r="T70" s="181" t="e">
        <f t="shared" si="13"/>
        <v>#REF!</v>
      </c>
      <c r="U70" s="182">
        <v>0.1</v>
      </c>
      <c r="V70" s="178" t="e">
        <f t="shared" si="7"/>
        <v>#REF!</v>
      </c>
      <c r="W70" s="179"/>
      <c r="X70" s="23"/>
      <c r="AC70" s="19" t="s">
        <v>19</v>
      </c>
      <c r="AD70" s="69"/>
      <c r="AE70" s="22"/>
      <c r="AG70" s="8"/>
      <c r="AH70" s="8"/>
      <c r="AI70" s="8">
        <f t="shared" ref="AI70:AI78" si="14">+I103</f>
        <v>42</v>
      </c>
      <c r="AJ70" s="8">
        <f t="shared" ref="AJ70:AJ78" si="15">+N103</f>
        <v>6464.75</v>
      </c>
      <c r="AK70" s="8">
        <f t="shared" ref="AK70:AK78" si="16">+P103</f>
        <v>3541.9401406376069</v>
      </c>
    </row>
    <row r="71" spans="3:37" ht="17" thickBot="1">
      <c r="I71">
        <f t="shared" si="10"/>
        <v>10</v>
      </c>
      <c r="J71" s="54" t="str">
        <f t="shared" si="8"/>
        <v>EMISARIO SUBMARINO</v>
      </c>
      <c r="K71" s="42" t="e">
        <f>+#REF!</f>
        <v>#REF!</v>
      </c>
      <c r="L71" s="48" t="e">
        <f>+#REF!</f>
        <v>#REF!</v>
      </c>
      <c r="M71" s="33"/>
      <c r="N71" s="36">
        <v>42525.989594903927</v>
      </c>
      <c r="O71" s="37">
        <v>9.7600000000000006E-2</v>
      </c>
      <c r="P71" s="36">
        <f t="shared" si="11"/>
        <v>4150.536584462624</v>
      </c>
      <c r="R71" s="21" t="e">
        <f t="shared" si="12"/>
        <v>#REF!</v>
      </c>
      <c r="S71" s="21" t="e">
        <f t="shared" si="9"/>
        <v>#REF!</v>
      </c>
      <c r="T71" s="178" t="e">
        <f t="shared" si="13"/>
        <v>#REF!</v>
      </c>
      <c r="U71" s="179">
        <v>0</v>
      </c>
      <c r="V71" s="178" t="e">
        <f t="shared" si="7"/>
        <v>#REF!</v>
      </c>
      <c r="W71" s="179">
        <v>0</v>
      </c>
      <c r="X71" s="23"/>
      <c r="AC71" s="19" t="s">
        <v>20</v>
      </c>
      <c r="AD71" s="69"/>
      <c r="AE71" s="22"/>
      <c r="AG71" s="8"/>
      <c r="AH71" s="8"/>
      <c r="AI71" s="8">
        <f t="shared" si="14"/>
        <v>43</v>
      </c>
      <c r="AJ71" s="8">
        <f t="shared" si="15"/>
        <v>0</v>
      </c>
      <c r="AK71" s="8">
        <f t="shared" si="16"/>
        <v>0</v>
      </c>
    </row>
    <row r="72" spans="3:37" ht="16">
      <c r="I72">
        <f t="shared" si="10"/>
        <v>11</v>
      </c>
      <c r="J72" s="57" t="str">
        <f t="shared" si="8"/>
        <v>Alimentación a TK  Inventarios</v>
      </c>
      <c r="K72" s="46" t="e">
        <f>+K69-K71-K70</f>
        <v>#REF!</v>
      </c>
      <c r="L72" s="47" t="e">
        <f>+IF(K72&lt;&gt;0,(K69*L69-K71*L71-K70*L70)/K72,0)</f>
        <v>#REF!</v>
      </c>
      <c r="M72" s="33"/>
      <c r="N72" s="36">
        <v>200439.67071024602</v>
      </c>
      <c r="O72" s="37">
        <v>0.68410000000000004</v>
      </c>
      <c r="P72" s="36">
        <f t="shared" si="11"/>
        <v>137120.77873287932</v>
      </c>
      <c r="Q72" s="12">
        <v>0.68410000000000004</v>
      </c>
      <c r="R72" s="21" t="e">
        <f t="shared" si="12"/>
        <v>#REF!</v>
      </c>
      <c r="S72" s="21" t="e">
        <f t="shared" si="9"/>
        <v>#REF!</v>
      </c>
      <c r="T72" s="178" t="e">
        <f t="shared" si="13"/>
        <v>#REF!</v>
      </c>
      <c r="U72" s="179"/>
      <c r="V72" s="178" t="e">
        <f t="shared" si="7"/>
        <v>#REF!</v>
      </c>
      <c r="W72" s="179"/>
      <c r="X72" s="23"/>
      <c r="AC72" s="19" t="s">
        <v>99</v>
      </c>
      <c r="AD72" s="69"/>
      <c r="AE72" s="22"/>
      <c r="AG72" s="8"/>
      <c r="AH72" s="8"/>
      <c r="AI72" s="8">
        <f t="shared" si="14"/>
        <v>44</v>
      </c>
      <c r="AJ72" s="8">
        <f t="shared" si="15"/>
        <v>0</v>
      </c>
      <c r="AK72" s="8">
        <f t="shared" si="16"/>
        <v>0</v>
      </c>
    </row>
    <row r="73" spans="3:37" ht="16">
      <c r="D73" s="8" t="e">
        <f>+#REF!</f>
        <v>#REF!</v>
      </c>
      <c r="E73" s="8" t="e">
        <f>+#REF!</f>
        <v>#REF!</v>
      </c>
      <c r="F73" s="12" t="e">
        <f>+#REF!</f>
        <v>#REF!</v>
      </c>
      <c r="G73" t="e">
        <f>+#REF!</f>
        <v>#REF!</v>
      </c>
      <c r="H73" t="e">
        <f>+IF(D73&gt;0,1,IF(D73&lt;&gt;0,-1,0))</f>
        <v>#REF!</v>
      </c>
      <c r="I73">
        <f t="shared" si="10"/>
        <v>12</v>
      </c>
      <c r="J73" s="72" t="str">
        <f t="shared" si="8"/>
        <v>Delta TK inventarios</v>
      </c>
      <c r="K73" s="52" t="e">
        <f>+E73</f>
        <v>#REF!</v>
      </c>
      <c r="L73" s="53" t="e">
        <f>+F73</f>
        <v>#REF!</v>
      </c>
      <c r="M73" s="4"/>
      <c r="N73" s="36">
        <v>2653.3423902459717</v>
      </c>
      <c r="O73" s="37">
        <v>0.68377065348909116</v>
      </c>
      <c r="P73" s="36">
        <f t="shared" si="11"/>
        <v>1814.2776601087953</v>
      </c>
      <c r="R73" s="21" t="e">
        <f t="shared" si="12"/>
        <v>#REF!</v>
      </c>
      <c r="S73" s="21" t="e">
        <f t="shared" si="9"/>
        <v>#REF!</v>
      </c>
      <c r="T73" s="178" t="e">
        <f t="shared" si="13"/>
        <v>#REF!</v>
      </c>
      <c r="U73" s="179">
        <v>0.05</v>
      </c>
      <c r="V73" s="178" t="e">
        <f t="shared" si="7"/>
        <v>#REF!</v>
      </c>
      <c r="W73" s="179"/>
      <c r="X73" s="23"/>
      <c r="AC73" s="19" t="s">
        <v>21</v>
      </c>
      <c r="AD73" s="69"/>
      <c r="AE73" s="22"/>
      <c r="AG73" s="8"/>
      <c r="AH73" s="8"/>
      <c r="AI73" s="8">
        <f t="shared" si="14"/>
        <v>45</v>
      </c>
      <c r="AJ73" s="8">
        <f t="shared" si="15"/>
        <v>6464.75</v>
      </c>
      <c r="AK73" s="8">
        <f t="shared" si="16"/>
        <v>3747.0698559385773</v>
      </c>
    </row>
    <row r="74" spans="3:37" ht="17" thickBot="1">
      <c r="I74">
        <f t="shared" si="10"/>
        <v>13</v>
      </c>
      <c r="J74" s="60" t="str">
        <f t="shared" si="8"/>
        <v>TK Inventario a Stock Derrames</v>
      </c>
      <c r="K74" s="52" t="e">
        <f>+#REF!</f>
        <v>#REF!</v>
      </c>
      <c r="L74" s="53" t="e">
        <f>+IF(K74&lt;&gt;0,#REF!,0)</f>
        <v>#REF!</v>
      </c>
      <c r="M74" s="33"/>
      <c r="N74" s="36">
        <v>0</v>
      </c>
      <c r="O74" s="37">
        <v>0</v>
      </c>
      <c r="P74" s="36">
        <f t="shared" si="11"/>
        <v>0</v>
      </c>
      <c r="R74" s="21" t="e">
        <f t="shared" si="12"/>
        <v>#REF!</v>
      </c>
      <c r="S74" s="21" t="e">
        <f t="shared" si="9"/>
        <v>#REF!</v>
      </c>
      <c r="T74" s="178" t="e">
        <f t="shared" si="13"/>
        <v>#REF!</v>
      </c>
      <c r="U74" s="179"/>
      <c r="V74" s="178" t="e">
        <f t="shared" si="7"/>
        <v>#REF!</v>
      </c>
      <c r="W74" s="179"/>
      <c r="X74" s="23"/>
      <c r="AC74" s="19" t="s">
        <v>22</v>
      </c>
      <c r="AD74" s="69"/>
      <c r="AE74" s="22"/>
      <c r="AG74" s="8"/>
      <c r="AH74" s="8"/>
      <c r="AI74" s="8">
        <f t="shared" si="14"/>
        <v>46</v>
      </c>
      <c r="AJ74" s="8">
        <f t="shared" si="15"/>
        <v>16413.626700000001</v>
      </c>
      <c r="AK74" s="8">
        <f t="shared" si="16"/>
        <v>10713.17414709</v>
      </c>
    </row>
    <row r="75" spans="3:37" ht="16">
      <c r="E75" s="8"/>
      <c r="F75" s="8"/>
      <c r="G75" s="8"/>
      <c r="I75">
        <f t="shared" si="10"/>
        <v>14</v>
      </c>
      <c r="J75" s="57" t="str">
        <f t="shared" si="8"/>
        <v>Alimentación Filtrado</v>
      </c>
      <c r="K75" s="50" t="e">
        <f>+K72-D73-K74</f>
        <v>#REF!</v>
      </c>
      <c r="L75" s="51" t="e">
        <f>+IF(K75&lt;&gt;0,(K72*L72-D73*L73-K74*L74)/K75,0)</f>
        <v>#REF!</v>
      </c>
      <c r="M75" s="33"/>
      <c r="N75" s="36">
        <v>197786.32832</v>
      </c>
      <c r="O75" s="37">
        <v>0.68410441824804546</v>
      </c>
      <c r="P75" s="36">
        <f t="shared" si="11"/>
        <v>135306.50107277051</v>
      </c>
      <c r="R75" s="21" t="e">
        <f t="shared" si="12"/>
        <v>#REF!</v>
      </c>
      <c r="S75" s="21" t="e">
        <f t="shared" si="9"/>
        <v>#REF!</v>
      </c>
      <c r="T75" s="178" t="e">
        <f t="shared" si="13"/>
        <v>#REF!</v>
      </c>
      <c r="U75" s="179"/>
      <c r="V75" s="178" t="e">
        <f t="shared" si="7"/>
        <v>#REF!</v>
      </c>
      <c r="W75" s="179"/>
      <c r="X75" s="23"/>
      <c r="AC75" s="19" t="s">
        <v>100</v>
      </c>
      <c r="AD75" s="69"/>
      <c r="AE75" s="22"/>
      <c r="AG75" s="8"/>
      <c r="AH75" s="8"/>
      <c r="AI75" s="8">
        <f t="shared" si="14"/>
        <v>47</v>
      </c>
      <c r="AJ75" s="8">
        <f t="shared" si="15"/>
        <v>11958.32450370259</v>
      </c>
      <c r="AK75" s="8">
        <f t="shared" si="16"/>
        <v>7254.0277071157498</v>
      </c>
    </row>
    <row r="76" spans="3:37" ht="16">
      <c r="I76">
        <f t="shared" si="10"/>
        <v>15</v>
      </c>
      <c r="J76" s="59" t="str">
        <f t="shared" si="8"/>
        <v xml:space="preserve">Alim Nodo Productos Filtrados  </v>
      </c>
      <c r="K76" s="52" t="e">
        <f>+K83+K79</f>
        <v>#REF!</v>
      </c>
      <c r="L76" s="53" t="e">
        <f>+L75</f>
        <v>#REF!</v>
      </c>
      <c r="M76" s="31"/>
      <c r="N76" s="36">
        <v>197786.32831999997</v>
      </c>
      <c r="O76" s="37">
        <v>0.68410441824804546</v>
      </c>
      <c r="P76" s="36">
        <f t="shared" si="11"/>
        <v>135306.50107277051</v>
      </c>
      <c r="R76" s="21" t="e">
        <f t="shared" si="12"/>
        <v>#REF!</v>
      </c>
      <c r="S76" s="21" t="e">
        <f t="shared" si="9"/>
        <v>#REF!</v>
      </c>
      <c r="T76" s="178" t="e">
        <f t="shared" si="13"/>
        <v>#REF!</v>
      </c>
      <c r="U76" s="179">
        <v>0.02</v>
      </c>
      <c r="V76" s="178" t="e">
        <f t="shared" si="7"/>
        <v>#REF!</v>
      </c>
      <c r="W76" s="179"/>
      <c r="X76" s="23"/>
      <c r="AC76" s="19" t="s">
        <v>101</v>
      </c>
      <c r="AD76" s="69"/>
      <c r="AE76" s="22"/>
      <c r="AG76" s="8"/>
      <c r="AH76" s="8"/>
      <c r="AI76" s="8">
        <f t="shared" si="14"/>
        <v>48</v>
      </c>
      <c r="AJ76" s="8">
        <f t="shared" si="15"/>
        <v>0</v>
      </c>
      <c r="AK76" s="8">
        <f t="shared" si="16"/>
        <v>0</v>
      </c>
    </row>
    <row r="77" spans="3:37" ht="16">
      <c r="D77" s="8"/>
      <c r="I77">
        <f t="shared" si="10"/>
        <v>16</v>
      </c>
      <c r="J77" s="59" t="str">
        <f t="shared" si="8"/>
        <v>De filtros a Balling</v>
      </c>
      <c r="K77" s="50" t="e">
        <f>+K75-K76-K78</f>
        <v>#REF!</v>
      </c>
      <c r="L77" s="51" t="e">
        <f>+L75</f>
        <v>#REF!</v>
      </c>
      <c r="M77" s="33"/>
      <c r="N77" s="180">
        <v>0</v>
      </c>
      <c r="O77" s="37">
        <v>0.70440434643450389</v>
      </c>
      <c r="P77" s="36">
        <f t="shared" si="11"/>
        <v>0</v>
      </c>
      <c r="R77" s="21" t="e">
        <f t="shared" si="12"/>
        <v>#REF!</v>
      </c>
      <c r="S77" s="21" t="e">
        <f t="shared" si="9"/>
        <v>#REF!</v>
      </c>
      <c r="T77" s="178" t="e">
        <f t="shared" si="13"/>
        <v>#REF!</v>
      </c>
      <c r="U77" s="179"/>
      <c r="V77" s="178" t="e">
        <f t="shared" si="7"/>
        <v>#REF!</v>
      </c>
      <c r="W77" s="179"/>
      <c r="X77" s="23"/>
      <c r="AC77" s="19" t="s">
        <v>23</v>
      </c>
      <c r="AD77" s="69"/>
      <c r="AE77" s="22"/>
      <c r="AG77" s="8"/>
      <c r="AH77" s="8"/>
      <c r="AI77" s="8">
        <f t="shared" si="14"/>
        <v>49</v>
      </c>
      <c r="AJ77" s="8">
        <f t="shared" si="15"/>
        <v>5493.5745037025899</v>
      </c>
      <c r="AK77" s="8">
        <f t="shared" si="16"/>
        <v>3506.9578511771706</v>
      </c>
    </row>
    <row r="78" spans="3:37" ht="17" thickBot="1">
      <c r="I78">
        <f t="shared" si="10"/>
        <v>17</v>
      </c>
      <c r="J78" s="60" t="str">
        <f t="shared" si="8"/>
        <v>Filtrado a Stock Derrames</v>
      </c>
      <c r="K78" s="52" t="e">
        <f>+#REF!</f>
        <v>#REF!</v>
      </c>
      <c r="L78" s="53" t="e">
        <f>+IF(K78&lt;&gt;0,#REF!,0)</f>
        <v>#REF!</v>
      </c>
      <c r="M78" s="33"/>
      <c r="N78" s="36">
        <v>0</v>
      </c>
      <c r="O78" s="37">
        <v>0</v>
      </c>
      <c r="P78" s="36">
        <f t="shared" si="11"/>
        <v>0</v>
      </c>
      <c r="R78" s="21" t="e">
        <f t="shared" si="12"/>
        <v>#REF!</v>
      </c>
      <c r="S78" s="21" t="e">
        <f t="shared" si="9"/>
        <v>#REF!</v>
      </c>
      <c r="T78" s="178" t="e">
        <f t="shared" si="13"/>
        <v>#REF!</v>
      </c>
      <c r="U78" s="179"/>
      <c r="V78" s="178" t="e">
        <f t="shared" si="7"/>
        <v>#REF!</v>
      </c>
      <c r="W78" s="179"/>
      <c r="X78" s="23"/>
      <c r="AC78" s="19" t="s">
        <v>24</v>
      </c>
      <c r="AD78" s="69"/>
      <c r="AE78" s="22"/>
      <c r="AG78" s="8"/>
      <c r="AH78" s="8"/>
      <c r="AI78" s="8">
        <f t="shared" si="14"/>
        <v>50</v>
      </c>
      <c r="AJ78" s="8">
        <f t="shared" si="15"/>
        <v>20404.00145391325</v>
      </c>
      <c r="AK78" s="8">
        <f t="shared" si="16"/>
        <v>12926.404398480467</v>
      </c>
    </row>
    <row r="79" spans="3:37" ht="16">
      <c r="I79">
        <f t="shared" si="10"/>
        <v>18</v>
      </c>
      <c r="J79" s="54" t="str">
        <f t="shared" si="8"/>
        <v>Alim Pila Intermedia desde (de nodo post filtros)</v>
      </c>
      <c r="K79" s="52" t="e">
        <f>+K82+K81+D80</f>
        <v>#REF!</v>
      </c>
      <c r="L79" s="53" t="e">
        <f>+L76</f>
        <v>#REF!</v>
      </c>
      <c r="M79" s="33"/>
      <c r="N79" s="36">
        <v>8819.2490834081636</v>
      </c>
      <c r="O79" s="37">
        <v>0.69395126816193264</v>
      </c>
      <c r="P79" s="36">
        <f t="shared" si="11"/>
        <v>6120.1290856670576</v>
      </c>
      <c r="R79" s="21" t="e">
        <f t="shared" si="12"/>
        <v>#REF!</v>
      </c>
      <c r="S79" s="21" t="e">
        <f t="shared" si="9"/>
        <v>#REF!</v>
      </c>
      <c r="T79" s="178" t="e">
        <f t="shared" si="13"/>
        <v>#REF!</v>
      </c>
      <c r="U79" s="179"/>
      <c r="V79" s="178" t="e">
        <f t="shared" si="7"/>
        <v>#REF!</v>
      </c>
      <c r="W79" s="179"/>
      <c r="X79" s="23"/>
      <c r="AC79" s="19" t="s">
        <v>25</v>
      </c>
      <c r="AD79" s="69"/>
      <c r="AE79" s="22"/>
      <c r="AG79" s="8"/>
      <c r="AH79" s="8"/>
      <c r="AI79" s="8">
        <f>+I112</f>
        <v>51</v>
      </c>
      <c r="AJ79" s="8">
        <f>+N112</f>
        <v>76805.783105848823</v>
      </c>
      <c r="AK79" s="8">
        <f>+P112</f>
        <v>50886.175090916047</v>
      </c>
    </row>
    <row r="80" spans="3:37" ht="16">
      <c r="D80" s="8" t="e">
        <f>+#REF!</f>
        <v>#REF!</v>
      </c>
      <c r="E80" s="8" t="e">
        <f>+#REF!</f>
        <v>#REF!</v>
      </c>
      <c r="F80" s="12" t="e">
        <f>+#REF!</f>
        <v>#REF!</v>
      </c>
      <c r="G80" s="12" t="e">
        <f>+#REF!</f>
        <v>#REF!</v>
      </c>
      <c r="H80" t="e">
        <f>+IF(D80&gt;0,1,IF(D80&lt;&gt;0,-1,0))</f>
        <v>#REF!</v>
      </c>
      <c r="I80">
        <f t="shared" si="10"/>
        <v>19</v>
      </c>
      <c r="J80" s="71" t="str">
        <f t="shared" si="8"/>
        <v>Delta Stock Pila Intermedia</v>
      </c>
      <c r="K80" s="52" t="e">
        <f>+E80</f>
        <v>#REF!</v>
      </c>
      <c r="L80" s="53" t="e">
        <f>+F80</f>
        <v>#REF!</v>
      </c>
      <c r="M80" s="4"/>
      <c r="N80" s="36">
        <v>0</v>
      </c>
      <c r="O80" s="37">
        <v>0</v>
      </c>
      <c r="P80" s="36">
        <f t="shared" si="11"/>
        <v>0</v>
      </c>
      <c r="R80" s="21" t="e">
        <f t="shared" si="12"/>
        <v>#REF!</v>
      </c>
      <c r="S80" s="21" t="e">
        <f t="shared" si="9"/>
        <v>#REF!</v>
      </c>
      <c r="T80" s="178" t="e">
        <f t="shared" si="13"/>
        <v>#REF!</v>
      </c>
      <c r="U80" s="179">
        <v>0.03</v>
      </c>
      <c r="V80" s="178" t="e">
        <f t="shared" si="7"/>
        <v>#REF!</v>
      </c>
      <c r="W80" s="179"/>
      <c r="X80" s="23"/>
      <c r="AC80" s="19" t="s">
        <v>26</v>
      </c>
      <c r="AD80" s="69"/>
      <c r="AE80" s="22"/>
      <c r="AG80" s="8"/>
      <c r="AH80" s="8"/>
      <c r="AI80" s="8">
        <f t="shared" ref="AI80:AI82" si="17">+I113</f>
        <v>53</v>
      </c>
      <c r="AJ80" s="8">
        <f t="shared" ref="AJ80:AJ82" si="18">+N113</f>
        <v>0</v>
      </c>
      <c r="AK80" s="8">
        <f t="shared" ref="AK80:AK82" si="19">+P113</f>
        <v>0</v>
      </c>
    </row>
    <row r="81" spans="4:37" ht="16">
      <c r="I81">
        <f t="shared" si="10"/>
        <v>20</v>
      </c>
      <c r="J81" s="54" t="str">
        <f t="shared" si="8"/>
        <v>de Pila Intermedia a Balling</v>
      </c>
      <c r="K81" s="52" t="e">
        <f>+#REF!</f>
        <v>#REF!</v>
      </c>
      <c r="L81" s="53" t="e">
        <f>+IF(K81&lt;&gt;0,#REF!,0)</f>
        <v>#REF!</v>
      </c>
      <c r="M81" s="33"/>
      <c r="N81" s="180">
        <v>0</v>
      </c>
      <c r="O81" s="37">
        <v>0</v>
      </c>
      <c r="P81" s="36">
        <f t="shared" si="11"/>
        <v>0</v>
      </c>
      <c r="R81" s="21" t="e">
        <f t="shared" si="12"/>
        <v>#REF!</v>
      </c>
      <c r="S81" s="21" t="e">
        <f t="shared" si="9"/>
        <v>#REF!</v>
      </c>
      <c r="T81" s="178" t="e">
        <f t="shared" si="13"/>
        <v>#REF!</v>
      </c>
      <c r="U81" s="179">
        <v>0</v>
      </c>
      <c r="V81" s="178" t="e">
        <f t="shared" si="7"/>
        <v>#REF!</v>
      </c>
      <c r="W81" s="179"/>
      <c r="X81" s="23"/>
      <c r="AC81" s="19" t="s">
        <v>13</v>
      </c>
      <c r="AD81" s="69"/>
      <c r="AE81" s="22"/>
      <c r="AG81" s="8"/>
      <c r="AH81" s="8"/>
      <c r="AI81" s="8">
        <f t="shared" si="17"/>
        <v>54</v>
      </c>
      <c r="AJ81" s="8">
        <f t="shared" si="18"/>
        <v>0</v>
      </c>
      <c r="AK81" s="8">
        <f t="shared" si="19"/>
        <v>0</v>
      </c>
    </row>
    <row r="82" spans="4:37" ht="16">
      <c r="I82">
        <f t="shared" si="10"/>
        <v>21</v>
      </c>
      <c r="J82" s="54" t="str">
        <f t="shared" si="8"/>
        <v>de Pila Intermadia a Stok Pellet Feed</v>
      </c>
      <c r="K82" s="52" t="e">
        <f>+#REF!</f>
        <v>#REF!</v>
      </c>
      <c r="L82" s="53" t="e">
        <f>+#REF!</f>
        <v>#REF!</v>
      </c>
      <c r="M82" s="31"/>
      <c r="N82" s="36">
        <v>8819.2490834081636</v>
      </c>
      <c r="O82" s="37">
        <v>0.69395126816193264</v>
      </c>
      <c r="P82" s="36">
        <f t="shared" si="11"/>
        <v>6120.1290856670576</v>
      </c>
      <c r="R82" s="21" t="e">
        <f t="shared" si="12"/>
        <v>#REF!</v>
      </c>
      <c r="S82" s="21" t="e">
        <f t="shared" si="9"/>
        <v>#REF!</v>
      </c>
      <c r="T82" s="178" t="e">
        <f t="shared" si="13"/>
        <v>#REF!</v>
      </c>
      <c r="U82" s="179"/>
      <c r="V82" s="178" t="e">
        <f t="shared" si="7"/>
        <v>#REF!</v>
      </c>
      <c r="W82" s="179"/>
      <c r="X82" s="23"/>
      <c r="AC82" s="19" t="s">
        <v>27</v>
      </c>
      <c r="AD82" s="22"/>
      <c r="AE82" s="22"/>
      <c r="AG82" s="8"/>
      <c r="AH82" s="8"/>
      <c r="AI82" s="8">
        <f t="shared" si="17"/>
        <v>55</v>
      </c>
      <c r="AJ82" s="8">
        <f t="shared" si="18"/>
        <v>16413.626700000001</v>
      </c>
      <c r="AK82" s="8">
        <f t="shared" si="19"/>
        <v>10713.17414709</v>
      </c>
    </row>
    <row r="83" spans="4:37" ht="16">
      <c r="I83">
        <f t="shared" si="10"/>
        <v>22</v>
      </c>
      <c r="J83" s="54" t="str">
        <f t="shared" si="8"/>
        <v>a Stock Pellet Feed (de nodo post filtros)</v>
      </c>
      <c r="K83" s="52" t="e">
        <f>+#REF!</f>
        <v>#REF!</v>
      </c>
      <c r="L83" s="53" t="e">
        <f>+#REF!</f>
        <v>#REF!</v>
      </c>
      <c r="M83" s="31"/>
      <c r="N83" s="36">
        <v>188967.07923659179</v>
      </c>
      <c r="O83" s="37">
        <v>0.6836448576598817</v>
      </c>
      <c r="P83" s="36">
        <f t="shared" si="11"/>
        <v>129186.37198710338</v>
      </c>
      <c r="R83" s="21" t="e">
        <f t="shared" si="12"/>
        <v>#REF!</v>
      </c>
      <c r="S83" s="21" t="e">
        <f t="shared" si="9"/>
        <v>#REF!</v>
      </c>
      <c r="T83" s="178" t="e">
        <f t="shared" si="13"/>
        <v>#REF!</v>
      </c>
      <c r="U83" s="179"/>
      <c r="V83" s="178" t="e">
        <f t="shared" si="7"/>
        <v>#REF!</v>
      </c>
      <c r="W83" s="179"/>
      <c r="X83" s="23"/>
      <c r="AG83" s="8"/>
      <c r="AH83" s="8"/>
      <c r="AI83" s="8">
        <f>+I116</f>
        <v>56</v>
      </c>
      <c r="AJ83" s="8">
        <f>+N116</f>
        <v>346952.66262591328</v>
      </c>
      <c r="AK83" s="8">
        <f>+P116</f>
        <v>235751.3877632384</v>
      </c>
    </row>
    <row r="84" spans="4:37" ht="16">
      <c r="D84" s="8" t="e">
        <f>+#REF!</f>
        <v>#REF!</v>
      </c>
      <c r="E84" s="8" t="e">
        <f>+#REF!</f>
        <v>#REF!</v>
      </c>
      <c r="F84" s="12" t="e">
        <f>+#REF!</f>
        <v>#REF!</v>
      </c>
      <c r="G84" s="12" t="e">
        <f>+#REF!</f>
        <v>#REF!</v>
      </c>
      <c r="H84" t="e">
        <f>+IF(D84&gt;0,1,IF(D84&lt;&gt;0,-1,0))</f>
        <v>#REF!</v>
      </c>
      <c r="I84">
        <f t="shared" si="10"/>
        <v>23</v>
      </c>
      <c r="J84" s="71" t="str">
        <f t="shared" si="8"/>
        <v>Delta Stock Pellet Feed</v>
      </c>
      <c r="K84" s="52" t="e">
        <f>+E84</f>
        <v>#REF!</v>
      </c>
      <c r="L84" s="53" t="e">
        <f>+F84</f>
        <v>#REF!</v>
      </c>
      <c r="M84" s="4"/>
      <c r="N84" s="36">
        <v>105047.23408000008</v>
      </c>
      <c r="O84" s="37">
        <v>0.68578328553268064</v>
      </c>
      <c r="P84" s="36">
        <f t="shared" si="11"/>
        <v>72039.637323503033</v>
      </c>
      <c r="R84" s="21" t="e">
        <f t="shared" si="12"/>
        <v>#REF!</v>
      </c>
      <c r="S84" s="21" t="e">
        <f t="shared" si="9"/>
        <v>#REF!</v>
      </c>
      <c r="T84" s="178" t="e">
        <f t="shared" si="13"/>
        <v>#REF!</v>
      </c>
      <c r="U84" s="179"/>
      <c r="V84" s="178" t="e">
        <f t="shared" si="7"/>
        <v>#REF!</v>
      </c>
      <c r="W84" s="179"/>
      <c r="X84" s="23"/>
      <c r="AC84" s="19" t="s">
        <v>114</v>
      </c>
      <c r="AD84" t="e">
        <f ca="1">+SUM(_xlfn.ANCHORARRAY(AD61))</f>
        <v>#NAME?</v>
      </c>
      <c r="AG84" s="8"/>
      <c r="AH84" s="8"/>
    </row>
    <row r="85" spans="4:37" ht="16">
      <c r="I85">
        <f t="shared" si="10"/>
        <v>24</v>
      </c>
      <c r="J85" s="54" t="str">
        <f t="shared" si="8"/>
        <v>A embarque de Stock Pellet Feed</v>
      </c>
      <c r="K85" s="52" t="e">
        <f>+#REF!</f>
        <v>#REF!</v>
      </c>
      <c r="L85" s="53" t="e">
        <f>+IF(K85&lt;&gt;0,#REF!,0)</f>
        <v>#REF!</v>
      </c>
      <c r="M85" s="33"/>
      <c r="N85" s="40">
        <v>302833.56240000005</v>
      </c>
      <c r="O85" s="41">
        <v>0.68468678554987505</v>
      </c>
      <c r="P85" s="36">
        <f t="shared" si="11"/>
        <v>207346.13839627354</v>
      </c>
      <c r="R85" s="21" t="e">
        <f t="shared" si="12"/>
        <v>#REF!</v>
      </c>
      <c r="S85" s="21" t="e">
        <f t="shared" si="9"/>
        <v>#REF!</v>
      </c>
      <c r="T85" s="178" t="e">
        <f t="shared" ref="T85" si="20">+IF(R85&lt;&gt;"",ABS(R85),"")</f>
        <v>#REF!</v>
      </c>
      <c r="U85" s="179"/>
      <c r="V85" s="178" t="e">
        <f t="shared" si="7"/>
        <v>#REF!</v>
      </c>
      <c r="W85" s="179"/>
      <c r="X85" s="23"/>
      <c r="AC85" s="70" t="s">
        <v>113</v>
      </c>
      <c r="AD85" t="e">
        <f>+SUM(K182:L236)</f>
        <v>#REF!</v>
      </c>
      <c r="AG85" s="8"/>
      <c r="AH85" s="8"/>
    </row>
    <row r="86" spans="4:37" ht="17" thickBot="1">
      <c r="F86" s="8"/>
      <c r="G86" s="8"/>
      <c r="H86" s="8"/>
      <c r="I86">
        <f t="shared" si="10"/>
        <v>25</v>
      </c>
      <c r="J86" s="54" t="str">
        <f t="shared" si="8"/>
        <v>Aditivo a Balling</v>
      </c>
      <c r="K86" s="78" t="e">
        <f>+#REF!</f>
        <v>#REF!</v>
      </c>
      <c r="L86" s="64">
        <v>0</v>
      </c>
      <c r="M86" s="33"/>
      <c r="N86" s="36">
        <v>0</v>
      </c>
      <c r="O86" s="37">
        <v>0</v>
      </c>
      <c r="P86" s="36">
        <f t="shared" si="11"/>
        <v>0</v>
      </c>
      <c r="R86" s="21" t="e">
        <f t="shared" si="12"/>
        <v>#REF!</v>
      </c>
      <c r="S86" s="21">
        <f t="shared" si="9"/>
        <v>0</v>
      </c>
      <c r="T86" s="178" t="e">
        <f t="shared" ref="T86:T87" si="21">+IF(R86&lt;&gt;"",ABS(R86),"")</f>
        <v>#REF!</v>
      </c>
      <c r="U86" s="179">
        <v>1E-3</v>
      </c>
      <c r="V86" s="178">
        <f t="shared" si="7"/>
        <v>0</v>
      </c>
      <c r="W86" s="179">
        <v>0</v>
      </c>
      <c r="X86" s="23"/>
      <c r="AE86" s="8"/>
    </row>
    <row r="87" spans="4:37" ht="16">
      <c r="I87">
        <f t="shared" si="10"/>
        <v>26</v>
      </c>
      <c r="J87" s="57" t="str">
        <f t="shared" si="8"/>
        <v>Pellet verde a edurecimiento</v>
      </c>
      <c r="K87" s="177" t="e">
        <f>+K81+K77+K86</f>
        <v>#REF!</v>
      </c>
      <c r="L87" s="51">
        <v>0</v>
      </c>
      <c r="M87" s="33"/>
      <c r="N87" s="36">
        <v>0</v>
      </c>
      <c r="O87" s="37">
        <v>0</v>
      </c>
      <c r="P87" s="36">
        <f t="shared" si="11"/>
        <v>0</v>
      </c>
      <c r="R87" s="21" t="e">
        <f t="shared" si="12"/>
        <v>#REF!</v>
      </c>
      <c r="S87" s="21">
        <f t="shared" si="9"/>
        <v>0</v>
      </c>
      <c r="T87" s="178" t="e">
        <f t="shared" si="21"/>
        <v>#REF!</v>
      </c>
      <c r="U87" s="179"/>
      <c r="V87" s="178">
        <f t="shared" si="7"/>
        <v>0</v>
      </c>
      <c r="W87" s="179"/>
      <c r="X87" s="23"/>
      <c r="AE87" s="8"/>
      <c r="AF87" s="11"/>
    </row>
    <row r="88" spans="4:37" ht="16">
      <c r="I88">
        <f t="shared" si="10"/>
        <v>27</v>
      </c>
      <c r="J88" s="59" t="str">
        <f t="shared" si="8"/>
        <v>Endurecimiento a Stock Derrames</v>
      </c>
      <c r="K88" s="50" t="e">
        <f>+(K87+K92)*9%</f>
        <v>#REF!</v>
      </c>
      <c r="L88" s="51" t="e">
        <f>+IF(K88&lt;&gt;0,(K87*L87+K92*L92)/(K87+K92),0)</f>
        <v>#REF!</v>
      </c>
      <c r="M88" s="33"/>
      <c r="N88" s="36">
        <v>0</v>
      </c>
      <c r="O88" s="37">
        <v>0</v>
      </c>
      <c r="P88" s="36">
        <f t="shared" si="11"/>
        <v>0</v>
      </c>
      <c r="R88" s="21" t="e">
        <f t="shared" si="12"/>
        <v>#REF!</v>
      </c>
      <c r="S88" s="21" t="e">
        <f t="shared" si="9"/>
        <v>#REF!</v>
      </c>
      <c r="T88" s="178" t="e">
        <f t="shared" si="13"/>
        <v>#REF!</v>
      </c>
      <c r="U88" s="179"/>
      <c r="V88" s="178" t="e">
        <f t="shared" si="7"/>
        <v>#REF!</v>
      </c>
      <c r="W88" s="179"/>
      <c r="Y88" s="76" t="e">
        <f>+N88/N87</f>
        <v>#DIV/0!</v>
      </c>
      <c r="AH88" s="8"/>
      <c r="AI88" s="11"/>
    </row>
    <row r="89" spans="4:37" ht="16">
      <c r="D89" s="8" t="e">
        <f>+#REF!</f>
        <v>#REF!</v>
      </c>
      <c r="E89" s="8" t="e">
        <f>+#REF!</f>
        <v>#REF!</v>
      </c>
      <c r="F89" s="12" t="e">
        <f>+#REF!</f>
        <v>#REF!</v>
      </c>
      <c r="G89" s="12" t="e">
        <f>+#REF!</f>
        <v>#REF!</v>
      </c>
      <c r="H89" t="e">
        <f>+IF(D89&gt;0,1,IF(D89&lt;&gt;0,-1,0))</f>
        <v>#REF!</v>
      </c>
      <c r="I89">
        <f t="shared" si="10"/>
        <v>28</v>
      </c>
      <c r="J89" s="72" t="str">
        <f t="shared" si="8"/>
        <v>Delta Inventarios de Derrames</v>
      </c>
      <c r="K89" s="52" t="e">
        <f>+E89</f>
        <v>#REF!</v>
      </c>
      <c r="L89" s="53" t="e">
        <f>+F89</f>
        <v>#REF!</v>
      </c>
      <c r="M89" s="4"/>
      <c r="N89" s="36">
        <v>5078.8022361132789</v>
      </c>
      <c r="O89" s="37">
        <v>0.53664299805375859</v>
      </c>
      <c r="P89" s="36">
        <f t="shared" si="11"/>
        <v>2725.5036585099633</v>
      </c>
      <c r="R89" s="21" t="e">
        <f t="shared" si="12"/>
        <v>#REF!</v>
      </c>
      <c r="S89" s="21" t="e">
        <f t="shared" si="9"/>
        <v>#REF!</v>
      </c>
      <c r="T89" s="178" t="e">
        <f t="shared" si="13"/>
        <v>#REF!</v>
      </c>
      <c r="U89" s="179">
        <v>0.1</v>
      </c>
      <c r="V89" s="178" t="e">
        <f t="shared" si="7"/>
        <v>#REF!</v>
      </c>
      <c r="W89" s="179"/>
      <c r="Y89" s="23"/>
    </row>
    <row r="90" spans="4:37" ht="16">
      <c r="I90">
        <f t="shared" si="10"/>
        <v>29</v>
      </c>
      <c r="J90" s="59" t="str">
        <f t="shared" si="8"/>
        <v>Chunk de endurecimiento a Pila Chunk</v>
      </c>
      <c r="K90" s="50" t="e">
        <f>+(K87)*0.9%</f>
        <v>#REF!</v>
      </c>
      <c r="L90" s="51" t="e">
        <f>+L88</f>
        <v>#REF!</v>
      </c>
      <c r="M90" s="31"/>
      <c r="N90" s="36">
        <v>0</v>
      </c>
      <c r="O90" s="37">
        <v>0</v>
      </c>
      <c r="P90" s="36">
        <f t="shared" si="11"/>
        <v>0</v>
      </c>
      <c r="R90" s="21" t="e">
        <f t="shared" si="12"/>
        <v>#REF!</v>
      </c>
      <c r="S90" s="21" t="e">
        <f t="shared" si="9"/>
        <v>#REF!</v>
      </c>
      <c r="T90" s="178" t="e">
        <f t="shared" si="13"/>
        <v>#REF!</v>
      </c>
      <c r="U90" s="179"/>
      <c r="V90" s="178" t="e">
        <f t="shared" si="7"/>
        <v>#REF!</v>
      </c>
      <c r="W90" s="179"/>
    </row>
    <row r="91" spans="4:37" ht="16">
      <c r="D91" s="8" t="e">
        <f>+#REF!</f>
        <v>#REF!</v>
      </c>
      <c r="E91" s="8" t="e">
        <f>+#REF!</f>
        <v>#REF!</v>
      </c>
      <c r="F91" s="12" t="e">
        <f>+#REF!</f>
        <v>#REF!</v>
      </c>
      <c r="G91" t="e">
        <f>+#REF!</f>
        <v>#REF!</v>
      </c>
      <c r="H91" t="e">
        <f>+IF(D91&gt;0,1,IF(D91&lt;&gt;0,-1,0))</f>
        <v>#REF!</v>
      </c>
      <c r="I91">
        <f t="shared" si="10"/>
        <v>30</v>
      </c>
      <c r="J91" s="59" t="str">
        <f t="shared" si="8"/>
        <v>Delta Stock Pila Chunk</v>
      </c>
      <c r="K91" s="52" t="e">
        <f>+E91</f>
        <v>#REF!</v>
      </c>
      <c r="L91" s="53" t="e">
        <f>+F91</f>
        <v>#REF!</v>
      </c>
      <c r="M91" s="31"/>
      <c r="N91" s="36">
        <v>0</v>
      </c>
      <c r="O91" s="37">
        <v>0</v>
      </c>
      <c r="P91" s="36">
        <f t="shared" si="11"/>
        <v>0</v>
      </c>
      <c r="R91" s="21" t="e">
        <f t="shared" si="12"/>
        <v>#REF!</v>
      </c>
      <c r="S91" s="21" t="e">
        <f t="shared" si="9"/>
        <v>#REF!</v>
      </c>
      <c r="T91" s="178" t="e">
        <f t="shared" si="13"/>
        <v>#REF!</v>
      </c>
      <c r="U91" s="179"/>
      <c r="V91" s="178" t="e">
        <f t="shared" si="7"/>
        <v>#REF!</v>
      </c>
      <c r="W91" s="179"/>
    </row>
    <row r="92" spans="4:37" ht="16">
      <c r="D92" s="8"/>
      <c r="E92" s="9"/>
      <c r="I92">
        <f t="shared" si="10"/>
        <v>31</v>
      </c>
      <c r="J92" s="59" t="str">
        <f t="shared" si="8"/>
        <v>Aporte Oxidación Endurecimiento</v>
      </c>
      <c r="K92" s="77" t="e">
        <f>+#REF!</f>
        <v>#REF!</v>
      </c>
      <c r="L92" s="53">
        <v>0</v>
      </c>
      <c r="N92" s="36">
        <v>0</v>
      </c>
      <c r="O92" s="37">
        <v>0</v>
      </c>
      <c r="P92" s="36">
        <f t="shared" si="11"/>
        <v>0</v>
      </c>
      <c r="R92" s="21" t="e">
        <f t="shared" si="12"/>
        <v>#REF!</v>
      </c>
      <c r="S92" s="21">
        <f t="shared" si="9"/>
        <v>0</v>
      </c>
      <c r="T92" s="178" t="e">
        <f t="shared" si="13"/>
        <v>#REF!</v>
      </c>
      <c r="U92" s="179"/>
      <c r="V92" s="178">
        <f t="shared" si="7"/>
        <v>0</v>
      </c>
      <c r="W92" s="179">
        <v>0</v>
      </c>
      <c r="Y92" s="76" t="e">
        <f>+N90/N87</f>
        <v>#DIV/0!</v>
      </c>
    </row>
    <row r="93" spans="4:37" ht="17" thickBot="1">
      <c r="I93">
        <f t="shared" si="10"/>
        <v>32</v>
      </c>
      <c r="J93" s="60" t="str">
        <f t="shared" si="8"/>
        <v xml:space="preserve">Alim endurecido a Pila Emergencia </v>
      </c>
      <c r="K93" s="52" t="e">
        <f>+#REF!</f>
        <v>#REF!</v>
      </c>
      <c r="L93" s="53" t="e">
        <f>+IF(K93&lt;&gt;0,#REF!,0)</f>
        <v>#REF!</v>
      </c>
      <c r="M93" s="33"/>
      <c r="N93" s="36">
        <v>0</v>
      </c>
      <c r="O93" s="37">
        <v>0</v>
      </c>
      <c r="P93" s="36">
        <f t="shared" si="11"/>
        <v>0</v>
      </c>
      <c r="R93" s="21" t="e">
        <f t="shared" si="12"/>
        <v>#REF!</v>
      </c>
      <c r="S93" s="21" t="e">
        <f t="shared" si="9"/>
        <v>#REF!</v>
      </c>
      <c r="T93" s="178" t="e">
        <f t="shared" si="13"/>
        <v>#REF!</v>
      </c>
      <c r="U93" s="179">
        <v>0.05</v>
      </c>
      <c r="V93" s="178" t="e">
        <f t="shared" si="7"/>
        <v>#REF!</v>
      </c>
      <c r="W93" s="179"/>
    </row>
    <row r="94" spans="4:37" ht="16">
      <c r="I94">
        <f t="shared" si="10"/>
        <v>33</v>
      </c>
      <c r="J94" s="57" t="str">
        <f t="shared" si="8"/>
        <v>De endurecimiento a Harnero Producto</v>
      </c>
      <c r="K94" s="50" t="e">
        <f>+K87+K92-K93-K90-K88</f>
        <v>#REF!</v>
      </c>
      <c r="L94" s="51" t="e">
        <f>+IF(K94&lt;&gt;0,(K87*L87+K92*L92-K93*L93-K90*L90-K88*L88)/K94,0)</f>
        <v>#REF!</v>
      </c>
      <c r="M94" s="33"/>
      <c r="N94" s="36">
        <v>0</v>
      </c>
      <c r="O94" s="37">
        <v>0</v>
      </c>
      <c r="P94" s="36">
        <f t="shared" si="11"/>
        <v>0</v>
      </c>
      <c r="Q94" s="8"/>
      <c r="R94" s="21" t="e">
        <f t="shared" si="12"/>
        <v>#REF!</v>
      </c>
      <c r="S94" s="21" t="e">
        <f t="shared" si="9"/>
        <v>#REF!</v>
      </c>
      <c r="T94" s="178" t="e">
        <f t="shared" si="13"/>
        <v>#REF!</v>
      </c>
      <c r="U94" s="179"/>
      <c r="V94" s="178" t="e">
        <f t="shared" ref="V94:V116" si="22">+IF(S94&lt;&gt;"",ABS(S94),"")</f>
        <v>#REF!</v>
      </c>
      <c r="W94" s="179"/>
    </row>
    <row r="95" spans="4:37" ht="16">
      <c r="I95">
        <f t="shared" si="10"/>
        <v>34</v>
      </c>
      <c r="J95" s="59" t="str">
        <f t="shared" si="8"/>
        <v>Alim Harnero Producto desde Pila de Emergencia</v>
      </c>
      <c r="K95" s="50" t="e">
        <f>+K93+K105-D96</f>
        <v>#REF!</v>
      </c>
      <c r="L95" s="51" t="e">
        <f>+IF(K95&lt;&gt;0,(K93*L93+K105*L105-D96*L96)/K95,0)</f>
        <v>#REF!</v>
      </c>
      <c r="M95" s="33"/>
      <c r="N95" s="36">
        <v>3195.7516477166728</v>
      </c>
      <c r="O95" s="37">
        <v>0.38735480873425943</v>
      </c>
      <c r="P95" s="36">
        <f t="shared" si="11"/>
        <v>1237.8897682634863</v>
      </c>
      <c r="Q95" s="8"/>
      <c r="R95" s="21" t="e">
        <f t="shared" si="12"/>
        <v>#REF!</v>
      </c>
      <c r="S95" s="21" t="e">
        <f t="shared" si="9"/>
        <v>#REF!</v>
      </c>
      <c r="T95" s="178" t="e">
        <f t="shared" si="13"/>
        <v>#REF!</v>
      </c>
      <c r="U95" s="179"/>
      <c r="V95" s="178" t="e">
        <f t="shared" si="22"/>
        <v>#REF!</v>
      </c>
      <c r="W95" s="179"/>
    </row>
    <row r="96" spans="4:37" ht="16">
      <c r="D96" s="8" t="e">
        <f>+#REF!</f>
        <v>#REF!</v>
      </c>
      <c r="E96" s="8" t="e">
        <f>+#REF!</f>
        <v>#REF!</v>
      </c>
      <c r="F96" s="12" t="e">
        <f>+#REF!</f>
        <v>#REF!</v>
      </c>
      <c r="G96" s="12" t="e">
        <f>+#REF!</f>
        <v>#REF!</v>
      </c>
      <c r="H96" t="e">
        <f>+IF(D96&gt;0,1,IF(D96&lt;&gt;0,-1,0))</f>
        <v>#REF!</v>
      </c>
      <c r="I96">
        <f t="shared" si="10"/>
        <v>35</v>
      </c>
      <c r="J96" s="72" t="str">
        <f t="shared" si="8"/>
        <v>Delta Stock Pila Emergencia</v>
      </c>
      <c r="K96" s="52" t="e">
        <f>+E96</f>
        <v>#REF!</v>
      </c>
      <c r="L96" s="53" t="e">
        <f>+F96</f>
        <v>#REF!</v>
      </c>
      <c r="M96" s="4"/>
      <c r="N96" s="36">
        <v>3195.7516477166732</v>
      </c>
      <c r="O96" s="37">
        <v>0.38735480873425943</v>
      </c>
      <c r="P96" s="36">
        <f t="shared" si="11"/>
        <v>1237.8897682634863</v>
      </c>
      <c r="Q96" s="8"/>
      <c r="R96" s="21" t="e">
        <f t="shared" si="12"/>
        <v>#REF!</v>
      </c>
      <c r="S96" s="21" t="e">
        <f t="shared" si="9"/>
        <v>#REF!</v>
      </c>
      <c r="T96" s="178" t="e">
        <f t="shared" si="13"/>
        <v>#REF!</v>
      </c>
      <c r="U96" s="179"/>
      <c r="V96" s="178" t="e">
        <f t="shared" si="22"/>
        <v>#REF!</v>
      </c>
      <c r="W96" s="179"/>
    </row>
    <row r="97" spans="4:26" ht="16">
      <c r="D97" s="8"/>
      <c r="E97" s="9"/>
      <c r="F97" s="10"/>
      <c r="G97" s="10"/>
      <c r="H97" s="11"/>
      <c r="I97">
        <f t="shared" si="10"/>
        <v>36</v>
      </c>
      <c r="J97" s="74" t="str">
        <f t="shared" si="8"/>
        <v>De harnero Producto a Pila Chip Fresco</v>
      </c>
      <c r="K97" s="52" t="e">
        <f>+#REF!</f>
        <v>#REF!</v>
      </c>
      <c r="L97" s="53" t="e">
        <f>+IF(K97&lt;&gt;0,#REF!,0)</f>
        <v>#REF!</v>
      </c>
      <c r="M97" s="33"/>
      <c r="N97" s="75">
        <v>0</v>
      </c>
      <c r="O97" s="37">
        <v>0</v>
      </c>
      <c r="P97" s="36">
        <f t="shared" si="11"/>
        <v>0</v>
      </c>
      <c r="R97" s="21" t="e">
        <f t="shared" si="12"/>
        <v>#REF!</v>
      </c>
      <c r="S97" s="21" t="e">
        <f t="shared" si="9"/>
        <v>#REF!</v>
      </c>
      <c r="T97" s="178" t="e">
        <f t="shared" si="13"/>
        <v>#REF!</v>
      </c>
      <c r="U97" s="179">
        <v>0.02</v>
      </c>
      <c r="V97" s="178" t="e">
        <f t="shared" si="22"/>
        <v>#REF!</v>
      </c>
      <c r="W97" s="179"/>
    </row>
    <row r="98" spans="4:26" ht="16">
      <c r="D98" s="8" t="e">
        <f>+#REF!</f>
        <v>#REF!</v>
      </c>
      <c r="E98" s="8" t="e">
        <f>+#REF!</f>
        <v>#REF!</v>
      </c>
      <c r="F98" s="12" t="e">
        <f>+#REF!</f>
        <v>#REF!</v>
      </c>
      <c r="G98" s="12" t="e">
        <f>+#REF!</f>
        <v>#REF!</v>
      </c>
      <c r="H98" t="e">
        <f>+IF(D98&gt;0,1,IF(D98&lt;&gt;0,-1,0))</f>
        <v>#REF!</v>
      </c>
      <c r="I98">
        <f t="shared" si="10"/>
        <v>37</v>
      </c>
      <c r="J98" s="59" t="str">
        <f t="shared" si="8"/>
        <v>Delta Stock Pila Chip Fresco</v>
      </c>
      <c r="K98" s="52" t="e">
        <f>+E98</f>
        <v>#REF!</v>
      </c>
      <c r="L98" s="53" t="e">
        <f>+F98</f>
        <v>#REF!</v>
      </c>
      <c r="M98" s="33"/>
      <c r="N98" s="40">
        <v>16413.626700000001</v>
      </c>
      <c r="O98" s="41">
        <v>0.66519752532150411</v>
      </c>
      <c r="P98" s="36">
        <f t="shared" si="11"/>
        <v>10918.303862390967</v>
      </c>
      <c r="R98" s="21" t="e">
        <f t="shared" si="12"/>
        <v>#REF!</v>
      </c>
      <c r="S98" s="21" t="e">
        <f t="shared" si="9"/>
        <v>#REF!</v>
      </c>
      <c r="T98" s="178" t="e">
        <f t="shared" si="13"/>
        <v>#REF!</v>
      </c>
      <c r="U98" s="179"/>
      <c r="V98" s="178" t="e">
        <f t="shared" si="22"/>
        <v>#REF!</v>
      </c>
      <c r="W98" s="179"/>
    </row>
    <row r="99" spans="4:26" ht="16">
      <c r="I99">
        <f t="shared" si="10"/>
        <v>38</v>
      </c>
      <c r="J99" s="59" t="str">
        <f t="shared" si="8"/>
        <v>De Harnero Producto a Stock Pellets Básico</v>
      </c>
      <c r="K99" s="50" t="e">
        <f>+K101+D100-K113</f>
        <v>#REF!</v>
      </c>
      <c r="L99" s="183">
        <v>0</v>
      </c>
      <c r="N99" s="36">
        <v>3195.760747440002</v>
      </c>
      <c r="O99" s="37">
        <v>0.38735533213588397</v>
      </c>
      <c r="P99" s="36">
        <f t="shared" si="11"/>
        <v>1237.8949657514427</v>
      </c>
      <c r="R99" s="21" t="e">
        <f t="shared" si="12"/>
        <v>#REF!</v>
      </c>
      <c r="S99" s="21">
        <f t="shared" si="9"/>
        <v>0</v>
      </c>
      <c r="T99" s="178" t="e">
        <f t="shared" si="13"/>
        <v>#REF!</v>
      </c>
      <c r="U99" s="179">
        <v>0.02</v>
      </c>
      <c r="V99" s="178">
        <f t="shared" si="22"/>
        <v>0</v>
      </c>
      <c r="W99" s="179"/>
      <c r="Y99" s="104">
        <v>150000</v>
      </c>
    </row>
    <row r="100" spans="4:26" ht="16">
      <c r="D100" s="8" t="e">
        <f>+#REF!</f>
        <v>#REF!</v>
      </c>
      <c r="E100" s="8" t="e">
        <f>+#REF!</f>
        <v>#REF!</v>
      </c>
      <c r="F100" s="12" t="e">
        <f>+#REF!</f>
        <v>#REF!</v>
      </c>
      <c r="G100" s="12" t="e">
        <f>+#REF!</f>
        <v>#REF!</v>
      </c>
      <c r="H100" t="e">
        <f>+IF(D100&gt;0,1,IF(D100&lt;&gt;0,-1,0))</f>
        <v>#REF!</v>
      </c>
      <c r="I100">
        <f t="shared" si="10"/>
        <v>39</v>
      </c>
      <c r="J100" s="72" t="str">
        <f t="shared" si="8"/>
        <v>Delta Stock Pellet Básico</v>
      </c>
      <c r="K100" s="52" t="e">
        <f>+E100</f>
        <v>#REF!</v>
      </c>
      <c r="L100" s="53" t="e">
        <f>+F100</f>
        <v>#REF!</v>
      </c>
      <c r="M100" s="4"/>
      <c r="N100" s="36">
        <v>20519.338024560107</v>
      </c>
      <c r="O100" s="37">
        <v>0.69402577802262733</v>
      </c>
      <c r="P100" s="36">
        <f t="shared" si="11"/>
        <v>14240.94953700461</v>
      </c>
      <c r="R100" s="21" t="e">
        <f t="shared" si="12"/>
        <v>#REF!</v>
      </c>
      <c r="S100" s="21" t="e">
        <f t="shared" si="9"/>
        <v>#REF!</v>
      </c>
      <c r="T100" s="178" t="e">
        <f t="shared" si="13"/>
        <v>#REF!</v>
      </c>
      <c r="U100" s="179"/>
      <c r="V100" s="178" t="e">
        <f t="shared" si="22"/>
        <v>#REF!</v>
      </c>
      <c r="W100" s="179"/>
    </row>
    <row r="101" spans="4:26" ht="17" thickBot="1">
      <c r="I101">
        <f>+I43</f>
        <v>40</v>
      </c>
      <c r="J101" s="60" t="str">
        <f t="shared" si="8"/>
        <v>A embarque desde Pellet básico</v>
      </c>
      <c r="K101" s="52" t="e">
        <f>+#REF!</f>
        <v>#REF!</v>
      </c>
      <c r="L101" s="53" t="e">
        <f>+IF(K101&lt;&gt;0,#REF!,0)</f>
        <v>#REF!</v>
      </c>
      <c r="M101" s="33"/>
      <c r="N101" s="36">
        <v>23715.098772000001</v>
      </c>
      <c r="O101" s="37">
        <v>0.65269999999999995</v>
      </c>
      <c r="P101" s="36">
        <f t="shared" si="11"/>
        <v>15478.8449684844</v>
      </c>
      <c r="R101" s="21" t="e">
        <f t="shared" si="12"/>
        <v>#REF!</v>
      </c>
      <c r="S101" s="21" t="e">
        <f t="shared" si="9"/>
        <v>#REF!</v>
      </c>
      <c r="T101" s="178" t="e">
        <f t="shared" si="13"/>
        <v>#REF!</v>
      </c>
      <c r="U101" s="179">
        <v>0</v>
      </c>
      <c r="V101" s="178" t="e">
        <f t="shared" si="22"/>
        <v>#REF!</v>
      </c>
      <c r="W101" s="179">
        <v>0</v>
      </c>
    </row>
    <row r="102" spans="4:26" ht="16">
      <c r="I102">
        <f>+I44</f>
        <v>41</v>
      </c>
      <c r="J102" s="59" t="str">
        <f t="shared" si="8"/>
        <v>Alimentación Chip Fresco a Re harneo</v>
      </c>
      <c r="K102" s="50" t="e">
        <f>+K97-D98</f>
        <v>#REF!</v>
      </c>
      <c r="L102" s="51" t="e">
        <f>+IF(K102&lt;&gt;0,(K97*L97-D98*L98)/K102,0)</f>
        <v>#REF!</v>
      </c>
      <c r="M102" s="33"/>
      <c r="N102" s="36">
        <v>16413.626700000001</v>
      </c>
      <c r="O102" s="37">
        <v>0.66519752532150411</v>
      </c>
      <c r="P102" s="36">
        <f t="shared" si="11"/>
        <v>10918.303862390967</v>
      </c>
      <c r="R102" s="21" t="e">
        <f t="shared" si="12"/>
        <v>#REF!</v>
      </c>
      <c r="S102" s="21" t="e">
        <f t="shared" si="9"/>
        <v>#REF!</v>
      </c>
      <c r="T102" s="178" t="e">
        <f t="shared" si="13"/>
        <v>#REF!</v>
      </c>
      <c r="U102" s="179"/>
      <c r="V102" s="178" t="e">
        <f t="shared" si="22"/>
        <v>#REF!</v>
      </c>
      <c r="W102" s="179"/>
    </row>
    <row r="103" spans="4:26" ht="16">
      <c r="I103">
        <f t="shared" ref="I103:I110" si="23">+I45</f>
        <v>42</v>
      </c>
      <c r="J103" s="62" t="str">
        <f t="shared" si="8"/>
        <v>Alimentación de Stock de Derrames a Planta de Re Harneo</v>
      </c>
      <c r="K103" s="52" t="e">
        <f>+#REF!</f>
        <v>#REF!</v>
      </c>
      <c r="L103" s="51">
        <v>0.5</v>
      </c>
      <c r="M103" s="33"/>
      <c r="N103" s="40">
        <v>6464.75</v>
      </c>
      <c r="O103" s="41">
        <v>0.54788509078272274</v>
      </c>
      <c r="P103" s="36">
        <f t="shared" si="11"/>
        <v>3541.9401406376069</v>
      </c>
      <c r="R103" s="21" t="e">
        <f t="shared" si="12"/>
        <v>#REF!</v>
      </c>
      <c r="S103" s="21">
        <f t="shared" si="9"/>
        <v>9.5770181565445478E-2</v>
      </c>
      <c r="T103" s="178" t="e">
        <f t="shared" si="13"/>
        <v>#REF!</v>
      </c>
      <c r="U103" s="179">
        <v>0.01</v>
      </c>
      <c r="V103" s="178">
        <f t="shared" si="22"/>
        <v>9.5770181565445478E-2</v>
      </c>
      <c r="W103" s="179"/>
    </row>
    <row r="104" spans="4:26" ht="16">
      <c r="D104" s="8"/>
      <c r="E104" s="9"/>
      <c r="F104" s="10"/>
      <c r="G104" s="10"/>
      <c r="H104" s="11"/>
      <c r="I104">
        <f t="shared" si="23"/>
        <v>43</v>
      </c>
      <c r="J104" s="62" t="str">
        <f t="shared" si="8"/>
        <v>Alimentación de Pila Chunk a Re Harneo</v>
      </c>
      <c r="K104" s="50" t="e">
        <f>+K90-D91</f>
        <v>#REF!</v>
      </c>
      <c r="L104" s="51" t="e">
        <f>+IF(K104&lt;&gt;0,(K90*L90-D91*L91)/K104,0)</f>
        <v>#REF!</v>
      </c>
      <c r="M104" s="33"/>
      <c r="N104" s="36">
        <v>0</v>
      </c>
      <c r="O104" s="37">
        <v>0</v>
      </c>
      <c r="P104" s="36">
        <f t="shared" si="11"/>
        <v>0</v>
      </c>
      <c r="R104" s="21" t="e">
        <f t="shared" si="12"/>
        <v>#REF!</v>
      </c>
      <c r="S104" s="21" t="e">
        <f t="shared" si="9"/>
        <v>#REF!</v>
      </c>
      <c r="T104" s="178" t="e">
        <f t="shared" si="13"/>
        <v>#REF!</v>
      </c>
      <c r="U104" s="179"/>
      <c r="V104" s="178" t="e">
        <f t="shared" si="22"/>
        <v>#REF!</v>
      </c>
      <c r="W104" s="179"/>
    </row>
    <row r="105" spans="4:26" ht="16">
      <c r="I105">
        <f t="shared" si="23"/>
        <v>44</v>
      </c>
      <c r="J105" s="62" t="str">
        <f t="shared" si="8"/>
        <v>Intermedio Re harneo de derrames a Stock Pila de Emergencia</v>
      </c>
      <c r="K105" s="52" t="e">
        <f>+#REF!</f>
        <v>#REF!</v>
      </c>
      <c r="L105" s="53" t="e">
        <f>+IF(K105&lt;&gt;0,#REF!,0)</f>
        <v>#REF!</v>
      </c>
      <c r="M105" s="33"/>
      <c r="N105" s="36">
        <v>0</v>
      </c>
      <c r="O105" s="37">
        <v>0</v>
      </c>
      <c r="P105" s="36">
        <f t="shared" si="11"/>
        <v>0</v>
      </c>
      <c r="R105" s="21" t="e">
        <f t="shared" si="12"/>
        <v>#REF!</v>
      </c>
      <c r="S105" s="21" t="e">
        <f t="shared" si="9"/>
        <v>#REF!</v>
      </c>
      <c r="T105" s="178" t="e">
        <f t="shared" si="13"/>
        <v>#REF!</v>
      </c>
      <c r="U105" s="179"/>
      <c r="V105" s="178" t="e">
        <f t="shared" si="22"/>
        <v>#REF!</v>
      </c>
      <c r="W105" s="179"/>
      <c r="Y105" s="8" t="e">
        <f>+K102+K103+K104</f>
        <v>#REF!</v>
      </c>
    </row>
    <row r="106" spans="4:26" ht="16">
      <c r="I106">
        <f t="shared" si="23"/>
        <v>45</v>
      </c>
      <c r="J106" s="62" t="str">
        <f t="shared" si="8"/>
        <v xml:space="preserve">Alimentación Total a  Stock Finos Huasco de Embarque </v>
      </c>
      <c r="K106" s="52" t="e">
        <f>+#REF!</f>
        <v>#REF!</v>
      </c>
      <c r="L106" s="53" t="e">
        <f>+IF(K106&lt;&gt;0,#REF!,0)</f>
        <v>#REF!</v>
      </c>
      <c r="M106" s="33"/>
      <c r="N106" s="40">
        <v>6464.75</v>
      </c>
      <c r="O106" s="41">
        <v>0.5796155854346382</v>
      </c>
      <c r="P106" s="36">
        <f t="shared" si="11"/>
        <v>3747.0698559385773</v>
      </c>
      <c r="R106" s="21" t="e">
        <f t="shared" si="12"/>
        <v>#REF!</v>
      </c>
      <c r="S106" s="21" t="e">
        <f t="shared" si="9"/>
        <v>#REF!</v>
      </c>
      <c r="T106" s="178" t="e">
        <f t="shared" si="13"/>
        <v>#REF!</v>
      </c>
      <c r="U106" s="179">
        <v>0</v>
      </c>
      <c r="V106" s="178" t="e">
        <f t="shared" si="22"/>
        <v>#REF!</v>
      </c>
      <c r="W106" s="179"/>
      <c r="Y106" s="8" t="e">
        <f>+K105+K107+K106</f>
        <v>#REF!</v>
      </c>
      <c r="Z106" s="8" t="e">
        <f>+Y105-Y106</f>
        <v>#REF!</v>
      </c>
    </row>
    <row r="107" spans="4:26" ht="16">
      <c r="D107" s="8"/>
      <c r="E107" s="9"/>
      <c r="F107" s="10"/>
      <c r="G107" s="10"/>
      <c r="H107" s="11"/>
      <c r="I107">
        <f t="shared" si="23"/>
        <v>46</v>
      </c>
      <c r="J107" s="62" t="str">
        <f t="shared" si="8"/>
        <v xml:space="preserve">Chip Bajo tamaño de Re Harneo a Stock P Chip de Embarque </v>
      </c>
      <c r="K107" s="50" t="e">
        <f>+K114+K113+D115</f>
        <v>#REF!</v>
      </c>
      <c r="L107" s="51" t="e">
        <f>+IF(K107&lt;&gt;0,(K114*L114+K113*L113+D115*L115)/K107,0)</f>
        <v>#REF!</v>
      </c>
      <c r="M107" s="33"/>
      <c r="N107" s="36">
        <v>16413.626700000001</v>
      </c>
      <c r="O107" s="37">
        <v>0.65269999999999995</v>
      </c>
      <c r="P107" s="36">
        <f t="shared" si="11"/>
        <v>10713.17414709</v>
      </c>
      <c r="R107" s="26" t="e">
        <f t="shared" si="12"/>
        <v>#REF!</v>
      </c>
      <c r="S107" s="21" t="e">
        <f t="shared" si="9"/>
        <v>#REF!</v>
      </c>
      <c r="T107" s="178" t="e">
        <f t="shared" si="13"/>
        <v>#REF!</v>
      </c>
      <c r="U107" s="179"/>
      <c r="V107" s="178" t="e">
        <f t="shared" si="22"/>
        <v>#REF!</v>
      </c>
      <c r="W107" s="179"/>
    </row>
    <row r="108" spans="4:26" ht="16">
      <c r="I108">
        <f t="shared" si="23"/>
        <v>47</v>
      </c>
      <c r="J108" s="62" t="str">
        <f t="shared" si="8"/>
        <v>Traspaso de F Huasco a S Feed</v>
      </c>
      <c r="K108" s="52" t="e">
        <f>+#REF!</f>
        <v>#REF!</v>
      </c>
      <c r="L108" s="53" t="e">
        <f>+IF(K108&lt;&gt;0,#REF!,0)</f>
        <v>#REF!</v>
      </c>
      <c r="M108" s="33"/>
      <c r="N108" s="40">
        <v>11958.32450370259</v>
      </c>
      <c r="O108" s="41">
        <v>0.60660903664804589</v>
      </c>
      <c r="P108" s="36">
        <f t="shared" si="11"/>
        <v>7254.0277071157498</v>
      </c>
      <c r="R108" s="21" t="e">
        <f t="shared" si="12"/>
        <v>#REF!</v>
      </c>
      <c r="S108" s="21" t="e">
        <f t="shared" si="9"/>
        <v>#REF!</v>
      </c>
      <c r="T108" s="178" t="e">
        <f t="shared" si="13"/>
        <v>#REF!</v>
      </c>
      <c r="U108" s="179"/>
      <c r="V108" s="178" t="e">
        <f t="shared" si="22"/>
        <v>#REF!</v>
      </c>
      <c r="W108" s="179"/>
    </row>
    <row r="109" spans="4:26" ht="16">
      <c r="D109" s="9"/>
      <c r="E109" s="9"/>
      <c r="F109" s="10"/>
      <c r="G109" s="10"/>
      <c r="H109" s="11"/>
      <c r="I109">
        <f t="shared" si="23"/>
        <v>48</v>
      </c>
      <c r="J109" s="62" t="str">
        <f t="shared" si="8"/>
        <v>A embarque desde Stock Finos Huasco</v>
      </c>
      <c r="K109" s="52" t="e">
        <f>+#REF!</f>
        <v>#REF!</v>
      </c>
      <c r="L109" s="53" t="e">
        <f>+IF(K109&lt;&gt;0,#REF!,0)</f>
        <v>#REF!</v>
      </c>
      <c r="M109" s="33"/>
      <c r="N109" s="36">
        <v>0</v>
      </c>
      <c r="O109" s="37">
        <v>0</v>
      </c>
      <c r="P109" s="36">
        <f t="shared" si="11"/>
        <v>0</v>
      </c>
      <c r="R109" s="21" t="e">
        <f>+IF(K109&lt;&gt;0,(N109-K109)/K109,0)</f>
        <v>#REF!</v>
      </c>
      <c r="S109" s="21" t="e">
        <f t="shared" si="9"/>
        <v>#REF!</v>
      </c>
      <c r="T109" s="178" t="e">
        <f t="shared" si="13"/>
        <v>#REF!</v>
      </c>
      <c r="U109" s="179">
        <v>0</v>
      </c>
      <c r="V109" s="178" t="e">
        <f t="shared" si="22"/>
        <v>#REF!</v>
      </c>
      <c r="W109" s="179"/>
    </row>
    <row r="110" spans="4:26" ht="16">
      <c r="D110" s="8" t="e">
        <f>+#REF!</f>
        <v>#REF!</v>
      </c>
      <c r="E110" s="8" t="e">
        <f>+#REF!</f>
        <v>#REF!</v>
      </c>
      <c r="F110" s="12" t="e">
        <f>+#REF!</f>
        <v>#REF!</v>
      </c>
      <c r="G110" s="12" t="e">
        <f>+#REF!</f>
        <v>#REF!</v>
      </c>
      <c r="H110" t="e">
        <f>+IF(D110&gt;0,1,IF(D110&lt;&gt;0,-1,0))</f>
        <v>#REF!</v>
      </c>
      <c r="I110">
        <f t="shared" si="23"/>
        <v>49</v>
      </c>
      <c r="J110" s="73" t="str">
        <f t="shared" si="8"/>
        <v>Delta Stock Finos Huasco</v>
      </c>
      <c r="K110" s="52" t="e">
        <f>+E110</f>
        <v>#REF!</v>
      </c>
      <c r="L110" s="53" t="e">
        <f>+F110</f>
        <v>#REF!</v>
      </c>
      <c r="M110" s="4"/>
      <c r="N110" s="36">
        <v>5493.5745037025899</v>
      </c>
      <c r="O110" s="37">
        <v>0.63837449529692036</v>
      </c>
      <c r="P110" s="36">
        <f t="shared" si="11"/>
        <v>3506.9578511771706</v>
      </c>
      <c r="R110" s="21" t="e">
        <f t="shared" si="12"/>
        <v>#REF!</v>
      </c>
      <c r="S110" s="21" t="e">
        <f t="shared" si="9"/>
        <v>#REF!</v>
      </c>
      <c r="T110" s="178" t="e">
        <f t="shared" si="13"/>
        <v>#REF!</v>
      </c>
      <c r="U110" s="179"/>
      <c r="V110" s="178" t="e">
        <f t="shared" si="22"/>
        <v>#REF!</v>
      </c>
      <c r="W110" s="179"/>
    </row>
    <row r="111" spans="4:26" ht="16">
      <c r="I111">
        <f>+I53</f>
        <v>50</v>
      </c>
      <c r="J111" s="62" t="str">
        <f t="shared" si="8"/>
        <v>A embarque desde Stock Sinter Feed</v>
      </c>
      <c r="K111" s="52" t="e">
        <f>+#REF!</f>
        <v>#REF!</v>
      </c>
      <c r="L111" s="53" t="e">
        <f>+IF(K111&lt;&gt;0,#REF!,0)</f>
        <v>#REF!</v>
      </c>
      <c r="M111" s="33"/>
      <c r="N111" s="40">
        <v>20404.00145391325</v>
      </c>
      <c r="O111" s="41">
        <v>0.63352300908610903</v>
      </c>
      <c r="P111" s="36">
        <f t="shared" si="11"/>
        <v>12926.404398480467</v>
      </c>
      <c r="R111" s="21" t="e">
        <f t="shared" si="12"/>
        <v>#REF!</v>
      </c>
      <c r="S111" s="21" t="e">
        <f t="shared" si="9"/>
        <v>#REF!</v>
      </c>
      <c r="T111" s="178" t="e">
        <f t="shared" si="13"/>
        <v>#REF!</v>
      </c>
      <c r="U111" s="179">
        <v>0</v>
      </c>
      <c r="V111" s="178" t="e">
        <f t="shared" si="22"/>
        <v>#REF!</v>
      </c>
      <c r="W111" s="179">
        <v>0</v>
      </c>
    </row>
    <row r="112" spans="4:26" ht="16">
      <c r="D112" s="8" t="e">
        <f>+#REF!</f>
        <v>#REF!</v>
      </c>
      <c r="E112" s="8" t="e">
        <f>+#REF!</f>
        <v>#REF!</v>
      </c>
      <c r="F112" s="12" t="e">
        <f>+#REF!</f>
        <v>#REF!</v>
      </c>
      <c r="G112" s="12" t="e">
        <f>+#REF!</f>
        <v>#REF!</v>
      </c>
      <c r="H112" t="e">
        <f>+IF(D112&gt;0,1,IF(D112&lt;&gt;0,-1,0))</f>
        <v>#REF!</v>
      </c>
      <c r="I112">
        <f>+I54</f>
        <v>51</v>
      </c>
      <c r="J112" s="73" t="str">
        <f t="shared" si="8"/>
        <v>Delta Stock Sinter Feed</v>
      </c>
      <c r="K112" s="52" t="e">
        <f>+E112</f>
        <v>#REF!</v>
      </c>
      <c r="L112" s="53" t="e">
        <f>+F112</f>
        <v>#REF!</v>
      </c>
      <c r="M112" s="33"/>
      <c r="N112" s="36">
        <v>76805.783105848823</v>
      </c>
      <c r="O112" s="37">
        <v>0.66253051571374477</v>
      </c>
      <c r="P112" s="36">
        <f t="shared" si="11"/>
        <v>50886.175090916047</v>
      </c>
      <c r="R112" s="21" t="e">
        <f t="shared" si="12"/>
        <v>#REF!</v>
      </c>
      <c r="S112" s="21" t="e">
        <f t="shared" si="9"/>
        <v>#REF!</v>
      </c>
      <c r="T112" s="178" t="e">
        <f t="shared" si="13"/>
        <v>#REF!</v>
      </c>
      <c r="U112" s="179"/>
      <c r="V112" s="178" t="e">
        <f t="shared" si="22"/>
        <v>#REF!</v>
      </c>
      <c r="W112" s="179"/>
    </row>
    <row r="113" spans="4:23" ht="16">
      <c r="I113">
        <f t="shared" ref="I113:I116" si="24">+I55</f>
        <v>53</v>
      </c>
      <c r="J113" s="62" t="str">
        <f t="shared" si="8"/>
        <v>Traspaso de  P Chip a P Básico</v>
      </c>
      <c r="K113" s="52" t="e">
        <f>+#REF!</f>
        <v>#REF!</v>
      </c>
      <c r="L113" s="53" t="e">
        <f>+IF(K113&lt;&gt;0,#REF!,0)</f>
        <v>#REF!</v>
      </c>
      <c r="M113" s="33"/>
      <c r="N113" s="40">
        <v>0</v>
      </c>
      <c r="O113" s="41">
        <v>0</v>
      </c>
      <c r="P113" s="36">
        <f t="shared" si="11"/>
        <v>0</v>
      </c>
      <c r="R113" s="21" t="e">
        <f t="shared" si="12"/>
        <v>#REF!</v>
      </c>
      <c r="S113" s="21" t="e">
        <f t="shared" si="9"/>
        <v>#REF!</v>
      </c>
      <c r="T113" s="178" t="e">
        <f t="shared" ref="T113:T116" si="25">+IF(R113&lt;&gt;"",ABS(R113),"")</f>
        <v>#REF!</v>
      </c>
      <c r="U113" s="179"/>
      <c r="V113" s="178" t="e">
        <f t="shared" si="22"/>
        <v>#REF!</v>
      </c>
      <c r="W113" s="179"/>
    </row>
    <row r="114" spans="4:23" ht="16">
      <c r="I114">
        <f t="shared" si="24"/>
        <v>54</v>
      </c>
      <c r="J114" s="62" t="str">
        <f t="shared" si="8"/>
        <v>A embarque desde Stock Pellet Chip</v>
      </c>
      <c r="K114" s="52" t="e">
        <f>+#REF!</f>
        <v>#REF!</v>
      </c>
      <c r="L114" s="53" t="e">
        <f>+#REF!</f>
        <v>#REF!</v>
      </c>
      <c r="N114" s="40">
        <v>0</v>
      </c>
      <c r="O114" s="41">
        <v>0</v>
      </c>
      <c r="P114" s="36">
        <f t="shared" si="11"/>
        <v>0</v>
      </c>
      <c r="R114" s="21" t="e">
        <f t="shared" si="12"/>
        <v>#REF!</v>
      </c>
      <c r="S114" s="21" t="e">
        <f t="shared" si="9"/>
        <v>#REF!</v>
      </c>
      <c r="T114" s="178" t="e">
        <f t="shared" si="25"/>
        <v>#REF!</v>
      </c>
      <c r="U114" s="179">
        <v>0</v>
      </c>
      <c r="V114" s="178" t="e">
        <f t="shared" si="22"/>
        <v>#REF!</v>
      </c>
      <c r="W114" s="179"/>
    </row>
    <row r="115" spans="4:23" ht="16">
      <c r="D115" s="8" t="e">
        <f>+#REF!</f>
        <v>#REF!</v>
      </c>
      <c r="E115" s="8" t="e">
        <f>+#REF!</f>
        <v>#REF!</v>
      </c>
      <c r="F115" s="12" t="e">
        <f>+#REF!</f>
        <v>#REF!</v>
      </c>
      <c r="G115" s="12" t="e">
        <f>+#REF!</f>
        <v>#REF!</v>
      </c>
      <c r="H115" t="e">
        <f>+IF(D115&gt;0,1,IF(D115&lt;&gt;0,-1,0))</f>
        <v>#REF!</v>
      </c>
      <c r="I115">
        <f t="shared" si="24"/>
        <v>55</v>
      </c>
      <c r="J115" s="71" t="str">
        <f t="shared" si="8"/>
        <v>Delta Stock Pellet Chip</v>
      </c>
      <c r="K115" s="52" t="e">
        <f>+E115</f>
        <v>#REF!</v>
      </c>
      <c r="L115" s="53" t="e">
        <f>+F115</f>
        <v>#REF!</v>
      </c>
      <c r="M115" s="4"/>
      <c r="N115" s="40">
        <v>16413.626700000001</v>
      </c>
      <c r="O115" s="41">
        <v>0.65269999999999995</v>
      </c>
      <c r="P115" s="36">
        <f t="shared" si="11"/>
        <v>10713.17414709</v>
      </c>
      <c r="R115" s="21" t="e">
        <f t="shared" si="12"/>
        <v>#REF!</v>
      </c>
      <c r="S115" s="21" t="e">
        <f t="shared" si="9"/>
        <v>#REF!</v>
      </c>
      <c r="T115" s="178" t="e">
        <f t="shared" si="25"/>
        <v>#REF!</v>
      </c>
      <c r="U115" s="179"/>
      <c r="V115" s="178" t="e">
        <f t="shared" si="22"/>
        <v>#REF!</v>
      </c>
      <c r="W115" s="179">
        <v>0</v>
      </c>
    </row>
    <row r="116" spans="4:23" ht="16">
      <c r="I116">
        <f t="shared" si="24"/>
        <v>56</v>
      </c>
      <c r="J116" s="54" t="str">
        <f t="shared" si="8"/>
        <v>Total Embarcado</v>
      </c>
      <c r="K116" s="50" t="e">
        <f>+K114+K111+K109+K101+K85</f>
        <v>#REF!</v>
      </c>
      <c r="L116" s="51" t="e">
        <f>+(K114*L114+K111*L111+K109*L109+K101*L101+K85*L85)/K116</f>
        <v>#REF!</v>
      </c>
      <c r="N116" s="40">
        <v>346952.66262591328</v>
      </c>
      <c r="O116" s="41">
        <v>0.6794915075127328</v>
      </c>
      <c r="P116" s="36">
        <f t="shared" si="11"/>
        <v>235751.3877632384</v>
      </c>
      <c r="R116" s="21" t="e">
        <f t="shared" si="12"/>
        <v>#REF!</v>
      </c>
      <c r="S116" s="21" t="e">
        <f t="shared" si="9"/>
        <v>#REF!</v>
      </c>
      <c r="T116" s="178" t="e">
        <f t="shared" si="25"/>
        <v>#REF!</v>
      </c>
      <c r="U116" s="179">
        <v>0</v>
      </c>
      <c r="V116" s="178" t="e">
        <f t="shared" si="22"/>
        <v>#REF!</v>
      </c>
      <c r="W116" s="179">
        <v>0</v>
      </c>
    </row>
    <row r="121" spans="4:23">
      <c r="K121" s="340" t="s">
        <v>91</v>
      </c>
      <c r="L121" s="341"/>
      <c r="N121" s="18" t="s">
        <v>67</v>
      </c>
      <c r="O121" s="18"/>
      <c r="R121" s="32"/>
    </row>
    <row r="122" spans="4:23" ht="16" thickBot="1">
      <c r="K122" s="17" t="s">
        <v>66</v>
      </c>
      <c r="L122" s="17" t="s">
        <v>61</v>
      </c>
      <c r="N122" s="18" t="s">
        <v>66</v>
      </c>
      <c r="O122" s="18" t="s">
        <v>61</v>
      </c>
      <c r="R122" s="32"/>
      <c r="S122" s="32"/>
    </row>
    <row r="123" spans="4:23">
      <c r="J123" s="4" t="str">
        <f>+J62</f>
        <v>De Prec Los Colorados Nodo Alim Planta de Pellet</v>
      </c>
      <c r="K123" s="65">
        <v>1</v>
      </c>
      <c r="L123" s="66">
        <v>10</v>
      </c>
      <c r="N123" s="8">
        <f>+K123*K62/100</f>
        <v>4097.4630500000003</v>
      </c>
      <c r="O123" s="11">
        <f>+L123*L62/100</f>
        <v>6.1025025525999997E-2</v>
      </c>
    </row>
    <row r="124" spans="4:23">
      <c r="J124" s="7" t="str">
        <f t="shared" ref="J124:J177" si="26">+J63</f>
        <v>Preconc Los Colorados a Stock Sinter Feed</v>
      </c>
      <c r="K124">
        <v>99</v>
      </c>
      <c r="L124">
        <v>50</v>
      </c>
      <c r="N124" s="8" t="e">
        <f t="shared" ref="N124:O124" si="27">+K124*K63/100</f>
        <v>#REF!</v>
      </c>
      <c r="O124" s="11" t="e">
        <f t="shared" si="27"/>
        <v>#REF!</v>
      </c>
    </row>
    <row r="125" spans="4:23">
      <c r="J125" s="7" t="str">
        <f t="shared" si="26"/>
        <v>Prec los Colorados a Stock Prec Planta Pellet</v>
      </c>
      <c r="K125">
        <v>99</v>
      </c>
      <c r="L125">
        <v>50</v>
      </c>
      <c r="N125" s="8" t="e">
        <f t="shared" ref="N125:O125" si="28">+K125*K64/100</f>
        <v>#REF!</v>
      </c>
      <c r="O125" s="11" t="e">
        <f t="shared" si="28"/>
        <v>#REF!</v>
      </c>
    </row>
    <row r="126" spans="4:23">
      <c r="J126" s="7" t="str">
        <f t="shared" si="26"/>
        <v>Re-Harneo a Stock Prec Planta Pellet</v>
      </c>
      <c r="K126">
        <v>99</v>
      </c>
      <c r="L126">
        <v>50</v>
      </c>
      <c r="N126" s="8" t="e">
        <f t="shared" ref="N126:O126" si="29">+K126*K65/100</f>
        <v>#REF!</v>
      </c>
      <c r="O126" s="11" t="e">
        <f t="shared" si="29"/>
        <v>#REF!</v>
      </c>
    </row>
    <row r="127" spans="4:23">
      <c r="J127" s="7" t="str">
        <f t="shared" si="26"/>
        <v>Delta Stock  Prec Planta Pellet</v>
      </c>
      <c r="K127">
        <v>1</v>
      </c>
      <c r="L127">
        <v>1</v>
      </c>
      <c r="N127" s="8" t="e">
        <f t="shared" ref="N127:O127" si="30">+K127*K66/100</f>
        <v>#REF!</v>
      </c>
      <c r="O127" s="11" t="e">
        <f t="shared" si="30"/>
        <v>#REF!</v>
      </c>
    </row>
    <row r="128" spans="4:23">
      <c r="J128" s="7" t="str">
        <f t="shared" si="26"/>
        <v>Alim Silos Molienda</v>
      </c>
      <c r="K128">
        <v>99</v>
      </c>
      <c r="L128">
        <v>50</v>
      </c>
      <c r="N128" s="8" t="e">
        <f t="shared" ref="N128:O128" si="31">+K128*K67/100</f>
        <v>#REF!</v>
      </c>
      <c r="O128" s="11" t="e">
        <f t="shared" si="31"/>
        <v>#REF!</v>
      </c>
    </row>
    <row r="129" spans="10:15">
      <c r="J129" s="7" t="str">
        <f t="shared" si="26"/>
        <v>Delta Stock Silos Molienda</v>
      </c>
      <c r="K129">
        <v>99</v>
      </c>
      <c r="L129">
        <v>50</v>
      </c>
      <c r="N129" s="8" t="e">
        <f t="shared" ref="N129:O129" si="32">+K129*K68/100</f>
        <v>#REF!</v>
      </c>
      <c r="O129" s="11" t="e">
        <f t="shared" si="32"/>
        <v>#REF!</v>
      </c>
    </row>
    <row r="130" spans="10:15">
      <c r="J130" s="7" t="str">
        <f t="shared" si="26"/>
        <v>Aliment Molienda Clasificación</v>
      </c>
      <c r="K130">
        <v>99</v>
      </c>
      <c r="L130">
        <v>50</v>
      </c>
      <c r="N130" s="8" t="e">
        <f t="shared" ref="N130:O130" si="33">+K130*K69/100</f>
        <v>#REF!</v>
      </c>
      <c r="O130" s="11" t="e">
        <f t="shared" si="33"/>
        <v>#REF!</v>
      </c>
    </row>
    <row r="131" spans="10:15">
      <c r="J131" s="7" t="str">
        <f t="shared" si="26"/>
        <v>De Molienda/clasificación a Stock Derrames</v>
      </c>
      <c r="K131">
        <v>99</v>
      </c>
      <c r="L131">
        <v>50</v>
      </c>
      <c r="N131" s="8" t="e">
        <f t="shared" ref="N131:O131" si="34">+K131*K70/100</f>
        <v>#REF!</v>
      </c>
      <c r="O131" s="11" t="e">
        <f t="shared" si="34"/>
        <v>#REF!</v>
      </c>
    </row>
    <row r="132" spans="10:15">
      <c r="J132" s="4" t="str">
        <f t="shared" si="26"/>
        <v>EMISARIO SUBMARINO</v>
      </c>
      <c r="K132" s="4">
        <v>99</v>
      </c>
      <c r="L132" s="4">
        <v>50</v>
      </c>
      <c r="N132" s="8" t="e">
        <f t="shared" ref="N132:O132" si="35">+K132*K71/100</f>
        <v>#REF!</v>
      </c>
      <c r="O132" s="11" t="e">
        <f t="shared" si="35"/>
        <v>#REF!</v>
      </c>
    </row>
    <row r="133" spans="10:15">
      <c r="J133" s="7" t="str">
        <f t="shared" si="26"/>
        <v>Alimentación a TK  Inventarios</v>
      </c>
      <c r="K133">
        <v>99</v>
      </c>
      <c r="L133">
        <v>50</v>
      </c>
      <c r="N133" s="8" t="e">
        <f t="shared" ref="N133:O133" si="36">+K133*K72/100</f>
        <v>#REF!</v>
      </c>
      <c r="O133" s="11" t="e">
        <f t="shared" si="36"/>
        <v>#REF!</v>
      </c>
    </row>
    <row r="134" spans="10:15">
      <c r="J134" s="7" t="str">
        <f t="shared" si="26"/>
        <v>Delta TK inventarios</v>
      </c>
      <c r="K134">
        <v>99</v>
      </c>
      <c r="L134">
        <v>50</v>
      </c>
      <c r="N134" s="8" t="e">
        <f t="shared" ref="N134:O134" si="37">+K134*K73/100</f>
        <v>#REF!</v>
      </c>
      <c r="O134" s="11" t="e">
        <f t="shared" si="37"/>
        <v>#REF!</v>
      </c>
    </row>
    <row r="135" spans="10:15">
      <c r="J135" s="7" t="str">
        <f t="shared" si="26"/>
        <v>TK Inventario a Stock Derrames</v>
      </c>
      <c r="K135">
        <v>99</v>
      </c>
      <c r="L135">
        <v>50</v>
      </c>
      <c r="N135" s="8" t="e">
        <f t="shared" ref="N135:O135" si="38">+K135*K74/100</f>
        <v>#REF!</v>
      </c>
      <c r="O135" s="11" t="e">
        <f t="shared" si="38"/>
        <v>#REF!</v>
      </c>
    </row>
    <row r="136" spans="10:15">
      <c r="J136" s="7" t="str">
        <f t="shared" si="26"/>
        <v>Alimentación Filtrado</v>
      </c>
      <c r="K136">
        <v>99</v>
      </c>
      <c r="L136">
        <v>50</v>
      </c>
      <c r="N136" s="8" t="e">
        <f t="shared" ref="N136:O136" si="39">+K136*K75/100</f>
        <v>#REF!</v>
      </c>
      <c r="O136" s="11" t="e">
        <f t="shared" si="39"/>
        <v>#REF!</v>
      </c>
    </row>
    <row r="137" spans="10:15">
      <c r="J137" s="7" t="str">
        <f t="shared" si="26"/>
        <v xml:space="preserve">Alim Nodo Productos Filtrados  </v>
      </c>
      <c r="K137">
        <v>99</v>
      </c>
      <c r="L137">
        <v>50</v>
      </c>
      <c r="N137" s="8" t="e">
        <f t="shared" ref="N137:O137" si="40">+K137*K76/100</f>
        <v>#REF!</v>
      </c>
      <c r="O137" s="11" t="e">
        <f t="shared" si="40"/>
        <v>#REF!</v>
      </c>
    </row>
    <row r="138" spans="10:15">
      <c r="J138" s="7" t="str">
        <f t="shared" si="26"/>
        <v>De filtros a Balling</v>
      </c>
      <c r="K138">
        <v>99</v>
      </c>
      <c r="L138">
        <v>50</v>
      </c>
      <c r="N138" s="8" t="e">
        <f t="shared" ref="N138:O138" si="41">+K138*K77/100</f>
        <v>#REF!</v>
      </c>
      <c r="O138" s="11" t="e">
        <f t="shared" si="41"/>
        <v>#REF!</v>
      </c>
    </row>
    <row r="139" spans="10:15">
      <c r="J139" s="7" t="str">
        <f t="shared" si="26"/>
        <v>Filtrado a Stock Derrames</v>
      </c>
      <c r="K139">
        <v>99</v>
      </c>
      <c r="L139">
        <v>50</v>
      </c>
      <c r="N139" s="8" t="e">
        <f t="shared" ref="N139:O139" si="42">+K139*K78/100</f>
        <v>#REF!</v>
      </c>
      <c r="O139" s="11" t="e">
        <f t="shared" si="42"/>
        <v>#REF!</v>
      </c>
    </row>
    <row r="140" spans="10:15">
      <c r="J140" s="7" t="str">
        <f t="shared" si="26"/>
        <v>Alim Pila Intermedia desde (de nodo post filtros)</v>
      </c>
      <c r="K140">
        <v>99</v>
      </c>
      <c r="L140">
        <v>50</v>
      </c>
      <c r="N140" s="8" t="e">
        <f t="shared" ref="N140:O140" si="43">+K140*K79/100</f>
        <v>#REF!</v>
      </c>
      <c r="O140" s="11" t="e">
        <f t="shared" si="43"/>
        <v>#REF!</v>
      </c>
    </row>
    <row r="141" spans="10:15">
      <c r="J141" s="7" t="str">
        <f t="shared" si="26"/>
        <v>Delta Stock Pila Intermedia</v>
      </c>
      <c r="K141">
        <v>99</v>
      </c>
      <c r="L141">
        <v>50</v>
      </c>
      <c r="N141" s="8" t="e">
        <f t="shared" ref="N141:O141" si="44">+K141*K80/100</f>
        <v>#REF!</v>
      </c>
      <c r="O141" s="11" t="e">
        <f t="shared" si="44"/>
        <v>#REF!</v>
      </c>
    </row>
    <row r="142" spans="10:15">
      <c r="J142" s="7" t="str">
        <f t="shared" si="26"/>
        <v>de Pila Intermedia a Balling</v>
      </c>
      <c r="K142">
        <v>99</v>
      </c>
      <c r="L142">
        <v>50</v>
      </c>
      <c r="N142" s="8" t="e">
        <f t="shared" ref="N142:O142" si="45">+K142*K81/100</f>
        <v>#REF!</v>
      </c>
      <c r="O142" s="11" t="e">
        <f t="shared" si="45"/>
        <v>#REF!</v>
      </c>
    </row>
    <row r="143" spans="10:15">
      <c r="J143" s="7" t="str">
        <f t="shared" si="26"/>
        <v>de Pila Intermadia a Stok Pellet Feed</v>
      </c>
      <c r="K143">
        <v>99</v>
      </c>
      <c r="L143">
        <v>50</v>
      </c>
      <c r="N143" s="8" t="e">
        <f t="shared" ref="N143:O143" si="46">+K143*K82/100</f>
        <v>#REF!</v>
      </c>
      <c r="O143" s="11" t="e">
        <f t="shared" si="46"/>
        <v>#REF!</v>
      </c>
    </row>
    <row r="144" spans="10:15">
      <c r="J144" s="7" t="str">
        <f t="shared" si="26"/>
        <v>a Stock Pellet Feed (de nodo post filtros)</v>
      </c>
      <c r="K144">
        <v>99</v>
      </c>
      <c r="L144">
        <v>50</v>
      </c>
      <c r="N144" s="8" t="e">
        <f t="shared" ref="N144:O144" si="47">+K144*K83/100</f>
        <v>#REF!</v>
      </c>
      <c r="O144" s="11" t="e">
        <f t="shared" si="47"/>
        <v>#REF!</v>
      </c>
    </row>
    <row r="145" spans="10:15">
      <c r="J145" s="7" t="str">
        <f t="shared" si="26"/>
        <v>Delta Stock Pellet Feed</v>
      </c>
      <c r="K145">
        <v>99</v>
      </c>
      <c r="L145">
        <v>50</v>
      </c>
      <c r="N145" s="8" t="e">
        <f t="shared" ref="N145:O145" si="48">+K145*K84/100</f>
        <v>#REF!</v>
      </c>
      <c r="O145" s="11" t="e">
        <f t="shared" si="48"/>
        <v>#REF!</v>
      </c>
    </row>
    <row r="146" spans="10:15">
      <c r="J146" s="4" t="str">
        <f t="shared" si="26"/>
        <v>A embarque de Stock Pellet Feed</v>
      </c>
      <c r="K146" s="4">
        <v>1</v>
      </c>
      <c r="L146" s="4">
        <v>1</v>
      </c>
      <c r="N146" s="8" t="e">
        <f t="shared" ref="N146:O146" si="49">+K146*K85/100</f>
        <v>#REF!</v>
      </c>
      <c r="O146" s="11" t="e">
        <f t="shared" si="49"/>
        <v>#REF!</v>
      </c>
    </row>
    <row r="147" spans="10:15">
      <c r="J147" s="7" t="str">
        <f t="shared" si="26"/>
        <v>Aditivo a Balling</v>
      </c>
      <c r="K147">
        <v>99</v>
      </c>
      <c r="L147">
        <v>50</v>
      </c>
      <c r="N147" s="8" t="e">
        <f t="shared" ref="N147:O147" si="50">+K147*K86/100</f>
        <v>#REF!</v>
      </c>
      <c r="O147" s="11">
        <f t="shared" si="50"/>
        <v>0</v>
      </c>
    </row>
    <row r="148" spans="10:15">
      <c r="J148" s="7" t="str">
        <f t="shared" si="26"/>
        <v>Pellet verde a edurecimiento</v>
      </c>
      <c r="K148">
        <v>99</v>
      </c>
      <c r="L148">
        <v>50</v>
      </c>
      <c r="N148" s="8" t="e">
        <f t="shared" ref="N148:O148" si="51">+K148*K87/100</f>
        <v>#REF!</v>
      </c>
      <c r="O148" s="11">
        <f t="shared" si="51"/>
        <v>0</v>
      </c>
    </row>
    <row r="149" spans="10:15">
      <c r="J149" s="7" t="str">
        <f t="shared" si="26"/>
        <v>Endurecimiento a Stock Derrames</v>
      </c>
      <c r="K149">
        <v>99</v>
      </c>
      <c r="L149">
        <v>50</v>
      </c>
      <c r="N149" s="8" t="e">
        <f t="shared" ref="N149:O149" si="52">+K149*K88/100</f>
        <v>#REF!</v>
      </c>
      <c r="O149" s="11" t="e">
        <f t="shared" si="52"/>
        <v>#REF!</v>
      </c>
    </row>
    <row r="150" spans="10:15">
      <c r="J150" s="7" t="str">
        <f t="shared" si="26"/>
        <v>Delta Inventarios de Derrames</v>
      </c>
      <c r="K150">
        <v>99</v>
      </c>
      <c r="L150">
        <v>50</v>
      </c>
      <c r="N150" s="8" t="e">
        <f t="shared" ref="N150:O150" si="53">+K150*K89/100</f>
        <v>#REF!</v>
      </c>
      <c r="O150" s="11" t="e">
        <f t="shared" si="53"/>
        <v>#REF!</v>
      </c>
    </row>
    <row r="151" spans="10:15">
      <c r="J151" s="7" t="str">
        <f t="shared" si="26"/>
        <v>Chunk de endurecimiento a Pila Chunk</v>
      </c>
      <c r="K151">
        <v>99</v>
      </c>
      <c r="L151">
        <v>50</v>
      </c>
      <c r="N151" s="8" t="e">
        <f t="shared" ref="N151:O151" si="54">+K151*K90/100</f>
        <v>#REF!</v>
      </c>
      <c r="O151" s="11" t="e">
        <f t="shared" si="54"/>
        <v>#REF!</v>
      </c>
    </row>
    <row r="152" spans="10:15">
      <c r="J152" s="7" t="str">
        <f t="shared" si="26"/>
        <v>Delta Stock Pila Chunk</v>
      </c>
      <c r="K152">
        <v>99</v>
      </c>
      <c r="L152">
        <v>50</v>
      </c>
      <c r="N152" s="8" t="e">
        <f t="shared" ref="N152:O152" si="55">+K152*K91/100</f>
        <v>#REF!</v>
      </c>
      <c r="O152" s="11" t="e">
        <f t="shared" si="55"/>
        <v>#REF!</v>
      </c>
    </row>
    <row r="153" spans="10:15">
      <c r="J153" s="7" t="str">
        <f t="shared" si="26"/>
        <v>Aporte Oxidación Endurecimiento</v>
      </c>
      <c r="K153">
        <v>99</v>
      </c>
      <c r="L153">
        <v>50</v>
      </c>
      <c r="N153" s="8" t="e">
        <f t="shared" ref="N153:O153" si="56">+K153*K92/100</f>
        <v>#REF!</v>
      </c>
      <c r="O153" s="11">
        <f t="shared" si="56"/>
        <v>0</v>
      </c>
    </row>
    <row r="154" spans="10:15">
      <c r="J154" s="7" t="str">
        <f t="shared" si="26"/>
        <v xml:space="preserve">Alim endurecido a Pila Emergencia </v>
      </c>
      <c r="K154">
        <v>99</v>
      </c>
      <c r="L154">
        <v>50</v>
      </c>
      <c r="N154" s="8" t="e">
        <f t="shared" ref="N154:O154" si="57">+K154*K93/100</f>
        <v>#REF!</v>
      </c>
      <c r="O154" s="11" t="e">
        <f t="shared" si="57"/>
        <v>#REF!</v>
      </c>
    </row>
    <row r="155" spans="10:15">
      <c r="J155" s="7" t="str">
        <f t="shared" si="26"/>
        <v>De endurecimiento a Harnero Producto</v>
      </c>
      <c r="K155">
        <v>99</v>
      </c>
      <c r="L155">
        <v>50</v>
      </c>
      <c r="N155" s="8" t="e">
        <f t="shared" ref="N155:O155" si="58">+K155*K94/100</f>
        <v>#REF!</v>
      </c>
      <c r="O155" s="11" t="e">
        <f t="shared" si="58"/>
        <v>#REF!</v>
      </c>
    </row>
    <row r="156" spans="10:15">
      <c r="J156" s="7" t="str">
        <f t="shared" si="26"/>
        <v>Alim Harnero Producto desde Pila de Emergencia</v>
      </c>
      <c r="K156">
        <v>99</v>
      </c>
      <c r="L156">
        <v>50</v>
      </c>
      <c r="N156" s="8" t="e">
        <f t="shared" ref="N156:O156" si="59">+K156*K95/100</f>
        <v>#REF!</v>
      </c>
      <c r="O156" s="11" t="e">
        <f t="shared" si="59"/>
        <v>#REF!</v>
      </c>
    </row>
    <row r="157" spans="10:15">
      <c r="J157" s="7" t="str">
        <f t="shared" si="26"/>
        <v>Delta Stock Pila Emergencia</v>
      </c>
      <c r="K157">
        <v>99</v>
      </c>
      <c r="L157">
        <v>50</v>
      </c>
      <c r="N157" s="8" t="e">
        <f t="shared" ref="N157:O157" si="60">+K157*K96/100</f>
        <v>#REF!</v>
      </c>
      <c r="O157" s="11" t="e">
        <f t="shared" si="60"/>
        <v>#REF!</v>
      </c>
    </row>
    <row r="158" spans="10:15">
      <c r="J158" s="7" t="str">
        <f t="shared" si="26"/>
        <v>De harnero Producto a Pila Chip Fresco</v>
      </c>
      <c r="K158">
        <v>99</v>
      </c>
      <c r="L158">
        <v>50</v>
      </c>
      <c r="N158" s="8" t="e">
        <f t="shared" ref="N158:O158" si="61">+K158*K97/100</f>
        <v>#REF!</v>
      </c>
      <c r="O158" s="11" t="e">
        <f t="shared" si="61"/>
        <v>#REF!</v>
      </c>
    </row>
    <row r="159" spans="10:15">
      <c r="J159" s="7" t="str">
        <f t="shared" si="26"/>
        <v>Delta Stock Pila Chip Fresco</v>
      </c>
      <c r="K159">
        <v>99</v>
      </c>
      <c r="L159">
        <v>50</v>
      </c>
      <c r="N159" s="8" t="e">
        <f t="shared" ref="N159:O159" si="62">+K159*K98/100</f>
        <v>#REF!</v>
      </c>
      <c r="O159" s="11" t="e">
        <f t="shared" si="62"/>
        <v>#REF!</v>
      </c>
    </row>
    <row r="160" spans="10:15">
      <c r="J160" s="7" t="str">
        <f t="shared" si="26"/>
        <v>De Harnero Producto a Stock Pellets Básico</v>
      </c>
      <c r="K160">
        <v>99</v>
      </c>
      <c r="L160">
        <v>50</v>
      </c>
      <c r="N160" s="8" t="e">
        <f t="shared" ref="N160:O160" si="63">+K160*K99/100</f>
        <v>#REF!</v>
      </c>
      <c r="O160" s="11">
        <f t="shared" si="63"/>
        <v>0</v>
      </c>
    </row>
    <row r="161" spans="10:15">
      <c r="J161" s="7" t="str">
        <f t="shared" si="26"/>
        <v>Delta Stock Pellet Básico</v>
      </c>
      <c r="K161">
        <v>99</v>
      </c>
      <c r="L161">
        <v>50</v>
      </c>
      <c r="N161" s="8" t="e">
        <f t="shared" ref="N161:O161" si="64">+K161*K100/100</f>
        <v>#REF!</v>
      </c>
      <c r="O161" s="11" t="e">
        <f t="shared" si="64"/>
        <v>#REF!</v>
      </c>
    </row>
    <row r="162" spans="10:15">
      <c r="J162" s="4" t="str">
        <f t="shared" si="26"/>
        <v>A embarque desde Pellet básico</v>
      </c>
      <c r="K162" s="4">
        <v>1</v>
      </c>
      <c r="L162" s="4">
        <v>1</v>
      </c>
      <c r="N162" s="8" t="e">
        <f t="shared" ref="N162:O162" si="65">+K162*K101/100</f>
        <v>#REF!</v>
      </c>
      <c r="O162" s="11" t="e">
        <f t="shared" si="65"/>
        <v>#REF!</v>
      </c>
    </row>
    <row r="163" spans="10:15">
      <c r="J163" s="7" t="str">
        <f t="shared" si="26"/>
        <v>Alimentación Chip Fresco a Re harneo</v>
      </c>
      <c r="K163">
        <v>99</v>
      </c>
      <c r="L163">
        <v>50</v>
      </c>
      <c r="N163" s="8" t="e">
        <f t="shared" ref="N163:O163" si="66">+K163*K102/100</f>
        <v>#REF!</v>
      </c>
      <c r="O163" s="11" t="e">
        <f t="shared" si="66"/>
        <v>#REF!</v>
      </c>
    </row>
    <row r="164" spans="10:15">
      <c r="J164" s="7" t="str">
        <f t="shared" si="26"/>
        <v>Alimentación de Stock de Derrames a Planta de Re Harneo</v>
      </c>
      <c r="K164">
        <v>99</v>
      </c>
      <c r="L164">
        <v>50</v>
      </c>
      <c r="N164" s="8" t="e">
        <f t="shared" ref="N164:O164" si="67">+K164*K103/100</f>
        <v>#REF!</v>
      </c>
      <c r="O164" s="11">
        <f t="shared" si="67"/>
        <v>0.25</v>
      </c>
    </row>
    <row r="165" spans="10:15">
      <c r="J165" s="7" t="str">
        <f t="shared" si="26"/>
        <v>Alimentación de Pila Chunk a Re Harneo</v>
      </c>
      <c r="K165">
        <v>99</v>
      </c>
      <c r="L165">
        <v>50</v>
      </c>
      <c r="N165" s="8" t="e">
        <f t="shared" ref="N165:O165" si="68">+K165*K104/100</f>
        <v>#REF!</v>
      </c>
      <c r="O165" s="11" t="e">
        <f t="shared" si="68"/>
        <v>#REF!</v>
      </c>
    </row>
    <row r="166" spans="10:15">
      <c r="J166" s="7" t="str">
        <f t="shared" si="26"/>
        <v>Intermedio Re harneo de derrames a Stock Pila de Emergencia</v>
      </c>
      <c r="K166">
        <v>99</v>
      </c>
      <c r="L166">
        <v>50</v>
      </c>
      <c r="N166" s="8" t="e">
        <f t="shared" ref="N166:O166" si="69">+K166*K105/100</f>
        <v>#REF!</v>
      </c>
      <c r="O166" s="11" t="e">
        <f t="shared" si="69"/>
        <v>#REF!</v>
      </c>
    </row>
    <row r="167" spans="10:15">
      <c r="J167" s="7" t="str">
        <f t="shared" si="26"/>
        <v xml:space="preserve">Alimentación Total a  Stock Finos Huasco de Embarque </v>
      </c>
      <c r="K167">
        <v>99</v>
      </c>
      <c r="L167">
        <v>50</v>
      </c>
      <c r="N167" s="8" t="e">
        <f t="shared" ref="N167:O167" si="70">+K167*K106/100</f>
        <v>#REF!</v>
      </c>
      <c r="O167" s="11" t="e">
        <f t="shared" si="70"/>
        <v>#REF!</v>
      </c>
    </row>
    <row r="168" spans="10:15">
      <c r="J168" s="7" t="str">
        <f t="shared" si="26"/>
        <v xml:space="preserve">Chip Bajo tamaño de Re Harneo a Stock P Chip de Embarque </v>
      </c>
      <c r="K168">
        <v>99</v>
      </c>
      <c r="L168">
        <v>50</v>
      </c>
      <c r="N168" s="8" t="e">
        <f t="shared" ref="N168:O168" si="71">+K168*K107/100</f>
        <v>#REF!</v>
      </c>
      <c r="O168" s="11" t="e">
        <f t="shared" si="71"/>
        <v>#REF!</v>
      </c>
    </row>
    <row r="169" spans="10:15">
      <c r="J169" s="7" t="str">
        <f t="shared" si="26"/>
        <v>Traspaso de F Huasco a S Feed</v>
      </c>
      <c r="K169">
        <v>99</v>
      </c>
      <c r="L169">
        <v>50</v>
      </c>
      <c r="N169" s="8" t="e">
        <f t="shared" ref="N169:O169" si="72">+K169*K108/100</f>
        <v>#REF!</v>
      </c>
      <c r="O169" s="11" t="e">
        <f t="shared" si="72"/>
        <v>#REF!</v>
      </c>
    </row>
    <row r="170" spans="10:15">
      <c r="J170" s="4" t="str">
        <f t="shared" si="26"/>
        <v>A embarque desde Stock Finos Huasco</v>
      </c>
      <c r="K170" s="4">
        <v>1</v>
      </c>
      <c r="L170" s="4">
        <v>1</v>
      </c>
      <c r="N170" s="8" t="e">
        <f t="shared" ref="N170:O170" si="73">+K170*K109/100</f>
        <v>#REF!</v>
      </c>
      <c r="O170" s="11" t="e">
        <f t="shared" si="73"/>
        <v>#REF!</v>
      </c>
    </row>
    <row r="171" spans="10:15">
      <c r="J171" s="7" t="str">
        <f t="shared" si="26"/>
        <v>Delta Stock Finos Huasco</v>
      </c>
      <c r="K171">
        <v>99</v>
      </c>
      <c r="L171">
        <v>50</v>
      </c>
      <c r="N171" s="8" t="e">
        <f t="shared" ref="N171:O171" si="74">+K171*K110/100</f>
        <v>#REF!</v>
      </c>
      <c r="O171" s="11" t="e">
        <f t="shared" si="74"/>
        <v>#REF!</v>
      </c>
    </row>
    <row r="172" spans="10:15">
      <c r="J172" s="4" t="str">
        <f t="shared" si="26"/>
        <v>A embarque desde Stock Sinter Feed</v>
      </c>
      <c r="K172" s="4">
        <v>1</v>
      </c>
      <c r="L172" s="4">
        <v>1</v>
      </c>
      <c r="N172" s="8" t="e">
        <f t="shared" ref="N172:O172" si="75">+K172*K111/100</f>
        <v>#REF!</v>
      </c>
      <c r="O172" s="11" t="e">
        <f t="shared" si="75"/>
        <v>#REF!</v>
      </c>
    </row>
    <row r="173" spans="10:15">
      <c r="J173" s="7" t="str">
        <f t="shared" si="26"/>
        <v>Delta Stock Sinter Feed</v>
      </c>
      <c r="K173">
        <v>99</v>
      </c>
      <c r="L173">
        <v>50</v>
      </c>
      <c r="N173" s="8" t="e">
        <f t="shared" ref="N173:O173" si="76">+K173*K112/100</f>
        <v>#REF!</v>
      </c>
      <c r="O173" s="11" t="e">
        <f t="shared" si="76"/>
        <v>#REF!</v>
      </c>
    </row>
    <row r="174" spans="10:15">
      <c r="J174" s="7" t="str">
        <f t="shared" si="26"/>
        <v>Traspaso de  P Chip a P Básico</v>
      </c>
      <c r="K174">
        <v>99</v>
      </c>
      <c r="L174">
        <v>50</v>
      </c>
      <c r="N174" s="8" t="e">
        <f t="shared" ref="N174:O174" si="77">+K174*K113/100</f>
        <v>#REF!</v>
      </c>
      <c r="O174" s="11" t="e">
        <f t="shared" si="77"/>
        <v>#REF!</v>
      </c>
    </row>
    <row r="175" spans="10:15">
      <c r="J175" s="4" t="str">
        <f t="shared" si="26"/>
        <v>A embarque desde Stock Pellet Chip</v>
      </c>
      <c r="K175" s="4">
        <v>1</v>
      </c>
      <c r="L175" s="4">
        <v>1</v>
      </c>
      <c r="N175" s="8" t="e">
        <f t="shared" ref="N175:O175" si="78">+K175*K114/100</f>
        <v>#REF!</v>
      </c>
      <c r="O175" s="11" t="e">
        <f t="shared" si="78"/>
        <v>#REF!</v>
      </c>
    </row>
    <row r="176" spans="10:15">
      <c r="J176" s="7" t="str">
        <f t="shared" si="26"/>
        <v>Delta Stock Pellet Chip</v>
      </c>
      <c r="K176">
        <v>99</v>
      </c>
      <c r="L176">
        <v>50</v>
      </c>
      <c r="N176" s="8" t="e">
        <f t="shared" ref="N176:O176" si="79">+K176*K115/100</f>
        <v>#REF!</v>
      </c>
      <c r="O176" s="11" t="e">
        <f t="shared" si="79"/>
        <v>#REF!</v>
      </c>
    </row>
    <row r="177" spans="10:15">
      <c r="J177" s="4" t="str">
        <f t="shared" si="26"/>
        <v>Total Embarcado</v>
      </c>
      <c r="K177" s="4">
        <v>1</v>
      </c>
      <c r="L177" s="4">
        <v>1</v>
      </c>
      <c r="N177" s="8" t="e">
        <f t="shared" ref="N177:O177" si="80">+K177*K116/100</f>
        <v>#REF!</v>
      </c>
      <c r="O177" s="11" t="e">
        <f t="shared" si="80"/>
        <v>#REF!</v>
      </c>
    </row>
    <row r="180" spans="10:15">
      <c r="K180" s="55" t="s">
        <v>68</v>
      </c>
      <c r="L180" s="55"/>
    </row>
    <row r="181" spans="10:15" ht="16" thickBot="1">
      <c r="K181" s="17" t="s">
        <v>66</v>
      </c>
      <c r="L181" s="17" t="s">
        <v>61</v>
      </c>
    </row>
    <row r="182" spans="10:15" ht="16" thickBot="1">
      <c r="J182" s="7" t="str">
        <f>+J123</f>
        <v>De Prec Los Colorados Nodo Alim Planta de Pellet</v>
      </c>
      <c r="K182" s="20">
        <f>+IF(N123&lt;&gt;0,((N62-K62)^2)/N123^2,"")</f>
        <v>247.57462708103299</v>
      </c>
      <c r="L182" s="20">
        <f>+IF(O123&lt;&gt;0,((O62-L62)^2)/O123^2,"")</f>
        <v>1.4924417832233347E-2</v>
      </c>
    </row>
    <row r="183" spans="10:15" ht="16" thickBot="1">
      <c r="J183" s="7" t="str">
        <f t="shared" ref="J183:J236" si="81">+J124</f>
        <v>Preconc Los Colorados a Stock Sinter Feed</v>
      </c>
      <c r="K183" s="20" t="e">
        <f t="shared" ref="K183:L183" si="82">+IF(N124&lt;&gt;0,((N63-K63)^2)/N124^2,"")</f>
        <v>#REF!</v>
      </c>
      <c r="L183" s="20" t="e">
        <f t="shared" si="82"/>
        <v>#REF!</v>
      </c>
    </row>
    <row r="184" spans="10:15" ht="16" thickBot="1">
      <c r="J184" s="7" t="str">
        <f t="shared" si="81"/>
        <v>Prec los Colorados a Stock Prec Planta Pellet</v>
      </c>
      <c r="K184" s="20" t="e">
        <f t="shared" ref="K184:L184" si="83">+IF(N125&lt;&gt;0,((N64-K64)^2)/N125^2,"")</f>
        <v>#REF!</v>
      </c>
      <c r="L184" s="20" t="e">
        <f t="shared" si="83"/>
        <v>#REF!</v>
      </c>
    </row>
    <row r="185" spans="10:15" ht="16" thickBot="1">
      <c r="J185" s="7" t="str">
        <f t="shared" si="81"/>
        <v>Re-Harneo a Stock Prec Planta Pellet</v>
      </c>
      <c r="K185" s="20" t="e">
        <f t="shared" ref="K185:L185" si="84">+IF(N126&lt;&gt;0,((N65-K65)^2)/N126^2,"")</f>
        <v>#REF!</v>
      </c>
      <c r="L185" s="20" t="e">
        <f t="shared" si="84"/>
        <v>#REF!</v>
      </c>
    </row>
    <row r="186" spans="10:15" ht="16" thickBot="1">
      <c r="J186" s="7" t="str">
        <f t="shared" si="81"/>
        <v>Delta Stock  Prec Planta Pellet</v>
      </c>
      <c r="K186" s="20" t="e">
        <f t="shared" ref="K186:L186" si="85">+IF(N127&lt;&gt;0,((N66-K66)^2)/N127^2,"")</f>
        <v>#REF!</v>
      </c>
      <c r="L186" s="20" t="e">
        <f t="shared" si="85"/>
        <v>#REF!</v>
      </c>
    </row>
    <row r="187" spans="10:15" ht="16" thickBot="1">
      <c r="J187" s="7" t="str">
        <f t="shared" si="81"/>
        <v>Alim Silos Molienda</v>
      </c>
      <c r="K187" s="20" t="e">
        <f t="shared" ref="K187:L187" si="86">+IF(N128&lt;&gt;0,((N67-K67)^2)/N128^2,"")</f>
        <v>#REF!</v>
      </c>
      <c r="L187" s="20" t="e">
        <f t="shared" si="86"/>
        <v>#REF!</v>
      </c>
    </row>
    <row r="188" spans="10:15" ht="16" thickBot="1">
      <c r="J188" s="7" t="str">
        <f t="shared" si="81"/>
        <v>Delta Stock Silos Molienda</v>
      </c>
      <c r="K188" s="20" t="e">
        <f t="shared" ref="K188:L188" si="87">+IF(N129&lt;&gt;0,((N68-K68)^2)/N129^2,"")</f>
        <v>#REF!</v>
      </c>
      <c r="L188" s="20" t="e">
        <f t="shared" si="87"/>
        <v>#REF!</v>
      </c>
    </row>
    <row r="189" spans="10:15" ht="16" thickBot="1">
      <c r="J189" s="7" t="str">
        <f t="shared" si="81"/>
        <v>Aliment Molienda Clasificación</v>
      </c>
      <c r="K189" s="20" t="e">
        <f t="shared" ref="K189:L189" si="88">+IF(N130&lt;&gt;0,((N69-K69)^2)/N130^2,"")</f>
        <v>#REF!</v>
      </c>
      <c r="L189" s="20" t="e">
        <f t="shared" si="88"/>
        <v>#REF!</v>
      </c>
    </row>
    <row r="190" spans="10:15" ht="16" thickBot="1">
      <c r="J190" s="7" t="str">
        <f t="shared" si="81"/>
        <v>De Molienda/clasificación a Stock Derrames</v>
      </c>
      <c r="K190" s="20" t="e">
        <f t="shared" ref="K190:L190" si="89">+IF(N131&lt;&gt;0,((N70-K70)^2)/N131^2,"")</f>
        <v>#REF!</v>
      </c>
      <c r="L190" s="20" t="e">
        <f t="shared" si="89"/>
        <v>#REF!</v>
      </c>
    </row>
    <row r="191" spans="10:15" ht="16" thickBot="1">
      <c r="J191" s="7" t="str">
        <f t="shared" si="81"/>
        <v>EMISARIO SUBMARINO</v>
      </c>
      <c r="K191" s="20" t="e">
        <f t="shared" ref="K191:L191" si="90">+IF(N132&lt;&gt;0,((N71-K71)^2)/N132^2,"")</f>
        <v>#REF!</v>
      </c>
      <c r="L191" s="20" t="e">
        <f t="shared" si="90"/>
        <v>#REF!</v>
      </c>
    </row>
    <row r="192" spans="10:15" ht="16" thickBot="1">
      <c r="J192" s="7" t="str">
        <f t="shared" si="81"/>
        <v>Alimentación a TK  Inventarios</v>
      </c>
      <c r="K192" s="20" t="e">
        <f t="shared" ref="K192:L192" si="91">+IF(N133&lt;&gt;0,((N72-K72)^2)/N133^2,"")</f>
        <v>#REF!</v>
      </c>
      <c r="L192" s="20" t="e">
        <f t="shared" si="91"/>
        <v>#REF!</v>
      </c>
    </row>
    <row r="193" spans="10:12" ht="16" thickBot="1">
      <c r="J193" s="7" t="str">
        <f t="shared" si="81"/>
        <v>Delta TK inventarios</v>
      </c>
      <c r="K193" s="20" t="e">
        <f t="shared" ref="K193:L193" si="92">+IF(N134&lt;&gt;0,((N73-K73)^2)/N134^2,"")</f>
        <v>#REF!</v>
      </c>
      <c r="L193" s="20" t="e">
        <f t="shared" si="92"/>
        <v>#REF!</v>
      </c>
    </row>
    <row r="194" spans="10:12" ht="16" thickBot="1">
      <c r="J194" s="7" t="str">
        <f t="shared" si="81"/>
        <v>TK Inventario a Stock Derrames</v>
      </c>
      <c r="K194" s="20" t="e">
        <f t="shared" ref="K194:L194" si="93">+IF(N135&lt;&gt;0,((N74-K74)^2)/N135^2,"")</f>
        <v>#REF!</v>
      </c>
      <c r="L194" s="20" t="e">
        <f t="shared" si="93"/>
        <v>#REF!</v>
      </c>
    </row>
    <row r="195" spans="10:12" ht="16" thickBot="1">
      <c r="J195" s="7" t="str">
        <f t="shared" si="81"/>
        <v>Alimentación Filtrado</v>
      </c>
      <c r="K195" s="20" t="e">
        <f t="shared" ref="K195:L195" si="94">+IF(N136&lt;&gt;0,((N75-K75)^2)/N136^2,"")</f>
        <v>#REF!</v>
      </c>
      <c r="L195" s="20" t="e">
        <f t="shared" si="94"/>
        <v>#REF!</v>
      </c>
    </row>
    <row r="196" spans="10:12" ht="16" thickBot="1">
      <c r="J196" s="7" t="str">
        <f t="shared" si="81"/>
        <v xml:space="preserve">Alim Nodo Productos Filtrados  </v>
      </c>
      <c r="K196" s="20" t="e">
        <f t="shared" ref="K196:L196" si="95">+IF(N137&lt;&gt;0,((N76-K76)^2)/N137^2,"")</f>
        <v>#REF!</v>
      </c>
      <c r="L196" s="20" t="e">
        <f t="shared" si="95"/>
        <v>#REF!</v>
      </c>
    </row>
    <row r="197" spans="10:12" ht="16" thickBot="1">
      <c r="J197" s="7" t="str">
        <f t="shared" si="81"/>
        <v>De filtros a Balling</v>
      </c>
      <c r="K197" s="20" t="e">
        <f t="shared" ref="K197:L197" si="96">+IF(N138&lt;&gt;0,((N77-K77)^2)/N138^2,"")</f>
        <v>#REF!</v>
      </c>
      <c r="L197" s="20" t="e">
        <f t="shared" si="96"/>
        <v>#REF!</v>
      </c>
    </row>
    <row r="198" spans="10:12" ht="16" thickBot="1">
      <c r="J198" s="7" t="str">
        <f t="shared" si="81"/>
        <v>Filtrado a Stock Derrames</v>
      </c>
      <c r="K198" s="20" t="e">
        <f t="shared" ref="K198:L198" si="97">+IF(N139&lt;&gt;0,((N78-K78)^2)/N139^2,"")</f>
        <v>#REF!</v>
      </c>
      <c r="L198" s="20" t="e">
        <f t="shared" si="97"/>
        <v>#REF!</v>
      </c>
    </row>
    <row r="199" spans="10:12" ht="16" thickBot="1">
      <c r="J199" s="7" t="str">
        <f t="shared" si="81"/>
        <v>Alim Pila Intermedia desde (de nodo post filtros)</v>
      </c>
      <c r="K199" s="20" t="e">
        <f t="shared" ref="K199:L199" si="98">+IF(N140&lt;&gt;0,((N79-K79)^2)/N140^2,"")</f>
        <v>#REF!</v>
      </c>
      <c r="L199" s="20" t="e">
        <f t="shared" si="98"/>
        <v>#REF!</v>
      </c>
    </row>
    <row r="200" spans="10:12" ht="16" thickBot="1">
      <c r="J200" s="7" t="str">
        <f t="shared" si="81"/>
        <v>Delta Stock Pila Intermedia</v>
      </c>
      <c r="K200" s="20" t="e">
        <f t="shared" ref="K200:L200" si="99">+IF(N141&lt;&gt;0,((N80-K80)^2)/N141^2,"")</f>
        <v>#REF!</v>
      </c>
      <c r="L200" s="20" t="e">
        <f t="shared" si="99"/>
        <v>#REF!</v>
      </c>
    </row>
    <row r="201" spans="10:12" ht="16" thickBot="1">
      <c r="J201" s="7" t="str">
        <f t="shared" si="81"/>
        <v>de Pila Intermedia a Balling</v>
      </c>
      <c r="K201" s="20" t="e">
        <f t="shared" ref="K201:L201" si="100">+IF(N142&lt;&gt;0,((N81-K81)^2)/N142^2,"")</f>
        <v>#REF!</v>
      </c>
      <c r="L201" s="20" t="e">
        <f t="shared" si="100"/>
        <v>#REF!</v>
      </c>
    </row>
    <row r="202" spans="10:12" ht="16" thickBot="1">
      <c r="J202" s="7" t="str">
        <f t="shared" si="81"/>
        <v>de Pila Intermadia a Stok Pellet Feed</v>
      </c>
      <c r="K202" s="20" t="e">
        <f t="shared" ref="K202:L202" si="101">+IF(N143&lt;&gt;0,((N82-K82)^2)/N143^2,"")</f>
        <v>#REF!</v>
      </c>
      <c r="L202" s="20" t="e">
        <f t="shared" si="101"/>
        <v>#REF!</v>
      </c>
    </row>
    <row r="203" spans="10:12" ht="16" thickBot="1">
      <c r="J203" s="7" t="str">
        <f t="shared" si="81"/>
        <v>a Stock Pellet Feed (de nodo post filtros)</v>
      </c>
      <c r="K203" s="20" t="e">
        <f t="shared" ref="K203:L203" si="102">+IF(N144&lt;&gt;0,((N83-K83)^2)/N144^2,"")</f>
        <v>#REF!</v>
      </c>
      <c r="L203" s="20" t="e">
        <f t="shared" si="102"/>
        <v>#REF!</v>
      </c>
    </row>
    <row r="204" spans="10:12" ht="16" thickBot="1">
      <c r="J204" s="7" t="str">
        <f t="shared" si="81"/>
        <v>Delta Stock Pellet Feed</v>
      </c>
      <c r="K204" s="20" t="e">
        <f t="shared" ref="K204:L204" si="103">+IF(N145&lt;&gt;0,((N84-K84)^2)/N145^2,"")</f>
        <v>#REF!</v>
      </c>
      <c r="L204" s="20" t="e">
        <f t="shared" si="103"/>
        <v>#REF!</v>
      </c>
    </row>
    <row r="205" spans="10:12" ht="16" thickBot="1">
      <c r="J205" s="7" t="str">
        <f t="shared" si="81"/>
        <v>A embarque de Stock Pellet Feed</v>
      </c>
      <c r="K205" s="20" t="e">
        <f t="shared" ref="K205:L205" si="104">+IF(N146&lt;&gt;0,((N85-K85)^2)/N146^2,"")</f>
        <v>#REF!</v>
      </c>
      <c r="L205" s="20" t="e">
        <f t="shared" si="104"/>
        <v>#REF!</v>
      </c>
    </row>
    <row r="206" spans="10:12" ht="16" thickBot="1">
      <c r="J206" s="7" t="str">
        <f t="shared" si="81"/>
        <v>Aditivo a Balling</v>
      </c>
      <c r="K206" s="20" t="e">
        <f t="shared" ref="K206:L206" si="105">+IF(N147&lt;&gt;0,((N86-K86)^2)/N147^2,"")</f>
        <v>#REF!</v>
      </c>
      <c r="L206" s="20" t="str">
        <f t="shared" si="105"/>
        <v/>
      </c>
    </row>
    <row r="207" spans="10:12" ht="16" thickBot="1">
      <c r="J207" s="7" t="str">
        <f t="shared" si="81"/>
        <v>Pellet verde a edurecimiento</v>
      </c>
      <c r="K207" s="20" t="e">
        <f t="shared" ref="K207:L207" si="106">+IF(N148&lt;&gt;0,((N87-K87)^2)/N148^2,"")</f>
        <v>#REF!</v>
      </c>
      <c r="L207" s="20" t="str">
        <f t="shared" si="106"/>
        <v/>
      </c>
    </row>
    <row r="208" spans="10:12" ht="16" thickBot="1">
      <c r="J208" s="7" t="str">
        <f t="shared" si="81"/>
        <v>Endurecimiento a Stock Derrames</v>
      </c>
      <c r="K208" s="20" t="e">
        <f t="shared" ref="K208:L208" si="107">+IF(N149&lt;&gt;0,((N88-K88)^2)/N149^2,"")</f>
        <v>#REF!</v>
      </c>
      <c r="L208" s="20" t="e">
        <f t="shared" si="107"/>
        <v>#REF!</v>
      </c>
    </row>
    <row r="209" spans="10:12" ht="16" thickBot="1">
      <c r="J209" s="7" t="str">
        <f t="shared" si="81"/>
        <v>Delta Inventarios de Derrames</v>
      </c>
      <c r="K209" s="20" t="e">
        <f t="shared" ref="K209:L209" si="108">+IF(N150&lt;&gt;0,((N89-K89)^2)/N150^2,"")</f>
        <v>#REF!</v>
      </c>
      <c r="L209" s="20" t="e">
        <f t="shared" si="108"/>
        <v>#REF!</v>
      </c>
    </row>
    <row r="210" spans="10:12" ht="16" thickBot="1">
      <c r="J210" s="7" t="str">
        <f t="shared" si="81"/>
        <v>Chunk de endurecimiento a Pila Chunk</v>
      </c>
      <c r="K210" s="20" t="e">
        <f t="shared" ref="K210:L210" si="109">+IF(N151&lt;&gt;0,((N90-K90)^2)/N151^2,"")</f>
        <v>#REF!</v>
      </c>
      <c r="L210" s="20" t="e">
        <f t="shared" si="109"/>
        <v>#REF!</v>
      </c>
    </row>
    <row r="211" spans="10:12" ht="16" thickBot="1">
      <c r="J211" s="7" t="str">
        <f t="shared" si="81"/>
        <v>Delta Stock Pila Chunk</v>
      </c>
      <c r="K211" s="20" t="e">
        <f t="shared" ref="K211:L211" si="110">+IF(N152&lt;&gt;0,((N91-K91)^2)/N152^2,"")</f>
        <v>#REF!</v>
      </c>
      <c r="L211" s="20" t="e">
        <f t="shared" si="110"/>
        <v>#REF!</v>
      </c>
    </row>
    <row r="212" spans="10:12" ht="16" thickBot="1">
      <c r="J212" s="7" t="str">
        <f t="shared" si="81"/>
        <v>Aporte Oxidación Endurecimiento</v>
      </c>
      <c r="K212" s="20" t="e">
        <f t="shared" ref="K212:L212" si="111">+IF(N153&lt;&gt;0,((N92-K92)^2)/N153^2,"")</f>
        <v>#REF!</v>
      </c>
      <c r="L212" s="20" t="str">
        <f t="shared" si="111"/>
        <v/>
      </c>
    </row>
    <row r="213" spans="10:12" ht="16" thickBot="1">
      <c r="J213" s="7" t="str">
        <f t="shared" si="81"/>
        <v xml:space="preserve">Alim endurecido a Pila Emergencia </v>
      </c>
      <c r="K213" s="20" t="e">
        <f t="shared" ref="K213:L213" si="112">+IF(N154&lt;&gt;0,((N93-K93)^2)/N154^2,"")</f>
        <v>#REF!</v>
      </c>
      <c r="L213" s="20" t="e">
        <f t="shared" si="112"/>
        <v>#REF!</v>
      </c>
    </row>
    <row r="214" spans="10:12" ht="16" thickBot="1">
      <c r="J214" s="7" t="str">
        <f t="shared" si="81"/>
        <v>De endurecimiento a Harnero Producto</v>
      </c>
      <c r="K214" s="20" t="e">
        <f t="shared" ref="K214:L214" si="113">+IF(N155&lt;&gt;0,((N94-K94)^2)/N155^2,"")</f>
        <v>#REF!</v>
      </c>
      <c r="L214" s="20" t="e">
        <f t="shared" si="113"/>
        <v>#REF!</v>
      </c>
    </row>
    <row r="215" spans="10:12" ht="16" thickBot="1">
      <c r="J215" s="7" t="str">
        <f t="shared" si="81"/>
        <v>Alim Harnero Producto desde Pila de Emergencia</v>
      </c>
      <c r="K215" s="20" t="e">
        <f t="shared" ref="K215:L215" si="114">+IF(N156&lt;&gt;0,((N95-K95)^2)/N156^2,"")</f>
        <v>#REF!</v>
      </c>
      <c r="L215" s="20" t="e">
        <f t="shared" si="114"/>
        <v>#REF!</v>
      </c>
    </row>
    <row r="216" spans="10:12" ht="16" thickBot="1">
      <c r="J216" s="7" t="str">
        <f t="shared" si="81"/>
        <v>Delta Stock Pila Emergencia</v>
      </c>
      <c r="K216" s="20" t="e">
        <f t="shared" ref="K216:L216" si="115">+IF(N157&lt;&gt;0,((N96-K96)^2)/N157^2,"")</f>
        <v>#REF!</v>
      </c>
      <c r="L216" s="20" t="e">
        <f t="shared" si="115"/>
        <v>#REF!</v>
      </c>
    </row>
    <row r="217" spans="10:12" ht="16" thickBot="1">
      <c r="J217" s="7" t="str">
        <f t="shared" si="81"/>
        <v>De harnero Producto a Pila Chip Fresco</v>
      </c>
      <c r="K217" s="20" t="e">
        <f t="shared" ref="K217:L217" si="116">+IF(N158&lt;&gt;0,((N97-K97)^2)/N158^2,"")</f>
        <v>#REF!</v>
      </c>
      <c r="L217" s="20" t="e">
        <f t="shared" si="116"/>
        <v>#REF!</v>
      </c>
    </row>
    <row r="218" spans="10:12" ht="16" thickBot="1">
      <c r="J218" s="7" t="str">
        <f t="shared" si="81"/>
        <v>Delta Stock Pila Chip Fresco</v>
      </c>
      <c r="K218" s="20" t="e">
        <f t="shared" ref="K218:L218" si="117">+IF(N159&lt;&gt;0,((N98-K98)^2)/N159^2,"")</f>
        <v>#REF!</v>
      </c>
      <c r="L218" s="20" t="e">
        <f t="shared" si="117"/>
        <v>#REF!</v>
      </c>
    </row>
    <row r="219" spans="10:12" ht="16" thickBot="1">
      <c r="J219" s="7" t="str">
        <f t="shared" si="81"/>
        <v>De Harnero Producto a Stock Pellets Básico</v>
      </c>
      <c r="K219" s="20" t="e">
        <f t="shared" ref="K219:L219" si="118">+IF(N160&lt;&gt;0,((N99-K99)^2)/N160^2,"")</f>
        <v>#REF!</v>
      </c>
      <c r="L219" s="20" t="str">
        <f t="shared" si="118"/>
        <v/>
      </c>
    </row>
    <row r="220" spans="10:12" ht="16" thickBot="1">
      <c r="J220" s="7" t="str">
        <f t="shared" si="81"/>
        <v>Delta Stock Pellet Básico</v>
      </c>
      <c r="K220" s="20" t="e">
        <f t="shared" ref="K220:L220" si="119">+IF(N161&lt;&gt;0,((N100-K100)^2)/N161^2,"")</f>
        <v>#REF!</v>
      </c>
      <c r="L220" s="20" t="e">
        <f t="shared" si="119"/>
        <v>#REF!</v>
      </c>
    </row>
    <row r="221" spans="10:12" ht="16" thickBot="1">
      <c r="J221" s="7" t="str">
        <f t="shared" si="81"/>
        <v>A embarque desde Pellet básico</v>
      </c>
      <c r="K221" s="20" t="e">
        <f t="shared" ref="K221:L221" si="120">+IF(N162&lt;&gt;0,((N101-K101)^2)/N162^2,"")</f>
        <v>#REF!</v>
      </c>
      <c r="L221" s="20" t="e">
        <f t="shared" si="120"/>
        <v>#REF!</v>
      </c>
    </row>
    <row r="222" spans="10:12" ht="16" thickBot="1">
      <c r="J222" s="7" t="str">
        <f t="shared" si="81"/>
        <v>Alimentación Chip Fresco a Re harneo</v>
      </c>
      <c r="K222" s="20" t="e">
        <f t="shared" ref="K222:L222" si="121">+IF(N163&lt;&gt;0,((N102-K102)^2)/N163^2,"")</f>
        <v>#REF!</v>
      </c>
      <c r="L222" s="20" t="e">
        <f t="shared" si="121"/>
        <v>#REF!</v>
      </c>
    </row>
    <row r="223" spans="10:12" ht="16" thickBot="1">
      <c r="J223" s="7" t="str">
        <f t="shared" si="81"/>
        <v>Alimentación de Stock de Derrames a Planta de Re Harneo</v>
      </c>
      <c r="K223" s="20" t="e">
        <f t="shared" ref="K223:L223" si="122">+IF(N164&lt;&gt;0,((N103-K103)^2)/N164^2,"")</f>
        <v>#REF!</v>
      </c>
      <c r="L223" s="20">
        <f t="shared" si="122"/>
        <v>3.6687710708313573E-2</v>
      </c>
    </row>
    <row r="224" spans="10:12" ht="16" thickBot="1">
      <c r="J224" s="7" t="str">
        <f t="shared" si="81"/>
        <v>Alimentación de Pila Chunk a Re Harneo</v>
      </c>
      <c r="K224" s="20" t="e">
        <f t="shared" ref="K224:L224" si="123">+IF(N165&lt;&gt;0,((N104-K104)^2)/N165^2,"")</f>
        <v>#REF!</v>
      </c>
      <c r="L224" s="20" t="e">
        <f t="shared" si="123"/>
        <v>#REF!</v>
      </c>
    </row>
    <row r="225" spans="10:12" ht="16" thickBot="1">
      <c r="J225" s="7" t="str">
        <f t="shared" si="81"/>
        <v>Intermedio Re harneo de derrames a Stock Pila de Emergencia</v>
      </c>
      <c r="K225" s="20" t="e">
        <f t="shared" ref="K225:L225" si="124">+IF(N166&lt;&gt;0,((N105-K105)^2)/N166^2,"")</f>
        <v>#REF!</v>
      </c>
      <c r="L225" s="20" t="e">
        <f t="shared" si="124"/>
        <v>#REF!</v>
      </c>
    </row>
    <row r="226" spans="10:12" ht="16" thickBot="1">
      <c r="J226" s="7" t="str">
        <f t="shared" si="81"/>
        <v xml:space="preserve">Alimentación Total a  Stock Finos Huasco de Embarque </v>
      </c>
      <c r="K226" s="20" t="e">
        <f t="shared" ref="K226:L226" si="125">+IF(N167&lt;&gt;0,((N106-K106)^2)/N167^2,"")</f>
        <v>#REF!</v>
      </c>
      <c r="L226" s="20" t="e">
        <f t="shared" si="125"/>
        <v>#REF!</v>
      </c>
    </row>
    <row r="227" spans="10:12" ht="16" thickBot="1">
      <c r="J227" s="7" t="str">
        <f t="shared" si="81"/>
        <v xml:space="preserve">Chip Bajo tamaño de Re Harneo a Stock P Chip de Embarque </v>
      </c>
      <c r="K227" s="20" t="e">
        <f t="shared" ref="K227:L227" si="126">+IF(N168&lt;&gt;0,((N107-K107)^2)/N168^2,"")</f>
        <v>#REF!</v>
      </c>
      <c r="L227" s="20" t="e">
        <f t="shared" si="126"/>
        <v>#REF!</v>
      </c>
    </row>
    <row r="228" spans="10:12" ht="16" thickBot="1">
      <c r="J228" s="7" t="str">
        <f t="shared" si="81"/>
        <v>Traspaso de F Huasco a S Feed</v>
      </c>
      <c r="K228" s="20" t="e">
        <f t="shared" ref="K228:L228" si="127">+IF(N169&lt;&gt;0,((N108-K108)^2)/N169^2,"")</f>
        <v>#REF!</v>
      </c>
      <c r="L228" s="20" t="e">
        <f t="shared" si="127"/>
        <v>#REF!</v>
      </c>
    </row>
    <row r="229" spans="10:12" ht="16" thickBot="1">
      <c r="J229" s="7" t="str">
        <f t="shared" si="81"/>
        <v>A embarque desde Stock Finos Huasco</v>
      </c>
      <c r="K229" s="20" t="e">
        <f t="shared" ref="K229:L229" si="128">+IF(N170&lt;&gt;0,((N109-K109)^2)/N170^2,"")</f>
        <v>#REF!</v>
      </c>
      <c r="L229" s="20" t="e">
        <f t="shared" si="128"/>
        <v>#REF!</v>
      </c>
    </row>
    <row r="230" spans="10:12" ht="16" thickBot="1">
      <c r="J230" s="7" t="str">
        <f t="shared" si="81"/>
        <v>Delta Stock Finos Huasco</v>
      </c>
      <c r="K230" s="20" t="e">
        <f t="shared" ref="K230:L230" si="129">+IF(N171&lt;&gt;0,((N110-K110)^2)/N171^2,"")</f>
        <v>#REF!</v>
      </c>
      <c r="L230" s="20" t="e">
        <f t="shared" si="129"/>
        <v>#REF!</v>
      </c>
    </row>
    <row r="231" spans="10:12" ht="16" thickBot="1">
      <c r="J231" s="7" t="str">
        <f t="shared" si="81"/>
        <v>A embarque desde Stock Sinter Feed</v>
      </c>
      <c r="K231" s="20" t="e">
        <f t="shared" ref="K231:L231" si="130">+IF(N172&lt;&gt;0,((N111-K111)^2)/N172^2,"")</f>
        <v>#REF!</v>
      </c>
      <c r="L231" s="20" t="e">
        <f t="shared" si="130"/>
        <v>#REF!</v>
      </c>
    </row>
    <row r="232" spans="10:12" ht="16" thickBot="1">
      <c r="J232" s="7" t="str">
        <f t="shared" si="81"/>
        <v>Delta Stock Sinter Feed</v>
      </c>
      <c r="K232" s="20" t="e">
        <f t="shared" ref="K232:L232" si="131">+IF(N173&lt;&gt;0,((N112-K112)^2)/N173^2,"")</f>
        <v>#REF!</v>
      </c>
      <c r="L232" s="20" t="e">
        <f t="shared" si="131"/>
        <v>#REF!</v>
      </c>
    </row>
    <row r="233" spans="10:12" ht="16" thickBot="1">
      <c r="J233" s="7" t="str">
        <f t="shared" si="81"/>
        <v>Traspaso de  P Chip a P Básico</v>
      </c>
      <c r="K233" s="20" t="e">
        <f t="shared" ref="K233:L233" si="132">+IF(N174&lt;&gt;0,((N113-K113)^2)/N174^2,"")</f>
        <v>#REF!</v>
      </c>
      <c r="L233" s="20" t="e">
        <f t="shared" si="132"/>
        <v>#REF!</v>
      </c>
    </row>
    <row r="234" spans="10:12" ht="16" thickBot="1">
      <c r="J234" s="7" t="str">
        <f t="shared" si="81"/>
        <v>A embarque desde Stock Pellet Chip</v>
      </c>
      <c r="K234" s="20" t="e">
        <f t="shared" ref="K234:L234" si="133">+IF(N175&lt;&gt;0,((N114-K114)^2)/N175^2,"")</f>
        <v>#REF!</v>
      </c>
      <c r="L234" s="20" t="e">
        <f t="shared" si="133"/>
        <v>#REF!</v>
      </c>
    </row>
    <row r="235" spans="10:12" ht="16" thickBot="1">
      <c r="J235" s="7" t="str">
        <f t="shared" si="81"/>
        <v>Delta Stock Pellet Chip</v>
      </c>
      <c r="K235" s="20" t="e">
        <f t="shared" ref="K235:L235" si="134">+IF(N176&lt;&gt;0,((N115-K115)^2)/N176^2,"")</f>
        <v>#REF!</v>
      </c>
      <c r="L235" s="20" t="e">
        <f t="shared" si="134"/>
        <v>#REF!</v>
      </c>
    </row>
    <row r="236" spans="10:12">
      <c r="J236" s="7" t="str">
        <f t="shared" si="81"/>
        <v>Total Embarcado</v>
      </c>
      <c r="K236" s="20" t="e">
        <f t="shared" ref="K236:L236" si="135">+IF(N177&lt;&gt;0,((N116-K116)^2)/N177^2,"")</f>
        <v>#REF!</v>
      </c>
      <c r="L236" s="20" t="e">
        <f t="shared" si="135"/>
        <v>#REF!</v>
      </c>
    </row>
  </sheetData>
  <mergeCells count="5">
    <mergeCell ref="K60:L60"/>
    <mergeCell ref="N60:P60"/>
    <mergeCell ref="K121:L121"/>
    <mergeCell ref="R60:S60"/>
    <mergeCell ref="AD60:AE60"/>
  </mergeCells>
  <conditionalFormatting sqref="K22:Q22 AL59 S22:Y22 U59:AG59 K41:AF45 K23:Y26 Z4:AF26 K47:AF54 K56:AF58 K27:AF38 K4:Y21">
    <cfRule type="expression" dxfId="7" priority="17">
      <formula>K4&lt;&gt;0</formula>
    </cfRule>
  </conditionalFormatting>
  <conditionalFormatting sqref="K53:K54">
    <cfRule type="expression" dxfId="6" priority="12">
      <formula>K53&lt;&gt;0</formula>
    </cfRule>
  </conditionalFormatting>
  <conditionalFormatting sqref="R62:S116">
    <cfRule type="expression" dxfId="5" priority="8">
      <formula>ABS(R62)&gt;=10%</formula>
    </cfRule>
  </conditionalFormatting>
  <conditionalFormatting sqref="R22">
    <cfRule type="expression" dxfId="4" priority="7">
      <formula>R22&lt;&gt;0</formula>
    </cfRule>
  </conditionalFormatting>
  <conditionalFormatting sqref="K40:AF40">
    <cfRule type="expression" dxfId="3" priority="5">
      <formula>K40&lt;&gt;0</formula>
    </cfRule>
  </conditionalFormatting>
  <conditionalFormatting sqref="K39:AF39">
    <cfRule type="expression" dxfId="2" priority="4">
      <formula>K39&lt;&gt;0</formula>
    </cfRule>
  </conditionalFormatting>
  <conditionalFormatting sqref="K55:AF55">
    <cfRule type="expression" dxfId="1" priority="2">
      <formula>K55&lt;&gt;0</formula>
    </cfRule>
  </conditionalFormatting>
  <conditionalFormatting sqref="K46:AF46">
    <cfRule type="expression" dxfId="0" priority="1">
      <formula>K46&lt;&gt;0</formula>
    </cfRule>
  </conditionalFormatting>
  <pageMargins left="0.7" right="0.7" top="0.75" bottom="0.75" header="0.3" footer="0.3"/>
  <pageSetup orientation="portrait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8c3ae0-30fa-4419-8107-8524dfe65e99">
      <UserInfo>
        <DisplayName>Miguel Esteban Frez Barraza</DisplayName>
        <AccountId>24</AccountId>
        <AccountType/>
      </UserInfo>
      <UserInfo>
        <DisplayName>Jocelyn Andrea Concha Marchant</DisplayName>
        <AccountId>38</AccountId>
        <AccountType/>
      </UserInfo>
      <UserInfo>
        <DisplayName>Cecilia Paulina Urzua Hernandez</DisplayName>
        <AccountId>59</AccountId>
        <AccountType/>
      </UserInfo>
      <UserInfo>
        <DisplayName>Hernan Alejandro Rodriguez Descovic</DisplayName>
        <AccountId>106</AccountId>
        <AccountType/>
      </UserInfo>
    </SharedWithUsers>
    <TaxCatchAll xmlns="428c3ae0-30fa-4419-8107-8524dfe65e99" xsi:nil="true"/>
    <lcf76f155ced4ddcb4097134ff3c332f xmlns="190a67bf-4793-449f-a9eb-d5296f44b3b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6D1C8DA7105F4CB87B4385458BEB46" ma:contentTypeVersion="16" ma:contentTypeDescription="Crear nuevo documento." ma:contentTypeScope="" ma:versionID="a0626f8531816a25077209892f27ec98">
  <xsd:schema xmlns:xsd="http://www.w3.org/2001/XMLSchema" xmlns:xs="http://www.w3.org/2001/XMLSchema" xmlns:p="http://schemas.microsoft.com/office/2006/metadata/properties" xmlns:ns2="190a67bf-4793-449f-a9eb-d5296f44b3b4" xmlns:ns3="428c3ae0-30fa-4419-8107-8524dfe65e99" targetNamespace="http://schemas.microsoft.com/office/2006/metadata/properties" ma:root="true" ma:fieldsID="fa8fbfe6e864915f6d8c58b0669116dc" ns2:_="" ns3:_="">
    <xsd:import namespace="190a67bf-4793-449f-a9eb-d5296f44b3b4"/>
    <xsd:import namespace="428c3ae0-30fa-4419-8107-8524dfe65e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a67bf-4793-449f-a9eb-d5296f44b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073516ef-4520-404e-ac3f-ac1cf3bdf1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c3ae0-30fa-4419-8107-8524dfe65e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8bbe907-eb43-4f95-8cfc-9ab54aa6d5f6}" ma:internalName="TaxCatchAll" ma:showField="CatchAllData" ma:web="428c3ae0-30fa-4419-8107-8524dfe65e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29F5FE-7652-48A9-A672-DDB3F360B271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428c3ae0-30fa-4419-8107-8524dfe65e99"/>
    <ds:schemaRef ds:uri="190a67bf-4793-449f-a9eb-d5296f44b3b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674D66D-217E-487C-BE33-A626352B8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0a67bf-4793-449f-a9eb-d5296f44b3b4"/>
    <ds:schemaRef ds:uri="428c3ae0-30fa-4419-8107-8524dfe65e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 MLC</vt:lpstr>
      <vt:lpstr>Utilidad</vt:lpstr>
      <vt:lpstr>Datos Extra</vt:lpstr>
      <vt:lpstr>Flujos</vt:lpstr>
      <vt:lpstr>Diag Proc Los Colorados</vt:lpstr>
      <vt:lpstr>Bal Fet Pta Pellets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2022-04-20T15:44:38Z</cp:lastPrinted>
  <dcterms:created xsi:type="dcterms:W3CDTF">2021-07-26T15:39:49Z</dcterms:created>
  <dcterms:modified xsi:type="dcterms:W3CDTF">2022-11-28T13:43:29Z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0x010100096D1C8DA7105F4CB87B4385458BEB46</vt:lpwstr>
  </property>
  <property fmtid="{D5CDD505-2E9C-101B-9397-08002B2CF9AE}" pid="3" name="MediaServiceImageTags">
    <vt:lpwstr/>
  </property>
</Properties>
</file>