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wmf" ContentType="image/x-wmf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tilidad" sheetId="1" state="visible" r:id="rId2"/>
    <sheet name="Diagrama Fe T" sheetId="2" state="visible" r:id="rId3"/>
    <sheet name="Flujos" sheetId="3" state="visible" r:id="rId4"/>
    <sheet name="Datos Extra" sheetId="4" state="visible" r:id="rId5"/>
    <sheet name="Reporte" sheetId="5" state="visible" r:id="rId6"/>
  </sheets>
  <externalReferences>
    <externalReference r:id="rId7"/>
  </externalReferences>
  <definedNames>
    <definedName function="false" hidden="false" localSheetId="4" name="_xlnm.Print_Area" vbProcedure="false">Reporte!$A$1:$N$38</definedName>
    <definedName function="false" hidden="false" localSheetId="0" name="solver_adj" vbProcedure="false">Utilidad!$O$68:$P$120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Utilidad!$AC$68:$AC$89</definedName>
    <definedName function="false" hidden="false" localSheetId="0" name="solver_lhs10" vbProcedure="false">Utilidad!$W$113</definedName>
    <definedName function="false" hidden="false" localSheetId="0" name="solver_lhs11" vbProcedure="false">Utilidad!$W$95</definedName>
    <definedName function="false" hidden="false" localSheetId="0" name="solver_lhs12" vbProcedure="false">Utilidad!$AA$63</definedName>
    <definedName function="false" hidden="false" localSheetId="0" name="solver_lhs13" vbProcedure="false">Utilidad!$AA$64</definedName>
    <definedName function="false" hidden="false" localSheetId="0" name="solver_lhs14" vbProcedure="false">Utilidad!$AA$65</definedName>
    <definedName function="false" hidden="false" localSheetId="0" name="solver_lhs15" vbProcedure="false">Utilidad!$AA$66</definedName>
    <definedName function="false" hidden="false" localSheetId="0" name="solver_lhs16" vbProcedure="false">Utilidad!$AA$67</definedName>
    <definedName function="false" hidden="false" localSheetId="0" name="solver_lhs17" vbProcedure="false">Utilidad!$AA$68</definedName>
    <definedName function="false" hidden="false" localSheetId="0" name="solver_lhs18" vbProcedure="false">Utilidad!$AA$69</definedName>
    <definedName function="false" hidden="false" localSheetId="0" name="solver_lhs19" vbProcedure="false">Utilidad!$AB$52</definedName>
    <definedName function="false" hidden="false" localSheetId="0" name="solver_lhs2" vbProcedure="false">Utilidad!$AD$68:$AD$89</definedName>
    <definedName function="false" hidden="false" localSheetId="0" name="solver_lhs20" vbProcedure="false">Utilidad!$AB$53</definedName>
    <definedName function="false" hidden="false" localSheetId="0" name="solver_lhs21" vbProcedure="false">Utilidad!$AB$54</definedName>
    <definedName function="false" hidden="false" localSheetId="0" name="solver_lhs22" vbProcedure="false">Utilidad!$AB$55</definedName>
    <definedName function="false" hidden="false" localSheetId="0" name="solver_lhs23" vbProcedure="false">Utilidad!$AB$56</definedName>
    <definedName function="false" hidden="false" localSheetId="0" name="solver_lhs24" vbProcedure="false">Utilidad!$AB$57</definedName>
    <definedName function="false" hidden="false" localSheetId="0" name="solver_lhs25" vbProcedure="false">Utilidad!$AB$58</definedName>
    <definedName function="false" hidden="false" localSheetId="0" name="solver_lhs26" vbProcedure="false">Utilidad!$AB$59</definedName>
    <definedName function="false" hidden="false" localSheetId="0" name="solver_lhs27" vbProcedure="false">Utilidad!$AB$60</definedName>
    <definedName function="false" hidden="false" localSheetId="0" name="solver_lhs28" vbProcedure="false">Utilidad!$AB$61</definedName>
    <definedName function="false" hidden="false" localSheetId="0" name="solver_lhs29" vbProcedure="false">Utilidad!$AB$62</definedName>
    <definedName function="false" hidden="false" localSheetId="0" name="solver_lhs3" vbProcedure="false">Utilidad!$U$113</definedName>
    <definedName function="false" hidden="false" localSheetId="0" name="solver_lhs30" vbProcedure="false">Utilidad!$AB$63</definedName>
    <definedName function="false" hidden="false" localSheetId="0" name="solver_lhs31" vbProcedure="false">Utilidad!$AB$64</definedName>
    <definedName function="false" hidden="false" localSheetId="0" name="solver_lhs32" vbProcedure="false">Utilidad!$AB$65</definedName>
    <definedName function="false" hidden="false" localSheetId="0" name="solver_lhs33" vbProcedure="false">Utilidad!$AB$66</definedName>
    <definedName function="false" hidden="false" localSheetId="0" name="solver_lhs34" vbProcedure="false">Utilidad!$AB$67</definedName>
    <definedName function="false" hidden="false" localSheetId="0" name="solver_lhs35" vbProcedure="false">Utilidad!$AB$68</definedName>
    <definedName function="false" hidden="false" localSheetId="0" name="solver_lhs36" vbProcedure="false">Utilidad!$AB$69</definedName>
    <definedName function="false" hidden="false" localSheetId="0" name="solver_lhs37" vbProcedure="false">Utilidad!$U$52</definedName>
    <definedName function="false" hidden="false" localSheetId="0" name="solver_lhs38" vbProcedure="false">Utilidad!$U$54</definedName>
    <definedName function="false" hidden="false" localSheetId="0" name="solver_lhs39" vbProcedure="false">Utilidad!$U$55</definedName>
    <definedName function="false" hidden="false" localSheetId="0" name="solver_lhs4" vbProcedure="false">Utilidad!$U$120</definedName>
    <definedName function="false" hidden="false" localSheetId="0" name="solver_lhs40" vbProcedure="false">Utilidad!$U$58</definedName>
    <definedName function="false" hidden="false" localSheetId="0" name="solver_lhs41" vbProcedure="false">Utilidad!$U$60</definedName>
    <definedName function="false" hidden="false" localSheetId="0" name="solver_lhs42" vbProcedure="false">Utilidad!$U$61</definedName>
    <definedName function="false" hidden="false" localSheetId="0" name="solver_lhs43" vbProcedure="false">Utilidad!$U$64</definedName>
    <definedName function="false" hidden="false" localSheetId="0" name="solver_lhs44" vbProcedure="false">Utilidad!$U$67</definedName>
    <definedName function="false" hidden="false" localSheetId="0" name="solver_lhs45" vbProcedure="false">Utilidad!$U$70</definedName>
    <definedName function="false" hidden="false" localSheetId="0" name="solver_lhs46" vbProcedure="false">Utilidad!$U$73</definedName>
    <definedName function="false" hidden="false" localSheetId="0" name="solver_lhs47" vbProcedure="false">Utilidad!$U$79</definedName>
    <definedName function="false" hidden="false" localSheetId="0" name="solver_lhs48" vbProcedure="false">Utilidad!$U$95</definedName>
    <definedName function="false" hidden="false" localSheetId="0" name="solver_lhs49" vbProcedure="false">Utilidad!$W$79</definedName>
    <definedName function="false" hidden="false" localSheetId="0" name="solver_lhs5" vbProcedure="false">Utilidad!$U$68:$U$95</definedName>
    <definedName function="false" hidden="false" localSheetId="0" name="solver_lhs50" vbProcedure="false">Utilidad!$W$95</definedName>
    <definedName function="false" hidden="false" localSheetId="0" name="solver_lhs6" vbProcedure="false">Utilidad!$W$102:$W$111</definedName>
    <definedName function="false" hidden="false" localSheetId="0" name="solver_lhs7" vbProcedure="false">Utilidad!$W$113</definedName>
    <definedName function="false" hidden="false" localSheetId="0" name="solver_lhs8" vbProcedure="false">Utilidad!$W$95</definedName>
    <definedName function="false" hidden="false" localSheetId="0" name="solver_lhs9" vbProcedure="false">Utilidad!$U$68:$U$95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8</definedName>
    <definedName function="false" hidden="false" localSheetId="0" name="solver_nwt" vbProcedure="false">1</definedName>
    <definedName function="false" hidden="false" localSheetId="0" name="solver_opt" vbProcedure="false">Utilidad!$AC$93</definedName>
    <definedName function="false" hidden="false" localSheetId="0" name="solver_pre" vbProcedure="false">0.00001</definedName>
    <definedName function="false" hidden="false" localSheetId="0" name="solver_rbv" vbProcedure="false">1</definedName>
    <definedName function="false" hidden="false" localSheetId="0" name="solver_rel1" vbProcedure="false">2</definedName>
    <definedName function="false" hidden="false" localSheetId="0" name="solver_rel10" vbProcedure="false">2</definedName>
    <definedName function="false" hidden="false" localSheetId="0" name="solver_rel11" vbProcedure="false">1</definedName>
    <definedName function="false" hidden="false" localSheetId="0" name="solver_rel12" vbProcedure="false">2</definedName>
    <definedName function="false" hidden="false" localSheetId="0" name="solver_rel13" vbProcedure="false">2</definedName>
    <definedName function="false" hidden="false" localSheetId="0" name="solver_rel14" vbProcedure="false">2</definedName>
    <definedName function="false" hidden="false" localSheetId="0" name="solver_rel15" vbProcedure="false">2</definedName>
    <definedName function="false" hidden="false" localSheetId="0" name="solver_rel16" vbProcedure="false">2</definedName>
    <definedName function="false" hidden="false" localSheetId="0" name="solver_rel17" vbProcedure="false">2</definedName>
    <definedName function="false" hidden="false" localSheetId="0" name="solver_rel18" vbProcedure="false">2</definedName>
    <definedName function="false" hidden="false" localSheetId="0" name="solver_rel19" vbProcedure="false">2</definedName>
    <definedName function="false" hidden="false" localSheetId="0" name="solver_rel2" vbProcedure="false">2</definedName>
    <definedName function="false" hidden="false" localSheetId="0" name="solver_rel20" vbProcedure="false">2</definedName>
    <definedName function="false" hidden="false" localSheetId="0" name="solver_rel21" vbProcedure="false">2</definedName>
    <definedName function="false" hidden="false" localSheetId="0" name="solver_rel22" vbProcedure="false">2</definedName>
    <definedName function="false" hidden="false" localSheetId="0" name="solver_rel23" vbProcedure="false">2</definedName>
    <definedName function="false" hidden="false" localSheetId="0" name="solver_rel24" vbProcedure="false">2</definedName>
    <definedName function="false" hidden="false" localSheetId="0" name="solver_rel25" vbProcedure="false">2</definedName>
    <definedName function="false" hidden="false" localSheetId="0" name="solver_rel26" vbProcedure="false">2</definedName>
    <definedName function="false" hidden="false" localSheetId="0" name="solver_rel27" vbProcedure="false">2</definedName>
    <definedName function="false" hidden="false" localSheetId="0" name="solver_rel28" vbProcedure="false">2</definedName>
    <definedName function="false" hidden="false" localSheetId="0" name="solver_rel29" vbProcedure="false">2</definedName>
    <definedName function="false" hidden="false" localSheetId="0" name="solver_rel3" vbProcedure="false">2</definedName>
    <definedName function="false" hidden="false" localSheetId="0" name="solver_rel30" vbProcedure="false">2</definedName>
    <definedName function="false" hidden="false" localSheetId="0" name="solver_rel31" vbProcedure="false">2</definedName>
    <definedName function="false" hidden="false" localSheetId="0" name="solver_rel32" vbProcedure="false">2</definedName>
    <definedName function="false" hidden="false" localSheetId="0" name="solver_rel33" vbProcedure="false">2</definedName>
    <definedName function="false" hidden="false" localSheetId="0" name="solver_rel34" vbProcedure="false">2</definedName>
    <definedName function="false" hidden="false" localSheetId="0" name="solver_rel35" vbProcedure="false">2</definedName>
    <definedName function="false" hidden="false" localSheetId="0" name="solver_rel36" vbProcedure="false">2</definedName>
    <definedName function="false" hidden="false" localSheetId="0" name="solver_rel37" vbProcedure="false">1</definedName>
    <definedName function="false" hidden="false" localSheetId="0" name="solver_rel38" vbProcedure="false">1</definedName>
    <definedName function="false" hidden="false" localSheetId="0" name="solver_rel39" vbProcedure="false">1</definedName>
    <definedName function="false" hidden="false" localSheetId="0" name="solver_rel4" vbProcedure="false">1</definedName>
    <definedName function="false" hidden="false" localSheetId="0" name="solver_rel40" vbProcedure="false">1</definedName>
    <definedName function="false" hidden="false" localSheetId="0" name="solver_rel41" vbProcedure="false">1</definedName>
    <definedName function="false" hidden="false" localSheetId="0" name="solver_rel42" vbProcedure="false">1</definedName>
    <definedName function="false" hidden="false" localSheetId="0" name="solver_rel43" vbProcedure="false">1</definedName>
    <definedName function="false" hidden="false" localSheetId="0" name="solver_rel44" vbProcedure="false">1</definedName>
    <definedName function="false" hidden="false" localSheetId="0" name="solver_rel45" vbProcedure="false">1</definedName>
    <definedName function="false" hidden="false" localSheetId="0" name="solver_rel46" vbProcedure="false">1</definedName>
    <definedName function="false" hidden="false" localSheetId="0" name="solver_rel47" vbProcedure="false">2</definedName>
    <definedName function="false" hidden="false" localSheetId="0" name="solver_rel48" vbProcedure="false">2</definedName>
    <definedName function="false" hidden="false" localSheetId="0" name="solver_rel49" vbProcedure="false">1</definedName>
    <definedName function="false" hidden="false" localSheetId="0" name="solver_rel5" vbProcedure="false">1</definedName>
    <definedName function="false" hidden="false" localSheetId="0" name="solver_rel50" vbProcedure="false">2</definedName>
    <definedName function="false" hidden="false" localSheetId="0" name="solver_rel6" vbProcedure="false">1</definedName>
    <definedName function="false" hidden="false" localSheetId="0" name="solver_rel7" vbProcedure="false">2</definedName>
    <definedName function="false" hidden="false" localSheetId="0" name="solver_rel8" vbProcedure="false">1</definedName>
    <definedName function="false" hidden="false" localSheetId="0" name="solver_rel9" vbProcedure="false">1</definedName>
    <definedName function="false" hidden="false" localSheetId="0" name="solver_rhs1" vbProcedure="false">Utilidad!$AE$68:$AE$89</definedName>
    <definedName function="false" hidden="false" localSheetId="0" name="solver_rhs10" vbProcedure="false">Utilidad!$X$113</definedName>
    <definedName function="false" hidden="false" localSheetId="0" name="solver_rhs11" vbProcedure="false">Utilidad!$X$95</definedName>
    <definedName function="false" hidden="false" localSheetId="0" name="solver_rhs12" vbProcedure="false">0</definedName>
    <definedName function="false" hidden="false" localSheetId="0" name="solver_rhs13" vbProcedure="false">0</definedName>
    <definedName function="false" hidden="false" localSheetId="0" name="solver_rhs14" vbProcedure="false">0</definedName>
    <definedName function="false" hidden="false" localSheetId="0" name="solver_rhs15" vbProcedure="false">0</definedName>
    <definedName function="false" hidden="false" localSheetId="0" name="solver_rhs16" vbProcedure="false">0</definedName>
    <definedName function="false" hidden="false" localSheetId="0" name="solver_rhs17" vbProcedure="false">0</definedName>
    <definedName function="false" hidden="false" localSheetId="0" name="solver_rhs18" vbProcedure="false">0</definedName>
    <definedName function="false" hidden="false" localSheetId="0" name="solver_rhs19" vbProcedure="false">0</definedName>
    <definedName function="false" hidden="false" localSheetId="0" name="solver_rhs2" vbProcedure="false">Utilidad!$AE$68:$AE$89</definedName>
    <definedName function="false" hidden="false" localSheetId="0" name="solver_rhs20" vbProcedure="false">0</definedName>
    <definedName function="false" hidden="false" localSheetId="0" name="solver_rhs21" vbProcedure="false">0</definedName>
    <definedName function="false" hidden="false" localSheetId="0" name="solver_rhs22" vbProcedure="false">0</definedName>
    <definedName function="false" hidden="false" localSheetId="0" name="solver_rhs23" vbProcedure="false">0</definedName>
    <definedName function="false" hidden="false" localSheetId="0" name="solver_rhs24" vbProcedure="false">0</definedName>
    <definedName function="false" hidden="false" localSheetId="0" name="solver_rhs25" vbProcedure="false">0</definedName>
    <definedName function="false" hidden="false" localSheetId="0" name="solver_rhs26" vbProcedure="false">0</definedName>
    <definedName function="false" hidden="false" localSheetId="0" name="solver_rhs27" vbProcedure="false">0</definedName>
    <definedName function="false" hidden="false" localSheetId="0" name="solver_rhs28" vbProcedure="false">0</definedName>
    <definedName function="false" hidden="false" localSheetId="0" name="solver_rhs29" vbProcedure="false">0</definedName>
    <definedName function="false" hidden="false" localSheetId="0" name="solver_rhs3" vbProcedure="false">Utilidad!$V$113</definedName>
    <definedName function="false" hidden="false" localSheetId="0" name="solver_rhs30" vbProcedure="false">0</definedName>
    <definedName function="false" hidden="false" localSheetId="0" name="solver_rhs31" vbProcedure="false">0</definedName>
    <definedName function="false" hidden="false" localSheetId="0" name="solver_rhs32" vbProcedure="false">0</definedName>
    <definedName function="false" hidden="false" localSheetId="0" name="solver_rhs33" vbProcedure="false">0</definedName>
    <definedName function="false" hidden="false" localSheetId="0" name="solver_rhs34" vbProcedure="false">0</definedName>
    <definedName function="false" hidden="false" localSheetId="0" name="solver_rhs35" vbProcedure="false">0</definedName>
    <definedName function="false" hidden="false" localSheetId="0" name="solver_rhs36" vbProcedure="false">0</definedName>
    <definedName function="false" hidden="false" localSheetId="0" name="solver_rhs37" vbProcedure="false">Utilidad!$V$52</definedName>
    <definedName function="false" hidden="false" localSheetId="0" name="solver_rhs38" vbProcedure="false">Utilidad!$V$54</definedName>
    <definedName function="false" hidden="false" localSheetId="0" name="solver_rhs39" vbProcedure="false">Utilidad!$V$55</definedName>
    <definedName function="false" hidden="false" localSheetId="0" name="solver_rhs4" vbProcedure="false">Utilidad!$V$120</definedName>
    <definedName function="false" hidden="false" localSheetId="0" name="solver_rhs40" vbProcedure="false">Utilidad!$V$58</definedName>
    <definedName function="false" hidden="false" localSheetId="0" name="solver_rhs41" vbProcedure="false">Utilidad!$V$60</definedName>
    <definedName function="false" hidden="false" localSheetId="0" name="solver_rhs42" vbProcedure="false">Utilidad!$V$61</definedName>
    <definedName function="false" hidden="false" localSheetId="0" name="solver_rhs43" vbProcedure="false">Utilidad!$V$64</definedName>
    <definedName function="false" hidden="false" localSheetId="0" name="solver_rhs44" vbProcedure="false">Utilidad!$V$67</definedName>
    <definedName function="false" hidden="false" localSheetId="0" name="solver_rhs45" vbProcedure="false">Utilidad!$V$70</definedName>
    <definedName function="false" hidden="false" localSheetId="0" name="solver_rhs46" vbProcedure="false">Utilidad!$V$73</definedName>
    <definedName function="false" hidden="false" localSheetId="0" name="solver_rhs47" vbProcedure="false">Utilidad!$V$79</definedName>
    <definedName function="false" hidden="false" localSheetId="0" name="solver_rhs48" vbProcedure="false">Utilidad!$V$95</definedName>
    <definedName function="false" hidden="false" localSheetId="0" name="solver_rhs49" vbProcedure="false">Utilidad!$X$79</definedName>
    <definedName function="false" hidden="false" localSheetId="0" name="solver_rhs5" vbProcedure="false">Utilidad!$V$68:$V$95</definedName>
    <definedName function="false" hidden="false" localSheetId="0" name="solver_rhs50" vbProcedure="false">Utilidad!$X$95</definedName>
    <definedName function="false" hidden="false" localSheetId="0" name="solver_rhs6" vbProcedure="false">Utilidad!$X$102:$X$111</definedName>
    <definedName function="false" hidden="false" localSheetId="0" name="solver_rhs7" vbProcedure="false">Utilidad!$X$113</definedName>
    <definedName function="false" hidden="false" localSheetId="0" name="solver_rhs8" vbProcedure="false">Utilidad!$X$95</definedName>
    <definedName function="false" hidden="false" localSheetId="0" name="solver_rhs9" vbProcedure="false">Utilidad!$V$68:$V$95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2</definedName>
    <definedName function="false" hidden="false" localSheetId="1" name="solver_eng" vbProcedure="false">1</definedName>
    <definedName function="false" hidden="false" localSheetId="1" name="solver_lin" vbProcedure="false">2</definedName>
    <definedName function="false" hidden="false" localSheetId="1" name="solver_neg" vbProcedure="false">1</definedName>
    <definedName function="false" hidden="false" localSheetId="1" name="solver_num" vbProcedure="false">0</definedName>
    <definedName function="false" hidden="false" localSheetId="1" name="solver_opt" vbProcedure="false">'Diagrama Fe T'!$AB$57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2</definedName>
    <definedName function="false" hidden="false" localSheetId="4" name="_xlnm.Print_Area" vbProcedure="false">Reporte!$A$1:$N$44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<sst xmlns="http://schemas.openxmlformats.org/spreadsheetml/2006/main" count="371" uniqueCount="147">
  <si>
    <t xml:space="preserve">Valores Calculados</t>
  </si>
  <si>
    <t xml:space="preserve">TMS</t>
  </si>
  <si>
    <t xml:space="preserve">%FeT</t>
  </si>
  <si>
    <t xml:space="preserve">%FeMag</t>
  </si>
  <si>
    <t xml:space="preserve">Recepción P55</t>
  </si>
  <si>
    <t xml:space="preserve">Delta Stock P55</t>
  </si>
  <si>
    <t xml:space="preserve">Alim P55</t>
  </si>
  <si>
    <t xml:space="preserve">Recepción Alianza</t>
  </si>
  <si>
    <t xml:space="preserve">Delta Stock Alianza</t>
  </si>
  <si>
    <t xml:space="preserve">Alim Alianza</t>
  </si>
  <si>
    <t xml:space="preserve">Recepción P40</t>
  </si>
  <si>
    <t xml:space="preserve">Delta Stock P40</t>
  </si>
  <si>
    <t xml:space="preserve">Alim P40</t>
  </si>
  <si>
    <t xml:space="preserve">Recepción Repulpeo</t>
  </si>
  <si>
    <t xml:space="preserve">Delta Stock Repulpeo</t>
  </si>
  <si>
    <t xml:space="preserve">Alim Repulpeo</t>
  </si>
  <si>
    <t xml:space="preserve">Recepción Hnos araya</t>
  </si>
  <si>
    <t xml:space="preserve">Delta Stock Hnos Araya</t>
  </si>
  <si>
    <t xml:space="preserve">Alim Hnos Araya</t>
  </si>
  <si>
    <t xml:space="preserve">Recep San Andrés</t>
  </si>
  <si>
    <t xml:space="preserve">Delta Stock San Andrés</t>
  </si>
  <si>
    <t xml:space="preserve">Alim San Andrés</t>
  </si>
  <si>
    <t xml:space="preserve">Recep A&amp;Q</t>
  </si>
  <si>
    <t xml:space="preserve">Delta Stock A&amp;Q</t>
  </si>
  <si>
    <t xml:space="preserve">Alim A&amp;Q</t>
  </si>
  <si>
    <t xml:space="preserve">Alimentación</t>
  </si>
  <si>
    <t xml:space="preserve">Recep Autech</t>
  </si>
  <si>
    <t xml:space="preserve">Concentrado</t>
  </si>
  <si>
    <t xml:space="preserve">Delta Stock Autech</t>
  </si>
  <si>
    <t xml:space="preserve">Cola</t>
  </si>
  <si>
    <t xml:space="preserve">Alim Autech</t>
  </si>
  <si>
    <t xml:space="preserve">Recepción 1</t>
  </si>
  <si>
    <t xml:space="preserve">Delta Stock 1</t>
  </si>
  <si>
    <t xml:space="preserve">Rec Met Calc</t>
  </si>
  <si>
    <t xml:space="preserve">Alim 1</t>
  </si>
  <si>
    <t xml:space="preserve">Recepción 2</t>
  </si>
  <si>
    <t xml:space="preserve">Delta Stock 2</t>
  </si>
  <si>
    <t xml:space="preserve">Alim 2</t>
  </si>
  <si>
    <t xml:space="preserve">Recepción 3</t>
  </si>
  <si>
    <t xml:space="preserve">Delta Stock 3</t>
  </si>
  <si>
    <t xml:space="preserve">Alim 3</t>
  </si>
  <si>
    <t xml:space="preserve">Recepción 4</t>
  </si>
  <si>
    <t xml:space="preserve">Delta Stock 4</t>
  </si>
  <si>
    <t xml:space="preserve">Alim 4</t>
  </si>
  <si>
    <t xml:space="preserve">Espesador a Bz Intermedio</t>
  </si>
  <si>
    <t xml:space="preserve">Rp Etapa</t>
  </si>
  <si>
    <t xml:space="preserve">Delta Stock Intermedio</t>
  </si>
  <si>
    <t xml:space="preserve">Descarga Intermedio</t>
  </si>
  <si>
    <t xml:space="preserve">Alimentación CMCC</t>
  </si>
  <si>
    <t xml:space="preserve">Cola Rougher 1</t>
  </si>
  <si>
    <t xml:space="preserve">Conc Rougher 1</t>
  </si>
  <si>
    <t xml:space="preserve">Cola Rougher 2</t>
  </si>
  <si>
    <t xml:space="preserve">Conc Rougher  2</t>
  </si>
  <si>
    <t xml:space="preserve">Rechazos Gruesos</t>
  </si>
  <si>
    <t xml:space="preserve">Alimentaciones consolidades Stocks</t>
  </si>
  <si>
    <t xml:space="preserve">Alim Hidro</t>
  </si>
  <si>
    <t xml:space="preserve">Cola Hidro</t>
  </si>
  <si>
    <t xml:space="preserve">Conc Hidro</t>
  </si>
  <si>
    <t xml:space="preserve">Cola Finisher</t>
  </si>
  <si>
    <t xml:space="preserve">Conc Finisher</t>
  </si>
  <si>
    <t xml:space="preserve">Cola Flotación Magnética</t>
  </si>
  <si>
    <t xml:space="preserve">Conc Flotación Magnética</t>
  </si>
  <si>
    <t xml:space="preserve">Cola Flotación Neumática</t>
  </si>
  <si>
    <t xml:space="preserve">Conc Flotación Neumática</t>
  </si>
  <si>
    <t xml:space="preserve">Cola Espesador</t>
  </si>
  <si>
    <t xml:space="preserve">Delta INV Espesador</t>
  </si>
  <si>
    <t xml:space="preserve">Producción PM</t>
  </si>
  <si>
    <t xml:space="preserve">Relave Final</t>
  </si>
  <si>
    <t xml:space="preserve">Rebose ciclones a hidro</t>
  </si>
  <si>
    <t xml:space="preserve">CR2 a Desaguado</t>
  </si>
  <si>
    <t xml:space="preserve">CR2 a Molienda</t>
  </si>
  <si>
    <t xml:space="preserve">Repulpeo</t>
  </si>
  <si>
    <t xml:space="preserve">T2</t>
  </si>
  <si>
    <t xml:space="preserve">T3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</si>
  <si>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</si>
  <si>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</si>
  <si>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</si>
  <si>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</si>
  <si>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T4</t>
  </si>
  <si>
    <t xml:space="preserve">San Andres</t>
  </si>
  <si>
    <t xml:space="preserve">Relaves</t>
  </si>
  <si>
    <r>
      <rPr>
        <sz val="11"/>
        <color rgb="FF000000"/>
        <rFont val="Calibri"/>
        <family val="2"/>
        <charset val="1"/>
      </rPr>
      <t xml:space="preserve">PRODUCCIÓN </t>
    </r>
    <r>
      <rPr>
        <b val="true"/>
        <sz val="11"/>
        <color rgb="FF000000"/>
        <rFont val="Calibri"/>
        <family val="2"/>
        <charset val="1"/>
      </rPr>
      <t xml:space="preserve">PM</t>
    </r>
  </si>
  <si>
    <t xml:space="preserve">A&amp;Q</t>
  </si>
  <si>
    <t xml:space="preserve">Delta Invent Cancha/Repulpeo</t>
  </si>
  <si>
    <t xml:space="preserve">T1</t>
  </si>
  <si>
    <t xml:space="preserve">Delta T1</t>
  </si>
  <si>
    <t xml:space="preserve">Delta T2</t>
  </si>
  <si>
    <t xml:space="preserve">Delta T3</t>
  </si>
  <si>
    <t xml:space="preserve">Delta T4</t>
  </si>
  <si>
    <t xml:space="preserve">TOTAL ENTRADAS</t>
  </si>
  <si>
    <t xml:space="preserve">VAR NETA </t>
  </si>
  <si>
    <t xml:space="preserve">Autech</t>
  </si>
  <si>
    <t xml:space="preserve">ENTRADAS - VAR INVENTARIO - SALIDAS</t>
  </si>
  <si>
    <t xml:space="preserve">BALANCE GLOBAL FINOS</t>
  </si>
  <si>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</si>
  <si>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</si>
  <si>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</si>
  <si>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</si>
  <si>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</si>
  <si>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Max Var  FeMag</t>
  </si>
  <si>
    <t xml:space="preserve">FeMag &lt; FeT</t>
  </si>
  <si>
    <t xml:space="preserve">Flujos</t>
  </si>
  <si>
    <t xml:space="preserve">Ley FeT</t>
  </si>
  <si>
    <t xml:space="preserve">Ley FeMag</t>
  </si>
  <si>
    <t xml:space="preserve">TMSD</t>
  </si>
  <si>
    <t xml:space="preserve">%Fe T</t>
  </si>
  <si>
    <t xml:space="preserve">%Fe M</t>
  </si>
  <si>
    <t xml:space="preserve">Fe total (%)</t>
  </si>
  <si>
    <t xml:space="preserve">R1</t>
  </si>
  <si>
    <t xml:space="preserve">R2</t>
  </si>
  <si>
    <t xml:space="preserve">Hidro</t>
  </si>
  <si>
    <t xml:space="preserve">Finisher</t>
  </si>
  <si>
    <t xml:space="preserve">Flot. Magnética</t>
  </si>
  <si>
    <t xml:space="preserve">Flot Neumática</t>
  </si>
  <si>
    <t xml:space="preserve">Esp. Concentrado</t>
  </si>
  <si>
    <t xml:space="preserve">Total (Planta)</t>
  </si>
  <si>
    <t xml:space="preserve">Alimentación </t>
  </si>
  <si>
    <t xml:space="preserve">Concentrado </t>
  </si>
  <si>
    <t xml:space="preserve">Rp</t>
  </si>
  <si>
    <t xml:space="preserve">Rm</t>
  </si>
  <si>
    <t xml:space="preserve">Fe Magnético (%)</t>
  </si>
  <si>
    <t xml:space="preserve">Rmm</t>
  </si>
  <si>
    <t xml:space="preserve">Pellet Feed</t>
  </si>
  <si>
    <t xml:space="preserve">Produccion Filtrado</t>
  </si>
  <si>
    <t xml:space="preserve">BALANCE METALÚRGICO - VALLE COPIAPO</t>
  </si>
  <si>
    <t xml:space="preserve">REPORTE DE PLANTA MAGNETITA</t>
  </si>
  <si>
    <t xml:space="preserve">TONELAJE</t>
  </si>
  <si>
    <t xml:space="preserve">LEY</t>
  </si>
  <si>
    <t xml:space="preserve">FINO</t>
  </si>
  <si>
    <t xml:space="preserve">% FeT</t>
  </si>
  <si>
    <t xml:space="preserve">TMF</t>
  </si>
  <si>
    <t xml:space="preserve">% Fe Mag</t>
  </si>
  <si>
    <t xml:space="preserve">SALIDA</t>
  </si>
  <si>
    <t xml:space="preserve">Relaves CCMC</t>
  </si>
  <si>
    <t xml:space="preserve">Produccion Planta</t>
  </si>
  <si>
    <t xml:space="preserve">Alim Ferro</t>
  </si>
  <si>
    <t xml:space="preserve">Alim Terceros 1</t>
  </si>
  <si>
    <t xml:space="preserve">Alim Terceros 2</t>
  </si>
  <si>
    <t xml:space="preserve">Alim Terceros 3</t>
  </si>
  <si>
    <t xml:space="preserve">Alim Terceros 4</t>
  </si>
  <si>
    <t xml:space="preserve">TOTAL</t>
  </si>
  <si>
    <t xml:space="preserve">EMBARQUES</t>
  </si>
  <si>
    <t xml:space="preserve">PÉRDIDAS </t>
  </si>
  <si>
    <t xml:space="preserve">INDICADORES PLANTA MAGNETITA</t>
  </si>
  <si>
    <t xml:space="preserve">RECUPERACIÓN EN PESO</t>
  </si>
  <si>
    <t xml:space="preserve">RECUPERACIÓN METALÚRGICA</t>
  </si>
  <si>
    <t xml:space="preserve">RECUPERACIÓN MAGNÉTICA METALÚRGICA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</si>
</sst>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.00_-;\-* #,##0.00_-;_-* \-??_-;_-@_-"/>
    <numFmt numFmtId="166" formatCode="#,##0"/>
    <numFmt numFmtId="167" formatCode="0.00\ %"/>
    <numFmt numFmtId="168" formatCode="General"/>
    <numFmt numFmtId="169" formatCode="0.0%"/>
    <numFmt numFmtId="170" formatCode="0.00"/>
    <numFmt numFmtId="171" formatCode="0"/>
    <numFmt numFmtId="172" formatCode="0\ %"/>
    <numFmt numFmtId="173" formatCode="#,##0_ ;\-#,##0\ "/>
    <numFmt numFmtId="174" formatCode="@"/>
    <numFmt numFmtId="175" formatCode="dd/mm/yyyy;@"/>
    <numFmt numFmtId="176" formatCode="dd/mm/yyyy"/>
    <numFmt numFmtId="177" formatCode="#,##0.000_ ;\-#,##0.000\ "/>
    <numFmt numFmtId="178" formatCode="#,##0.00_ ;\-#,##0.00\ 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E7E6E6"/>
      <name val="Calibri"/>
      <family val="2"/>
      <charset val="1"/>
    </font>
    <font>
      <sz val="11"/>
      <color rgb="FFE7E6E6"/>
      <name val="Calibri (Body)"/>
      <family val="0"/>
      <charset val="1"/>
    </font>
    <font>
      <b val="true"/>
      <sz val="14"/>
      <color rgb="FFE7E6E6"/>
      <name val="Calibri (Body)"/>
      <family val="0"/>
      <charset val="1"/>
    </font>
    <font>
      <b val="true"/>
      <sz val="12"/>
      <color rgb="FFE7E6E6"/>
      <name val="Calibri (Body)"/>
      <family val="0"/>
      <charset val="1"/>
    </font>
    <font>
      <b val="true"/>
      <sz val="12"/>
      <color rgb="FFE7E6E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 (Body)"/>
      <family val="0"/>
      <charset val="1"/>
    </font>
    <font>
      <b val="true"/>
      <sz val="11"/>
      <color rgb="FFE7E6E6"/>
      <name val="Calibri (Body)"/>
      <family val="0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E7E6E6"/>
      <name val="Calibri (Body)"/>
      <family val="0"/>
      <charset val="1"/>
    </font>
    <font>
      <sz val="11"/>
      <color rgb="FFD0CECE"/>
      <name val="Calibri (Body)"/>
      <family val="0"/>
      <charset val="1"/>
    </font>
    <font>
      <sz val="11"/>
      <color rgb="FFD0CECE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843C0B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sz val="11"/>
      <color rgb="FF7F7F7F"/>
      <name val="Calibri"/>
      <family val="2"/>
      <charset val="1"/>
    </font>
    <font>
      <sz val="10"/>
      <color rgb="FF000000"/>
      <name val="Calibri"/>
      <family val="0"/>
    </font>
    <font>
      <b val="true"/>
      <sz val="10"/>
      <color rgb="FF000000"/>
      <name val="Calibri"/>
      <family val="0"/>
    </font>
    <font>
      <sz val="11"/>
      <color rgb="FF000000"/>
      <name val="Calibri"/>
      <family val="0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sz val="10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b val="true"/>
      <sz val="12"/>
      <color rgb="FF44546A"/>
      <name val="Calibri"/>
      <family val="2"/>
      <charset val="1"/>
    </font>
    <font>
      <sz val="8"/>
      <color rgb="FF44546A"/>
      <name val="Calibri"/>
      <family val="2"/>
      <charset val="1"/>
    </font>
    <font>
      <b val="true"/>
      <sz val="8"/>
      <color rgb="FF44546A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sz val="8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8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6EFCE"/>
      </patternFill>
    </fill>
    <fill>
      <patternFill patternType="solid">
        <fgColor rgb="FFE2F0D9"/>
        <bgColor rgb="FFE7E6E6"/>
      </patternFill>
    </fill>
    <fill>
      <patternFill patternType="solid">
        <fgColor rgb="FF767171"/>
        <bgColor rgb="FF7F7F7F"/>
      </patternFill>
    </fill>
    <fill>
      <patternFill patternType="solid">
        <fgColor rgb="FFFFF2CC"/>
        <bgColor rgb="FFF2F2F2"/>
      </patternFill>
    </fill>
    <fill>
      <patternFill patternType="solid">
        <fgColor rgb="FFADB9CA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44546A"/>
        <bgColor rgb="FF333333"/>
      </patternFill>
    </fill>
    <fill>
      <patternFill patternType="solid">
        <fgColor rgb="FFE7E6E6"/>
        <bgColor rgb="FFE2F0D9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thin"/>
      <top style="medium">
        <color rgb="FFFFFFFF"/>
      </top>
      <bottom style="medium">
        <color rgb="FFFFFFF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0" fillId="0" borderId="19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30" fillId="0" borderId="19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9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1" fillId="9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3" fillId="1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31" fillId="9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3" fillId="1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33" fillId="1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31" fillId="9" borderId="2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31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9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9" borderId="2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9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9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1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1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1" fillId="9" borderId="2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34" fillId="0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4" fillId="9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9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4" fillId="9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0" borderId="3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34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4" fillId="9" borderId="3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2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35" fillId="12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5" fillId="12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5" fillId="12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3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8" fillId="12" borderId="3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8" fillId="12" borderId="3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38" fillId="12" borderId="3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3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1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7" fillId="0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7" fillId="0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4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9" fillId="1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9" fillId="1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35" fillId="1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2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35" fillId="1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5" fillId="12" borderId="3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0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11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1" fillId="9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1" fillId="9" borderId="4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11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1" fillId="9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42" fillId="0" borderId="4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0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0" borderId="1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2" fillId="0" borderId="4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2" fillId="0" borderId="4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2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1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  <cellStyle name="Normal 2" xfId="21"/>
    <cellStyle name="Normal 2 2" xfId="22"/>
  </cellStyles>
  <dxfs count="5"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2CC"/>
      <rgbColor rgb="FFE2F0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E7E6E6"/>
      <rgbColor rgb="FFD0CECE"/>
      <rgbColor rgb="FFFF99CC"/>
      <rgbColor rgb="FFC5E0B4"/>
      <rgbColor rgb="FFFFC7CE"/>
      <rgbColor rgb="FF2E75B6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843C0B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21</xdr:col>
      <xdr:colOff>523800</xdr:colOff>
      <xdr:row>12</xdr:row>
      <xdr:rowOff>1080</xdr:rowOff>
    </xdr:from>
    <xdr:to>
      <xdr:col>23</xdr:col>
      <xdr:colOff>38880</xdr:colOff>
      <xdr:row>14</xdr:row>
      <xdr:rowOff>126720</xdr:rowOff>
    </xdr:to>
    <xdr:sp>
      <xdr:nvSpPr>
        <xdr:cNvPr id="0" name="Rectángulo 1"/>
        <xdr:cNvSpPr/>
      </xdr:nvSpPr>
      <xdr:spPr>
        <a:xfrm>
          <a:off x="17816040" y="2296440"/>
          <a:ext cx="2287440" cy="5068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Relaves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423000</xdr:colOff>
      <xdr:row>26</xdr:row>
      <xdr:rowOff>104040</xdr:rowOff>
    </xdr:from>
    <xdr:to>
      <xdr:col>13</xdr:col>
      <xdr:colOff>645120</xdr:colOff>
      <xdr:row>27</xdr:row>
      <xdr:rowOff>116640</xdr:rowOff>
    </xdr:to>
    <xdr:sp>
      <xdr:nvSpPr>
        <xdr:cNvPr id="1" name="Elipse 2"/>
        <xdr:cNvSpPr/>
      </xdr:nvSpPr>
      <xdr:spPr>
        <a:xfrm>
          <a:off x="10614240" y="506664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612360</xdr:colOff>
      <xdr:row>3</xdr:row>
      <xdr:rowOff>61560</xdr:rowOff>
    </xdr:from>
    <xdr:to>
      <xdr:col>16</xdr:col>
      <xdr:colOff>630000</xdr:colOff>
      <xdr:row>7</xdr:row>
      <xdr:rowOff>38520</xdr:rowOff>
    </xdr:to>
    <xdr:cxnSp>
      <xdr:nvCxnSpPr>
        <xdr:cNvPr id="2" name="Conector recto de flecha 3"/>
        <xdr:cNvCxnSpPr/>
      </xdr:nvCxnSpPr>
      <xdr:spPr>
        <a:xfrm flipH="1">
          <a:off x="13032360" y="642600"/>
          <a:ext cx="18000" cy="7394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750960</xdr:colOff>
      <xdr:row>8</xdr:row>
      <xdr:rowOff>8280</xdr:rowOff>
    </xdr:from>
    <xdr:to>
      <xdr:col>11</xdr:col>
      <xdr:colOff>567000</xdr:colOff>
      <xdr:row>10</xdr:row>
      <xdr:rowOff>160200</xdr:rowOff>
    </xdr:to>
    <xdr:sp>
      <xdr:nvSpPr>
        <xdr:cNvPr id="3" name="Triángulo isósceles 4"/>
        <xdr:cNvSpPr/>
      </xdr:nvSpPr>
      <xdr:spPr>
        <a:xfrm>
          <a:off x="8157600" y="1541880"/>
          <a:ext cx="732240" cy="5328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282240</xdr:colOff>
      <xdr:row>6</xdr:row>
      <xdr:rowOff>174960</xdr:rowOff>
    </xdr:from>
    <xdr:to>
      <xdr:col>11</xdr:col>
      <xdr:colOff>534600</xdr:colOff>
      <xdr:row>8</xdr:row>
      <xdr:rowOff>158760</xdr:rowOff>
    </xdr:to>
    <xdr:sp>
      <xdr:nvSpPr>
        <xdr:cNvPr id="4" name="Rectángulo 5"/>
        <xdr:cNvSpPr/>
      </xdr:nvSpPr>
      <xdr:spPr>
        <a:xfrm>
          <a:off x="7688880" y="132732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P55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750960</xdr:colOff>
      <xdr:row>19</xdr:row>
      <xdr:rowOff>165960</xdr:rowOff>
    </xdr:from>
    <xdr:to>
      <xdr:col>11</xdr:col>
      <xdr:colOff>567000</xdr:colOff>
      <xdr:row>22</xdr:row>
      <xdr:rowOff>133560</xdr:rowOff>
    </xdr:to>
    <xdr:sp>
      <xdr:nvSpPr>
        <xdr:cNvPr id="5" name="Triángulo isósceles 6"/>
        <xdr:cNvSpPr/>
      </xdr:nvSpPr>
      <xdr:spPr>
        <a:xfrm>
          <a:off x="8157600" y="3795120"/>
          <a:ext cx="73224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243720</xdr:colOff>
      <xdr:row>18</xdr:row>
      <xdr:rowOff>173880</xdr:rowOff>
    </xdr:from>
    <xdr:to>
      <xdr:col>11</xdr:col>
      <xdr:colOff>496080</xdr:colOff>
      <xdr:row>20</xdr:row>
      <xdr:rowOff>157680</xdr:rowOff>
    </xdr:to>
    <xdr:sp>
      <xdr:nvSpPr>
        <xdr:cNvPr id="6" name="Rectángulo 7"/>
        <xdr:cNvSpPr/>
      </xdr:nvSpPr>
      <xdr:spPr>
        <a:xfrm>
          <a:off x="7650360" y="361224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Alianza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743400</xdr:colOff>
      <xdr:row>30</xdr:row>
      <xdr:rowOff>1440</xdr:rowOff>
    </xdr:from>
    <xdr:to>
      <xdr:col>11</xdr:col>
      <xdr:colOff>559440</xdr:colOff>
      <xdr:row>32</xdr:row>
      <xdr:rowOff>154080</xdr:rowOff>
    </xdr:to>
    <xdr:sp>
      <xdr:nvSpPr>
        <xdr:cNvPr id="7" name="Triángulo isósceles 8"/>
        <xdr:cNvSpPr/>
      </xdr:nvSpPr>
      <xdr:spPr>
        <a:xfrm>
          <a:off x="8150040" y="5725800"/>
          <a:ext cx="732240" cy="5338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224280</xdr:colOff>
      <xdr:row>29</xdr:row>
      <xdr:rowOff>90360</xdr:rowOff>
    </xdr:from>
    <xdr:to>
      <xdr:col>11</xdr:col>
      <xdr:colOff>476640</xdr:colOff>
      <xdr:row>31</xdr:row>
      <xdr:rowOff>74160</xdr:rowOff>
    </xdr:to>
    <xdr:sp>
      <xdr:nvSpPr>
        <xdr:cNvPr id="8" name="Rectángulo 9"/>
        <xdr:cNvSpPr/>
      </xdr:nvSpPr>
      <xdr:spPr>
        <a:xfrm>
          <a:off x="7630920" y="562428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P40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9720</xdr:colOff>
      <xdr:row>50</xdr:row>
      <xdr:rowOff>37440</xdr:rowOff>
    </xdr:from>
    <xdr:to>
      <xdr:col>11</xdr:col>
      <xdr:colOff>587880</xdr:colOff>
      <xdr:row>53</xdr:row>
      <xdr:rowOff>5040</xdr:rowOff>
    </xdr:to>
    <xdr:sp>
      <xdr:nvSpPr>
        <xdr:cNvPr id="9" name="Triángulo isósceles 12"/>
        <xdr:cNvSpPr/>
      </xdr:nvSpPr>
      <xdr:spPr>
        <a:xfrm>
          <a:off x="8332560" y="9572040"/>
          <a:ext cx="57816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282240</xdr:colOff>
      <xdr:row>50</xdr:row>
      <xdr:rowOff>42840</xdr:rowOff>
    </xdr:from>
    <xdr:to>
      <xdr:col>11</xdr:col>
      <xdr:colOff>98280</xdr:colOff>
      <xdr:row>51</xdr:row>
      <xdr:rowOff>132120</xdr:rowOff>
    </xdr:to>
    <xdr:sp>
      <xdr:nvSpPr>
        <xdr:cNvPr id="10" name="Rectángulo 13"/>
        <xdr:cNvSpPr/>
      </xdr:nvSpPr>
      <xdr:spPr>
        <a:xfrm>
          <a:off x="7688880" y="9577440"/>
          <a:ext cx="732240" cy="279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GC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19080</xdr:colOff>
      <xdr:row>7</xdr:row>
      <xdr:rowOff>38880</xdr:rowOff>
    </xdr:from>
    <xdr:to>
      <xdr:col>17</xdr:col>
      <xdr:colOff>443880</xdr:colOff>
      <xdr:row>9</xdr:row>
      <xdr:rowOff>164520</xdr:rowOff>
    </xdr:to>
    <xdr:sp>
      <xdr:nvSpPr>
        <xdr:cNvPr id="11" name="Rectángulo 14"/>
        <xdr:cNvSpPr/>
      </xdr:nvSpPr>
      <xdr:spPr>
        <a:xfrm>
          <a:off x="12439080" y="1382040"/>
          <a:ext cx="1167840" cy="506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Rougher 1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9360</xdr:colOff>
      <xdr:row>12</xdr:row>
      <xdr:rowOff>163440</xdr:rowOff>
    </xdr:from>
    <xdr:to>
      <xdr:col>17</xdr:col>
      <xdr:colOff>434160</xdr:colOff>
      <xdr:row>15</xdr:row>
      <xdr:rowOff>87840</xdr:rowOff>
    </xdr:to>
    <xdr:sp>
      <xdr:nvSpPr>
        <xdr:cNvPr id="12" name="Rectángulo 15"/>
        <xdr:cNvSpPr/>
      </xdr:nvSpPr>
      <xdr:spPr>
        <a:xfrm>
          <a:off x="12429360" y="2458800"/>
          <a:ext cx="1167840" cy="496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Rougher 2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711000</xdr:colOff>
      <xdr:row>26</xdr:row>
      <xdr:rowOff>114120</xdr:rowOff>
    </xdr:from>
    <xdr:to>
      <xdr:col>17</xdr:col>
      <xdr:colOff>489240</xdr:colOff>
      <xdr:row>29</xdr:row>
      <xdr:rowOff>58320</xdr:rowOff>
    </xdr:to>
    <xdr:sp>
      <xdr:nvSpPr>
        <xdr:cNvPr id="13" name="Rectángulo 16"/>
        <xdr:cNvSpPr/>
      </xdr:nvSpPr>
      <xdr:spPr>
        <a:xfrm>
          <a:off x="12387960" y="507672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HIDROSEPARACIÓN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709200</xdr:colOff>
      <xdr:row>33</xdr:row>
      <xdr:rowOff>110880</xdr:rowOff>
    </xdr:from>
    <xdr:to>
      <xdr:col>17</xdr:col>
      <xdr:colOff>487440</xdr:colOff>
      <xdr:row>36</xdr:row>
      <xdr:rowOff>55080</xdr:rowOff>
    </xdr:to>
    <xdr:sp>
      <xdr:nvSpPr>
        <xdr:cNvPr id="14" name="Rectángulo 17"/>
        <xdr:cNvSpPr/>
      </xdr:nvSpPr>
      <xdr:spPr>
        <a:xfrm>
          <a:off x="12386160" y="640692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FINISHER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716760</xdr:colOff>
      <xdr:row>40</xdr:row>
      <xdr:rowOff>1800</xdr:rowOff>
    </xdr:from>
    <xdr:to>
      <xdr:col>17</xdr:col>
      <xdr:colOff>495000</xdr:colOff>
      <xdr:row>42</xdr:row>
      <xdr:rowOff>126000</xdr:rowOff>
    </xdr:to>
    <xdr:sp>
      <xdr:nvSpPr>
        <xdr:cNvPr id="15" name="Rectángulo 18"/>
        <xdr:cNvSpPr/>
      </xdr:nvSpPr>
      <xdr:spPr>
        <a:xfrm>
          <a:off x="12393720" y="7631280"/>
          <a:ext cx="1264320" cy="505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FLOTACIÓN MAGNETICA 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640080</xdr:colOff>
      <xdr:row>49</xdr:row>
      <xdr:rowOff>64440</xdr:rowOff>
    </xdr:from>
    <xdr:to>
      <xdr:col>17</xdr:col>
      <xdr:colOff>418320</xdr:colOff>
      <xdr:row>52</xdr:row>
      <xdr:rowOff>8640</xdr:rowOff>
    </xdr:to>
    <xdr:sp>
      <xdr:nvSpPr>
        <xdr:cNvPr id="16" name="Rectángulo 19"/>
        <xdr:cNvSpPr/>
      </xdr:nvSpPr>
      <xdr:spPr>
        <a:xfrm>
          <a:off x="12317040" y="940860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ESPESADOR 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14040</xdr:colOff>
      <xdr:row>56</xdr:row>
      <xdr:rowOff>114480</xdr:rowOff>
    </xdr:from>
    <xdr:to>
      <xdr:col>14</xdr:col>
      <xdr:colOff>64440</xdr:colOff>
      <xdr:row>57</xdr:row>
      <xdr:rowOff>267840</xdr:rowOff>
    </xdr:to>
    <xdr:sp>
      <xdr:nvSpPr>
        <xdr:cNvPr id="17" name="Triángulo isósceles 20"/>
        <xdr:cNvSpPr/>
      </xdr:nvSpPr>
      <xdr:spPr>
        <a:xfrm>
          <a:off x="10205280" y="10849320"/>
          <a:ext cx="793080" cy="5533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702360</xdr:colOff>
      <xdr:row>57</xdr:row>
      <xdr:rowOff>91440</xdr:rowOff>
    </xdr:from>
    <xdr:to>
      <xdr:col>14</xdr:col>
      <xdr:colOff>77400</xdr:colOff>
      <xdr:row>59</xdr:row>
      <xdr:rowOff>75240</xdr:rowOff>
    </xdr:to>
    <xdr:sp>
      <xdr:nvSpPr>
        <xdr:cNvPr id="18" name="Rectángulo 21"/>
        <xdr:cNvSpPr/>
      </xdr:nvSpPr>
      <xdr:spPr>
        <a:xfrm>
          <a:off x="9941760" y="11226240"/>
          <a:ext cx="1069560" cy="783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INTERMEDIO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122760</xdr:colOff>
      <xdr:row>1</xdr:row>
      <xdr:rowOff>83880</xdr:rowOff>
    </xdr:from>
    <xdr:to>
      <xdr:col>17</xdr:col>
      <xdr:colOff>375120</xdr:colOff>
      <xdr:row>3</xdr:row>
      <xdr:rowOff>61560</xdr:rowOff>
    </xdr:to>
    <xdr:sp>
      <xdr:nvSpPr>
        <xdr:cNvPr id="19" name="Rectángulo 22"/>
        <xdr:cNvSpPr/>
      </xdr:nvSpPr>
      <xdr:spPr>
        <a:xfrm>
          <a:off x="12542760" y="284040"/>
          <a:ext cx="995400" cy="35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CL" sz="1000" spc="-1" strike="noStrike">
              <a:solidFill>
                <a:srgbClr val="000000"/>
              </a:solidFill>
              <a:latin typeface="Calibri"/>
            </a:rPr>
            <a:t>ALIMENTACIÓN CMCC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194040</xdr:colOff>
      <xdr:row>9</xdr:row>
      <xdr:rowOff>74520</xdr:rowOff>
    </xdr:from>
    <xdr:to>
      <xdr:col>11</xdr:col>
      <xdr:colOff>133560</xdr:colOff>
      <xdr:row>9</xdr:row>
      <xdr:rowOff>84240</xdr:rowOff>
    </xdr:to>
    <xdr:cxnSp>
      <xdr:nvCxnSpPr>
        <xdr:cNvPr id="20" name="Conector recto de flecha 23"/>
        <xdr:cNvCxnSpPr/>
      </xdr:nvCxnSpPr>
      <xdr:spPr>
        <a:xfrm>
          <a:off x="7600680" y="1798560"/>
          <a:ext cx="856080" cy="1008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117720</xdr:colOff>
      <xdr:row>21</xdr:row>
      <xdr:rowOff>54360</xdr:rowOff>
    </xdr:from>
    <xdr:to>
      <xdr:col>11</xdr:col>
      <xdr:colOff>133560</xdr:colOff>
      <xdr:row>21</xdr:row>
      <xdr:rowOff>59040</xdr:rowOff>
    </xdr:to>
    <xdr:cxnSp>
      <xdr:nvCxnSpPr>
        <xdr:cNvPr id="21" name="Conector recto de flecha 24"/>
        <xdr:cNvCxnSpPr/>
      </xdr:nvCxnSpPr>
      <xdr:spPr>
        <a:xfrm>
          <a:off x="7524360" y="4064400"/>
          <a:ext cx="932400" cy="50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11520</xdr:colOff>
      <xdr:row>31</xdr:row>
      <xdr:rowOff>77400</xdr:rowOff>
    </xdr:from>
    <xdr:to>
      <xdr:col>11</xdr:col>
      <xdr:colOff>125640</xdr:colOff>
      <xdr:row>31</xdr:row>
      <xdr:rowOff>87120</xdr:rowOff>
    </xdr:to>
    <xdr:cxnSp>
      <xdr:nvCxnSpPr>
        <xdr:cNvPr id="22" name="Conector recto de flecha 25"/>
        <xdr:cNvCxnSpPr/>
      </xdr:nvCxnSpPr>
      <xdr:spPr>
        <a:xfrm flipV="1">
          <a:off x="7418160" y="5992560"/>
          <a:ext cx="1030680" cy="1008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11</xdr:col>
      <xdr:colOff>422640</xdr:colOff>
      <xdr:row>21</xdr:row>
      <xdr:rowOff>59040</xdr:rowOff>
    </xdr:from>
    <xdr:to>
      <xdr:col>13</xdr:col>
      <xdr:colOff>423000</xdr:colOff>
      <xdr:row>27</xdr:row>
      <xdr:rowOff>19440</xdr:rowOff>
    </xdr:to>
    <xdr:cxnSp>
      <xdr:nvCxnSpPr>
        <xdr:cNvPr id="23" name="Conector: angular 27"/>
        <xdr:cNvCxnSpPr/>
      </xdr:nvCxnSpPr>
      <xdr:spPr>
        <a:xfrm>
          <a:off x="8745480" y="4069080"/>
          <a:ext cx="1869120" cy="1103760"/>
        </a:xfrm>
        <a:prstGeom prst="bentConnector3">
          <a:avLst>
            <a:gd name="adj1" fmla="val 50009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11</xdr:col>
      <xdr:colOff>415080</xdr:colOff>
      <xdr:row>27</xdr:row>
      <xdr:rowOff>19440</xdr:rowOff>
    </xdr:from>
    <xdr:to>
      <xdr:col>13</xdr:col>
      <xdr:colOff>423000</xdr:colOff>
      <xdr:row>31</xdr:row>
      <xdr:rowOff>77760</xdr:rowOff>
    </xdr:to>
    <xdr:cxnSp>
      <xdr:nvCxnSpPr>
        <xdr:cNvPr id="24" name="Conector: angular 28"/>
        <xdr:cNvCxnSpPr/>
      </xdr:nvCxnSpPr>
      <xdr:spPr>
        <a:xfrm flipV="1">
          <a:off x="8737920" y="5172480"/>
          <a:ext cx="1876680" cy="8208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11</xdr:col>
      <xdr:colOff>443520</xdr:colOff>
      <xdr:row>27</xdr:row>
      <xdr:rowOff>19440</xdr:rowOff>
    </xdr:from>
    <xdr:to>
      <xdr:col>13</xdr:col>
      <xdr:colOff>423000</xdr:colOff>
      <xdr:row>51</xdr:row>
      <xdr:rowOff>111960</xdr:rowOff>
    </xdr:to>
    <xdr:cxnSp>
      <xdr:nvCxnSpPr>
        <xdr:cNvPr id="25" name="Conector: angular 30"/>
        <xdr:cNvCxnSpPr/>
      </xdr:nvCxnSpPr>
      <xdr:spPr>
        <a:xfrm flipH="1" flipV="1" rot="5400000">
          <a:off x="7357680" y="6580800"/>
          <a:ext cx="4664880" cy="1848240"/>
        </a:xfrm>
        <a:prstGeom prst="bentConnector3">
          <a:avLst>
            <a:gd name="adj1" fmla="val 49996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11</xdr:col>
      <xdr:colOff>422640</xdr:colOff>
      <xdr:row>9</xdr:row>
      <xdr:rowOff>84240</xdr:rowOff>
    </xdr:from>
    <xdr:to>
      <xdr:col>13</xdr:col>
      <xdr:colOff>423000</xdr:colOff>
      <xdr:row>27</xdr:row>
      <xdr:rowOff>19440</xdr:rowOff>
    </xdr:to>
    <xdr:cxnSp>
      <xdr:nvCxnSpPr>
        <xdr:cNvPr id="26" name="Conector: angular 31"/>
        <xdr:cNvCxnSpPr/>
      </xdr:nvCxnSpPr>
      <xdr:spPr>
        <a:xfrm flipH="1" rot="16200000">
          <a:off x="7997760" y="2555640"/>
          <a:ext cx="3364560" cy="186912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95040</xdr:colOff>
      <xdr:row>51</xdr:row>
      <xdr:rowOff>113400</xdr:rowOff>
    </xdr:from>
    <xdr:to>
      <xdr:col>11</xdr:col>
      <xdr:colOff>154440</xdr:colOff>
      <xdr:row>51</xdr:row>
      <xdr:rowOff>113400</xdr:rowOff>
    </xdr:to>
    <xdr:cxnSp>
      <xdr:nvCxnSpPr>
        <xdr:cNvPr id="27" name="Conector recto de flecha 32"/>
        <xdr:cNvCxnSpPr/>
      </xdr:nvCxnSpPr>
      <xdr:spPr>
        <a:xfrm>
          <a:off x="7501680" y="9838440"/>
          <a:ext cx="97596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13</xdr:col>
      <xdr:colOff>455760</xdr:colOff>
      <xdr:row>27</xdr:row>
      <xdr:rowOff>116640</xdr:rowOff>
    </xdr:from>
    <xdr:to>
      <xdr:col>13</xdr:col>
      <xdr:colOff>534240</xdr:colOff>
      <xdr:row>56</xdr:row>
      <xdr:rowOff>114120</xdr:rowOff>
    </xdr:to>
    <xdr:cxnSp>
      <xdr:nvCxnSpPr>
        <xdr:cNvPr id="28" name="Conector recto de flecha 33"/>
        <xdr:cNvCxnSpPr/>
      </xdr:nvCxnSpPr>
      <xdr:spPr>
        <a:xfrm flipV="1">
          <a:off x="10647000" y="5269680"/>
          <a:ext cx="78840" cy="55796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16</xdr:col>
      <xdr:colOff>600120</xdr:colOff>
      <xdr:row>23</xdr:row>
      <xdr:rowOff>36000</xdr:rowOff>
    </xdr:from>
    <xdr:to>
      <xdr:col>16</xdr:col>
      <xdr:colOff>603000</xdr:colOff>
      <xdr:row>26</xdr:row>
      <xdr:rowOff>113760</xdr:rowOff>
    </xdr:to>
    <xdr:cxnSp>
      <xdr:nvCxnSpPr>
        <xdr:cNvPr id="29" name="Conector: angular 34"/>
        <xdr:cNvCxnSpPr/>
      </xdr:nvCxnSpPr>
      <xdr:spPr>
        <a:xfrm rot="5400000">
          <a:off x="12696840" y="4750200"/>
          <a:ext cx="649800" cy="32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16</xdr:col>
      <xdr:colOff>646200</xdr:colOff>
      <xdr:row>9</xdr:row>
      <xdr:rowOff>164520</xdr:rowOff>
    </xdr:from>
    <xdr:to>
      <xdr:col>16</xdr:col>
      <xdr:colOff>651600</xdr:colOff>
      <xdr:row>12</xdr:row>
      <xdr:rowOff>67680</xdr:rowOff>
    </xdr:to>
    <xdr:cxnSp>
      <xdr:nvCxnSpPr>
        <xdr:cNvPr id="30" name="Conector recto de flecha 35"/>
        <xdr:cNvCxnSpPr/>
      </xdr:nvCxnSpPr>
      <xdr:spPr>
        <a:xfrm>
          <a:off x="13066200" y="1888560"/>
          <a:ext cx="5760" cy="4748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16</xdr:col>
      <xdr:colOff>636840</xdr:colOff>
      <xdr:row>15</xdr:row>
      <xdr:rowOff>88200</xdr:rowOff>
    </xdr:from>
    <xdr:to>
      <xdr:col>16</xdr:col>
      <xdr:colOff>636840</xdr:colOff>
      <xdr:row>21</xdr:row>
      <xdr:rowOff>36720</xdr:rowOff>
    </xdr:to>
    <xdr:cxnSp>
      <xdr:nvCxnSpPr>
        <xdr:cNvPr id="31" name="Conector recto de flecha 36"/>
        <xdr:cNvCxnSpPr/>
      </xdr:nvCxnSpPr>
      <xdr:spPr>
        <a:xfrm>
          <a:off x="13056840" y="2955240"/>
          <a:ext cx="360" cy="109188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16</xdr:col>
      <xdr:colOff>598320</xdr:colOff>
      <xdr:row>29</xdr:row>
      <xdr:rowOff>58320</xdr:rowOff>
    </xdr:from>
    <xdr:to>
      <xdr:col>16</xdr:col>
      <xdr:colOff>600120</xdr:colOff>
      <xdr:row>33</xdr:row>
      <xdr:rowOff>110880</xdr:rowOff>
    </xdr:to>
    <xdr:cxnSp>
      <xdr:nvCxnSpPr>
        <xdr:cNvPr id="32" name="Conector recto de flecha 37"/>
        <xdr:cNvCxnSpPr/>
      </xdr:nvCxnSpPr>
      <xdr:spPr>
        <a:xfrm flipH="1">
          <a:off x="13018320" y="5592240"/>
          <a:ext cx="2160" cy="8150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16</xdr:col>
      <xdr:colOff>598320</xdr:colOff>
      <xdr:row>36</xdr:row>
      <xdr:rowOff>55440</xdr:rowOff>
    </xdr:from>
    <xdr:to>
      <xdr:col>16</xdr:col>
      <xdr:colOff>606240</xdr:colOff>
      <xdr:row>40</xdr:row>
      <xdr:rowOff>1440</xdr:rowOff>
    </xdr:to>
    <xdr:cxnSp>
      <xdr:nvCxnSpPr>
        <xdr:cNvPr id="33" name="Conector recto de flecha 38"/>
        <xdr:cNvCxnSpPr/>
      </xdr:nvCxnSpPr>
      <xdr:spPr>
        <a:xfrm>
          <a:off x="13018320" y="6922800"/>
          <a:ext cx="8280" cy="70848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16</xdr:col>
      <xdr:colOff>589320</xdr:colOff>
      <xdr:row>42</xdr:row>
      <xdr:rowOff>126000</xdr:rowOff>
    </xdr:from>
    <xdr:to>
      <xdr:col>16</xdr:col>
      <xdr:colOff>606240</xdr:colOff>
      <xdr:row>45</xdr:row>
      <xdr:rowOff>82080</xdr:rowOff>
    </xdr:to>
    <xdr:cxnSp>
      <xdr:nvCxnSpPr>
        <xdr:cNvPr id="34" name="Conector recto de flecha 39"/>
        <xdr:cNvCxnSpPr/>
      </xdr:nvCxnSpPr>
      <xdr:spPr>
        <a:xfrm flipH="1">
          <a:off x="13009320" y="8136360"/>
          <a:ext cx="17280" cy="52812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15</xdr:col>
      <xdr:colOff>640080</xdr:colOff>
      <xdr:row>46</xdr:row>
      <xdr:rowOff>87120</xdr:rowOff>
    </xdr:from>
    <xdr:to>
      <xdr:col>15</xdr:col>
      <xdr:colOff>674280</xdr:colOff>
      <xdr:row>50</xdr:row>
      <xdr:rowOff>133920</xdr:rowOff>
    </xdr:to>
    <xdr:cxnSp>
      <xdr:nvCxnSpPr>
        <xdr:cNvPr id="35" name="Conector: angular 40"/>
        <xdr:cNvCxnSpPr/>
      </xdr:nvCxnSpPr>
      <xdr:spPr>
        <a:xfrm flipH="1" flipV="1" rot="5400000">
          <a:off x="11929320" y="9246960"/>
          <a:ext cx="809280" cy="34560"/>
        </a:xfrm>
        <a:prstGeom prst="bentConnector3">
          <a:avLst>
            <a:gd name="adj1" fmla="val 49977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13</xdr:col>
      <xdr:colOff>676440</xdr:colOff>
      <xdr:row>52</xdr:row>
      <xdr:rowOff>8640</xdr:rowOff>
    </xdr:from>
    <xdr:to>
      <xdr:col>16</xdr:col>
      <xdr:colOff>529200</xdr:colOff>
      <xdr:row>56</xdr:row>
      <xdr:rowOff>395640</xdr:rowOff>
    </xdr:to>
    <xdr:cxnSp>
      <xdr:nvCxnSpPr>
        <xdr:cNvPr id="36" name="Conector: angular 41"/>
        <xdr:cNvCxnSpPr/>
      </xdr:nvCxnSpPr>
      <xdr:spPr>
        <a:xfrm flipV="1" rot="10800000">
          <a:off x="10867680" y="9923760"/>
          <a:ext cx="2081880" cy="12067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17</xdr:col>
      <xdr:colOff>418680</xdr:colOff>
      <xdr:row>50</xdr:row>
      <xdr:rowOff>128520</xdr:rowOff>
    </xdr:from>
    <xdr:to>
      <xdr:col>17</xdr:col>
      <xdr:colOff>611280</xdr:colOff>
      <xdr:row>61</xdr:row>
      <xdr:rowOff>95760</xdr:rowOff>
    </xdr:to>
    <xdr:cxnSp>
      <xdr:nvCxnSpPr>
        <xdr:cNvPr id="37" name="Conector: angular 42"/>
        <xdr:cNvCxnSpPr/>
      </xdr:nvCxnSpPr>
      <xdr:spPr>
        <a:xfrm flipH="1" rot="16200000">
          <a:off x="12094200" y="11150280"/>
          <a:ext cx="3168000" cy="19296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17</xdr:col>
      <xdr:colOff>495360</xdr:colOff>
      <xdr:row>13</xdr:row>
      <xdr:rowOff>63720</xdr:rowOff>
    </xdr:from>
    <xdr:to>
      <xdr:col>21</xdr:col>
      <xdr:colOff>523800</xdr:colOff>
      <xdr:row>41</xdr:row>
      <xdr:rowOff>61560</xdr:rowOff>
    </xdr:to>
    <xdr:cxnSp>
      <xdr:nvCxnSpPr>
        <xdr:cNvPr id="38" name="Conector: angular 43"/>
        <xdr:cNvCxnSpPr/>
      </xdr:nvCxnSpPr>
      <xdr:spPr>
        <a:xfrm flipH="1" flipV="1" rot="5400000">
          <a:off x="13071240" y="3137040"/>
          <a:ext cx="5331960" cy="41580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17</xdr:col>
      <xdr:colOff>487440</xdr:colOff>
      <xdr:row>13</xdr:row>
      <xdr:rowOff>63720</xdr:rowOff>
    </xdr:from>
    <xdr:to>
      <xdr:col>21</xdr:col>
      <xdr:colOff>523800</xdr:colOff>
      <xdr:row>34</xdr:row>
      <xdr:rowOff>173880</xdr:rowOff>
    </xdr:to>
    <xdr:cxnSp>
      <xdr:nvCxnSpPr>
        <xdr:cNvPr id="39" name="Conector: angular 44"/>
        <xdr:cNvCxnSpPr/>
      </xdr:nvCxnSpPr>
      <xdr:spPr>
        <a:xfrm flipV="1">
          <a:off x="13650480" y="2549880"/>
          <a:ext cx="4165920" cy="411084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17</xdr:col>
      <xdr:colOff>489600</xdr:colOff>
      <xdr:row>13</xdr:row>
      <xdr:rowOff>63720</xdr:rowOff>
    </xdr:from>
    <xdr:to>
      <xdr:col>21</xdr:col>
      <xdr:colOff>523800</xdr:colOff>
      <xdr:row>27</xdr:row>
      <xdr:rowOff>176760</xdr:rowOff>
    </xdr:to>
    <xdr:cxnSp>
      <xdr:nvCxnSpPr>
        <xdr:cNvPr id="40" name="Conector: angular 45"/>
        <xdr:cNvCxnSpPr/>
      </xdr:nvCxnSpPr>
      <xdr:spPr>
        <a:xfrm flipV="1">
          <a:off x="13652640" y="2549880"/>
          <a:ext cx="4163760" cy="278028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17</xdr:col>
      <xdr:colOff>434520</xdr:colOff>
      <xdr:row>13</xdr:row>
      <xdr:rowOff>63720</xdr:rowOff>
    </xdr:from>
    <xdr:to>
      <xdr:col>21</xdr:col>
      <xdr:colOff>523800</xdr:colOff>
      <xdr:row>14</xdr:row>
      <xdr:rowOff>28440</xdr:rowOff>
    </xdr:to>
    <xdr:cxnSp>
      <xdr:nvCxnSpPr>
        <xdr:cNvPr id="41" name="Conector: angular 46"/>
        <xdr:cNvCxnSpPr/>
      </xdr:nvCxnSpPr>
      <xdr:spPr>
        <a:xfrm flipV="1">
          <a:off x="13597560" y="2549880"/>
          <a:ext cx="4218840" cy="1555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17</xdr:col>
      <xdr:colOff>443880</xdr:colOff>
      <xdr:row>8</xdr:row>
      <xdr:rowOff>101520</xdr:rowOff>
    </xdr:from>
    <xdr:to>
      <xdr:col>21</xdr:col>
      <xdr:colOff>523800</xdr:colOff>
      <xdr:row>13</xdr:row>
      <xdr:rowOff>63720</xdr:rowOff>
    </xdr:to>
    <xdr:cxnSp>
      <xdr:nvCxnSpPr>
        <xdr:cNvPr id="42" name="Conector: angular 47"/>
        <xdr:cNvCxnSpPr/>
      </xdr:nvCxnSpPr>
      <xdr:spPr>
        <a:xfrm>
          <a:off x="13606920" y="1635120"/>
          <a:ext cx="4209480" cy="915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13</xdr:col>
      <xdr:colOff>559800</xdr:colOff>
      <xdr:row>22</xdr:row>
      <xdr:rowOff>36360</xdr:rowOff>
    </xdr:from>
    <xdr:to>
      <xdr:col>16</xdr:col>
      <xdr:colOff>63360</xdr:colOff>
      <xdr:row>26</xdr:row>
      <xdr:rowOff>137520</xdr:rowOff>
    </xdr:to>
    <xdr:cxnSp>
      <xdr:nvCxnSpPr>
        <xdr:cNvPr id="43" name="Conector: angular 56"/>
        <xdr:cNvCxnSpPr/>
      </xdr:nvCxnSpPr>
      <xdr:spPr>
        <a:xfrm flipV="1">
          <a:off x="10751040" y="4236840"/>
          <a:ext cx="1732680" cy="8636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16</xdr:col>
      <xdr:colOff>63360</xdr:colOff>
      <xdr:row>21</xdr:row>
      <xdr:rowOff>37080</xdr:rowOff>
    </xdr:from>
    <xdr:to>
      <xdr:col>17</xdr:col>
      <xdr:colOff>380160</xdr:colOff>
      <xdr:row>23</xdr:row>
      <xdr:rowOff>36000</xdr:rowOff>
    </xdr:to>
    <xdr:sp>
      <xdr:nvSpPr>
        <xdr:cNvPr id="44" name="Rectángulo 66"/>
        <xdr:cNvSpPr/>
      </xdr:nvSpPr>
      <xdr:spPr>
        <a:xfrm>
          <a:off x="12483360" y="4047120"/>
          <a:ext cx="1059840" cy="37980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Molienda /clasif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380520</xdr:colOff>
      <xdr:row>13</xdr:row>
      <xdr:rowOff>63720</xdr:rowOff>
    </xdr:from>
    <xdr:to>
      <xdr:col>21</xdr:col>
      <xdr:colOff>523800</xdr:colOff>
      <xdr:row>22</xdr:row>
      <xdr:rowOff>36360</xdr:rowOff>
    </xdr:to>
    <xdr:cxnSp>
      <xdr:nvCxnSpPr>
        <xdr:cNvPr id="45" name="Conector: angular 69"/>
        <xdr:cNvCxnSpPr/>
      </xdr:nvCxnSpPr>
      <xdr:spPr>
        <a:xfrm flipV="1">
          <a:off x="13543560" y="2549880"/>
          <a:ext cx="4272840" cy="1687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578520</xdr:colOff>
      <xdr:row>57</xdr:row>
      <xdr:rowOff>28440</xdr:rowOff>
    </xdr:from>
    <xdr:to>
      <xdr:col>11</xdr:col>
      <xdr:colOff>578880</xdr:colOff>
      <xdr:row>59</xdr:row>
      <xdr:rowOff>155160</xdr:rowOff>
    </xdr:to>
    <xdr:sp>
      <xdr:nvSpPr>
        <xdr:cNvPr id="46" name="Triángulo isósceles 79"/>
        <xdr:cNvSpPr/>
      </xdr:nvSpPr>
      <xdr:spPr>
        <a:xfrm>
          <a:off x="7985160" y="11163240"/>
          <a:ext cx="916560" cy="92664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706680</xdr:colOff>
      <xdr:row>64</xdr:row>
      <xdr:rowOff>135360</xdr:rowOff>
    </xdr:from>
    <xdr:to>
      <xdr:col>11</xdr:col>
      <xdr:colOff>522720</xdr:colOff>
      <xdr:row>67</xdr:row>
      <xdr:rowOff>102960</xdr:rowOff>
    </xdr:to>
    <xdr:sp>
      <xdr:nvSpPr>
        <xdr:cNvPr id="47" name="Triángulo isósceles 80"/>
        <xdr:cNvSpPr/>
      </xdr:nvSpPr>
      <xdr:spPr>
        <a:xfrm>
          <a:off x="8113320" y="14070600"/>
          <a:ext cx="732240" cy="7675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676800</xdr:colOff>
      <xdr:row>71</xdr:row>
      <xdr:rowOff>87480</xdr:rowOff>
    </xdr:from>
    <xdr:to>
      <xdr:col>11</xdr:col>
      <xdr:colOff>492840</xdr:colOff>
      <xdr:row>74</xdr:row>
      <xdr:rowOff>51840</xdr:rowOff>
    </xdr:to>
    <xdr:sp>
      <xdr:nvSpPr>
        <xdr:cNvPr id="48" name="Triángulo isósceles 81"/>
        <xdr:cNvSpPr/>
      </xdr:nvSpPr>
      <xdr:spPr>
        <a:xfrm>
          <a:off x="8083440" y="15651360"/>
          <a:ext cx="732240" cy="583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380880</xdr:colOff>
      <xdr:row>59</xdr:row>
      <xdr:rowOff>32040</xdr:rowOff>
    </xdr:from>
    <xdr:to>
      <xdr:col>10</xdr:col>
      <xdr:colOff>595440</xdr:colOff>
      <xdr:row>59</xdr:row>
      <xdr:rowOff>32040</xdr:rowOff>
    </xdr:to>
    <xdr:cxnSp>
      <xdr:nvCxnSpPr>
        <xdr:cNvPr id="49" name="Conector recto de flecha 55"/>
        <xdr:cNvCxnSpPr/>
      </xdr:nvCxnSpPr>
      <xdr:spPr>
        <a:xfrm>
          <a:off x="7044480" y="11966760"/>
          <a:ext cx="95796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16920</xdr:colOff>
      <xdr:row>66</xdr:row>
      <xdr:rowOff>97920</xdr:rowOff>
    </xdr:from>
    <xdr:to>
      <xdr:col>11</xdr:col>
      <xdr:colOff>57240</xdr:colOff>
      <xdr:row>66</xdr:row>
      <xdr:rowOff>97920</xdr:rowOff>
    </xdr:to>
    <xdr:cxnSp>
      <xdr:nvCxnSpPr>
        <xdr:cNvPr id="50" name="Conector recto de flecha 57"/>
        <xdr:cNvCxnSpPr/>
      </xdr:nvCxnSpPr>
      <xdr:spPr>
        <a:xfrm>
          <a:off x="7423560" y="14632920"/>
          <a:ext cx="95688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12600</xdr:colOff>
      <xdr:row>73</xdr:row>
      <xdr:rowOff>23400</xdr:rowOff>
    </xdr:from>
    <xdr:to>
      <xdr:col>11</xdr:col>
      <xdr:colOff>72000</xdr:colOff>
      <xdr:row>73</xdr:row>
      <xdr:rowOff>23400</xdr:rowOff>
    </xdr:to>
    <xdr:cxnSp>
      <xdr:nvCxnSpPr>
        <xdr:cNvPr id="51" name="Conector recto de flecha 58"/>
        <xdr:cNvCxnSpPr/>
      </xdr:nvCxnSpPr>
      <xdr:spPr>
        <a:xfrm>
          <a:off x="7419240" y="16016040"/>
          <a:ext cx="97596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11</xdr:col>
      <xdr:colOff>331920</xdr:colOff>
      <xdr:row>27</xdr:row>
      <xdr:rowOff>174600</xdr:rowOff>
    </xdr:from>
    <xdr:to>
      <xdr:col>12</xdr:col>
      <xdr:colOff>492120</xdr:colOff>
      <xdr:row>58</xdr:row>
      <xdr:rowOff>91440</xdr:rowOff>
    </xdr:to>
    <xdr:cxnSp>
      <xdr:nvCxnSpPr>
        <xdr:cNvPr id="52" name="Conector: angular 59"/>
        <xdr:cNvCxnSpPr/>
      </xdr:nvCxnSpPr>
      <xdr:spPr>
        <a:xfrm flipH="1" flipV="1" rot="5400000">
          <a:off x="6043680" y="7938720"/>
          <a:ext cx="6298920" cy="1077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11</xdr:col>
      <xdr:colOff>378360</xdr:colOff>
      <xdr:row>28</xdr:row>
      <xdr:rowOff>79200</xdr:rowOff>
    </xdr:from>
    <xdr:to>
      <xdr:col>12</xdr:col>
      <xdr:colOff>475920</xdr:colOff>
      <xdr:row>66</xdr:row>
      <xdr:rowOff>23760</xdr:rowOff>
    </xdr:to>
    <xdr:cxnSp>
      <xdr:nvCxnSpPr>
        <xdr:cNvPr id="53" name="Conector: angular 61"/>
        <xdr:cNvCxnSpPr/>
      </xdr:nvCxnSpPr>
      <xdr:spPr>
        <a:xfrm flipH="1" flipV="1" rot="5400000">
          <a:off x="4640040" y="9483840"/>
          <a:ext cx="9136440" cy="10144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11</xdr:col>
      <xdr:colOff>348480</xdr:colOff>
      <xdr:row>28</xdr:row>
      <xdr:rowOff>183240</xdr:rowOff>
    </xdr:from>
    <xdr:to>
      <xdr:col>12</xdr:col>
      <xdr:colOff>512640</xdr:colOff>
      <xdr:row>72</xdr:row>
      <xdr:rowOff>162000</xdr:rowOff>
    </xdr:to>
    <xdr:cxnSp>
      <xdr:nvCxnSpPr>
        <xdr:cNvPr id="54" name="Conector: angular 64"/>
        <xdr:cNvCxnSpPr/>
      </xdr:nvCxnSpPr>
      <xdr:spPr>
        <a:xfrm flipH="1" flipV="1" rot="5400000">
          <a:off x="4016880" y="10181160"/>
          <a:ext cx="10389960" cy="10810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14</xdr:col>
      <xdr:colOff>29160</xdr:colOff>
      <xdr:row>14</xdr:row>
      <xdr:rowOff>171000</xdr:rowOff>
    </xdr:from>
    <xdr:to>
      <xdr:col>15</xdr:col>
      <xdr:colOff>98640</xdr:colOff>
      <xdr:row>18</xdr:row>
      <xdr:rowOff>56520</xdr:rowOff>
    </xdr:to>
    <xdr:sp>
      <xdr:nvSpPr>
        <xdr:cNvPr id="55" name="Rectángulo 50"/>
        <xdr:cNvSpPr/>
      </xdr:nvSpPr>
      <xdr:spPr>
        <a:xfrm>
          <a:off x="10963080" y="2847600"/>
          <a:ext cx="812520" cy="6472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100" spc="-1" strike="noStrike">
              <a:solidFill>
                <a:srgbClr val="000000"/>
              </a:solidFill>
              <a:latin typeface="Calibri"/>
            </a:rPr>
            <a:t>Desaguado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542520</xdr:colOff>
      <xdr:row>18</xdr:row>
      <xdr:rowOff>56520</xdr:rowOff>
    </xdr:from>
    <xdr:to>
      <xdr:col>15</xdr:col>
      <xdr:colOff>710640</xdr:colOff>
      <xdr:row>27</xdr:row>
      <xdr:rowOff>183600</xdr:rowOff>
    </xdr:to>
    <xdr:cxnSp>
      <xdr:nvCxnSpPr>
        <xdr:cNvPr id="56" name="Conector: angular 67"/>
        <xdr:cNvCxnSpPr/>
      </xdr:nvCxnSpPr>
      <xdr:spPr>
        <a:xfrm flipH="1" rot="16200000">
          <a:off x="11010960" y="3960000"/>
          <a:ext cx="1842120" cy="911520"/>
        </a:xfrm>
        <a:prstGeom prst="bentConnector3">
          <a:avLst>
            <a:gd name="adj1" fmla="val 50000"/>
          </a:avLst>
        </a:prstGeom>
        <a:ln w="1270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14</xdr:col>
      <xdr:colOff>52920</xdr:colOff>
      <xdr:row>12</xdr:row>
      <xdr:rowOff>75960</xdr:rowOff>
    </xdr:from>
    <xdr:to>
      <xdr:col>14</xdr:col>
      <xdr:colOff>66240</xdr:colOff>
      <xdr:row>16</xdr:row>
      <xdr:rowOff>111600</xdr:rowOff>
    </xdr:to>
    <xdr:cxnSp>
      <xdr:nvCxnSpPr>
        <xdr:cNvPr id="57" name="Conector recto de flecha 70"/>
        <xdr:cNvCxnSpPr/>
      </xdr:nvCxnSpPr>
      <xdr:spPr>
        <a:xfrm flipH="1" flipV="1">
          <a:off x="10986840" y="2371320"/>
          <a:ext cx="13680" cy="798120"/>
        </a:xfrm>
        <a:prstGeom prst="straightConnector1">
          <a:avLst/>
        </a:prstGeom>
        <a:ln w="1270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13</xdr:col>
      <xdr:colOff>86040</xdr:colOff>
      <xdr:row>8</xdr:row>
      <xdr:rowOff>182520</xdr:rowOff>
    </xdr:from>
    <xdr:to>
      <xdr:col>14</xdr:col>
      <xdr:colOff>52920</xdr:colOff>
      <xdr:row>12</xdr:row>
      <xdr:rowOff>40680</xdr:rowOff>
    </xdr:to>
    <xdr:sp>
      <xdr:nvSpPr>
        <xdr:cNvPr id="58" name="Triángulo isósceles 71"/>
        <xdr:cNvSpPr/>
      </xdr:nvSpPr>
      <xdr:spPr>
        <a:xfrm>
          <a:off x="10277280" y="1716120"/>
          <a:ext cx="709560" cy="619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85680</xdr:colOff>
      <xdr:row>12</xdr:row>
      <xdr:rowOff>41040</xdr:rowOff>
    </xdr:from>
    <xdr:to>
      <xdr:col>13</xdr:col>
      <xdr:colOff>455400</xdr:colOff>
      <xdr:row>27</xdr:row>
      <xdr:rowOff>87120</xdr:rowOff>
    </xdr:to>
    <xdr:cxnSp>
      <xdr:nvCxnSpPr>
        <xdr:cNvPr id="59" name="Conector: angular 73"/>
        <xdr:cNvCxnSpPr/>
      </xdr:nvCxnSpPr>
      <xdr:spPr>
        <a:xfrm flipH="1" rot="16200000">
          <a:off x="9009720" y="3603240"/>
          <a:ext cx="2904120" cy="370080"/>
        </a:xfrm>
        <a:prstGeom prst="bentConnector3">
          <a:avLst>
            <a:gd name="adj1" fmla="val 50000"/>
          </a:avLst>
        </a:prstGeom>
        <a:ln w="1270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15</xdr:col>
      <xdr:colOff>699840</xdr:colOff>
      <xdr:row>45</xdr:row>
      <xdr:rowOff>82080</xdr:rowOff>
    </xdr:from>
    <xdr:to>
      <xdr:col>17</xdr:col>
      <xdr:colOff>478080</xdr:colOff>
      <xdr:row>48</xdr:row>
      <xdr:rowOff>15840</xdr:rowOff>
    </xdr:to>
    <xdr:sp>
      <xdr:nvSpPr>
        <xdr:cNvPr id="60" name="Rectángulo 18"/>
        <xdr:cNvSpPr/>
      </xdr:nvSpPr>
      <xdr:spPr>
        <a:xfrm>
          <a:off x="12376800" y="8664120"/>
          <a:ext cx="1264320" cy="505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FLOTACIÓN NEUMATICA 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529920</xdr:colOff>
      <xdr:row>48</xdr:row>
      <xdr:rowOff>15840</xdr:rowOff>
    </xdr:from>
    <xdr:to>
      <xdr:col>16</xdr:col>
      <xdr:colOff>529920</xdr:colOff>
      <xdr:row>49</xdr:row>
      <xdr:rowOff>39600</xdr:rowOff>
    </xdr:to>
    <xdr:cxnSp>
      <xdr:nvCxnSpPr>
        <xdr:cNvPr id="61" name="Conector recto de flecha 39"/>
        <xdr:cNvCxnSpPr/>
      </xdr:nvCxnSpPr>
      <xdr:spPr>
        <a:xfrm>
          <a:off x="12949920" y="9169200"/>
          <a:ext cx="360" cy="21492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17</xdr:col>
      <xdr:colOff>478440</xdr:colOff>
      <xdr:row>14</xdr:row>
      <xdr:rowOff>126720</xdr:rowOff>
    </xdr:from>
    <xdr:to>
      <xdr:col>22</xdr:col>
      <xdr:colOff>281160</xdr:colOff>
      <xdr:row>46</xdr:row>
      <xdr:rowOff>146160</xdr:rowOff>
    </xdr:to>
    <xdr:cxnSp>
      <xdr:nvCxnSpPr>
        <xdr:cNvPr id="62" name="Conector: angular 43"/>
        <xdr:cNvCxnSpPr/>
      </xdr:nvCxnSpPr>
      <xdr:spPr>
        <a:xfrm flipH="1" flipV="1" rot="5400000">
          <a:off x="13448520" y="2995920"/>
          <a:ext cx="6115680" cy="5730120"/>
        </a:xfrm>
        <a:prstGeom prst="bentConnector3">
          <a:avLst>
            <a:gd name="adj1" fmla="val 49997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16</xdr:col>
      <xdr:colOff>499320</xdr:colOff>
      <xdr:row>17</xdr:row>
      <xdr:rowOff>96840</xdr:rowOff>
    </xdr:from>
    <xdr:to>
      <xdr:col>16</xdr:col>
      <xdr:colOff>721440</xdr:colOff>
      <xdr:row>18</xdr:row>
      <xdr:rowOff>109440</xdr:rowOff>
    </xdr:to>
    <xdr:sp>
      <xdr:nvSpPr>
        <xdr:cNvPr id="63" name="Elipse 2"/>
        <xdr:cNvSpPr/>
      </xdr:nvSpPr>
      <xdr:spPr>
        <a:xfrm>
          <a:off x="12919320" y="334476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75960</xdr:colOff>
      <xdr:row>18</xdr:row>
      <xdr:rowOff>5760</xdr:rowOff>
    </xdr:from>
    <xdr:to>
      <xdr:col>16</xdr:col>
      <xdr:colOff>499320</xdr:colOff>
      <xdr:row>18</xdr:row>
      <xdr:rowOff>8280</xdr:rowOff>
    </xdr:to>
    <xdr:cxnSp>
      <xdr:nvCxnSpPr>
        <xdr:cNvPr id="64" name="Conector recto de flecha 70"/>
        <xdr:cNvCxnSpPr/>
      </xdr:nvCxnSpPr>
      <xdr:spPr>
        <a:xfrm flipH="1">
          <a:off x="11752920" y="3444120"/>
          <a:ext cx="1166760" cy="2880"/>
        </a:xfrm>
        <a:prstGeom prst="straightConnector1">
          <a:avLst/>
        </a:prstGeom>
        <a:ln w="1270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9720</xdr:colOff>
      <xdr:row>35</xdr:row>
      <xdr:rowOff>37440</xdr:rowOff>
    </xdr:from>
    <xdr:to>
      <xdr:col>5</xdr:col>
      <xdr:colOff>587880</xdr:colOff>
      <xdr:row>38</xdr:row>
      <xdr:rowOff>5040</xdr:rowOff>
    </xdr:to>
    <xdr:sp>
      <xdr:nvSpPr>
        <xdr:cNvPr id="65" name="Triángulo isósceles 12"/>
        <xdr:cNvSpPr/>
      </xdr:nvSpPr>
      <xdr:spPr>
        <a:xfrm>
          <a:off x="3251520" y="6714360"/>
          <a:ext cx="578160" cy="5392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282240</xdr:colOff>
      <xdr:row>35</xdr:row>
      <xdr:rowOff>42840</xdr:rowOff>
    </xdr:from>
    <xdr:to>
      <xdr:col>5</xdr:col>
      <xdr:colOff>98280</xdr:colOff>
      <xdr:row>36</xdr:row>
      <xdr:rowOff>132120</xdr:rowOff>
    </xdr:to>
    <xdr:sp>
      <xdr:nvSpPr>
        <xdr:cNvPr id="66" name="Rectángulo 13"/>
        <xdr:cNvSpPr/>
      </xdr:nvSpPr>
      <xdr:spPr>
        <a:xfrm>
          <a:off x="2781000" y="6719760"/>
          <a:ext cx="559080" cy="279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T1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95040</xdr:colOff>
      <xdr:row>37</xdr:row>
      <xdr:rowOff>99000</xdr:rowOff>
    </xdr:from>
    <xdr:to>
      <xdr:col>5</xdr:col>
      <xdr:colOff>154440</xdr:colOff>
      <xdr:row>37</xdr:row>
      <xdr:rowOff>99000</xdr:rowOff>
    </xdr:to>
    <xdr:cxnSp>
      <xdr:nvCxnSpPr>
        <xdr:cNvPr id="67" name="Conector recto de flecha 32"/>
        <xdr:cNvCxnSpPr/>
      </xdr:nvCxnSpPr>
      <xdr:spPr>
        <a:xfrm>
          <a:off x="2593800" y="7157160"/>
          <a:ext cx="80280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720</xdr:colOff>
      <xdr:row>42</xdr:row>
      <xdr:rowOff>28440</xdr:rowOff>
    </xdr:from>
    <xdr:to>
      <xdr:col>5</xdr:col>
      <xdr:colOff>578880</xdr:colOff>
      <xdr:row>44</xdr:row>
      <xdr:rowOff>177480</xdr:rowOff>
    </xdr:to>
    <xdr:sp>
      <xdr:nvSpPr>
        <xdr:cNvPr id="68" name="Triángulo isósceles 79"/>
        <xdr:cNvSpPr/>
      </xdr:nvSpPr>
      <xdr:spPr>
        <a:xfrm>
          <a:off x="3242520" y="8038800"/>
          <a:ext cx="578160" cy="5302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706680</xdr:colOff>
      <xdr:row>49</xdr:row>
      <xdr:rowOff>135360</xdr:rowOff>
    </xdr:from>
    <xdr:to>
      <xdr:col>5</xdr:col>
      <xdr:colOff>522720</xdr:colOff>
      <xdr:row>52</xdr:row>
      <xdr:rowOff>102960</xdr:rowOff>
    </xdr:to>
    <xdr:sp>
      <xdr:nvSpPr>
        <xdr:cNvPr id="69" name="Triángulo isósceles 80"/>
        <xdr:cNvSpPr/>
      </xdr:nvSpPr>
      <xdr:spPr>
        <a:xfrm>
          <a:off x="3205440" y="9479520"/>
          <a:ext cx="55908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522000</xdr:colOff>
      <xdr:row>56</xdr:row>
      <xdr:rowOff>87480</xdr:rowOff>
    </xdr:from>
    <xdr:to>
      <xdr:col>5</xdr:col>
      <xdr:colOff>492840</xdr:colOff>
      <xdr:row>58</xdr:row>
      <xdr:rowOff>140760</xdr:rowOff>
    </xdr:to>
    <xdr:sp>
      <xdr:nvSpPr>
        <xdr:cNvPr id="70" name="Triángulo isósceles 81"/>
        <xdr:cNvSpPr/>
      </xdr:nvSpPr>
      <xdr:spPr>
        <a:xfrm>
          <a:off x="3020760" y="10822320"/>
          <a:ext cx="713880" cy="8532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0</xdr:colOff>
      <xdr:row>44</xdr:row>
      <xdr:rowOff>18000</xdr:rowOff>
    </xdr:from>
    <xdr:to>
      <xdr:col>5</xdr:col>
      <xdr:colOff>59040</xdr:colOff>
      <xdr:row>44</xdr:row>
      <xdr:rowOff>18000</xdr:rowOff>
    </xdr:to>
    <xdr:cxnSp>
      <xdr:nvCxnSpPr>
        <xdr:cNvPr id="71" name="Conector recto de flecha 55"/>
        <xdr:cNvCxnSpPr/>
      </xdr:nvCxnSpPr>
      <xdr:spPr>
        <a:xfrm>
          <a:off x="2498760" y="8409600"/>
          <a:ext cx="80244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16920</xdr:colOff>
      <xdr:row>51</xdr:row>
      <xdr:rowOff>97920</xdr:rowOff>
    </xdr:from>
    <xdr:to>
      <xdr:col>5</xdr:col>
      <xdr:colOff>57240</xdr:colOff>
      <xdr:row>51</xdr:row>
      <xdr:rowOff>97920</xdr:rowOff>
    </xdr:to>
    <xdr:cxnSp>
      <xdr:nvCxnSpPr>
        <xdr:cNvPr id="72" name="Conector recto de flecha 57"/>
        <xdr:cNvCxnSpPr/>
      </xdr:nvCxnSpPr>
      <xdr:spPr>
        <a:xfrm>
          <a:off x="2515680" y="9822960"/>
          <a:ext cx="78372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3</xdr:col>
      <xdr:colOff>520560</xdr:colOff>
      <xdr:row>57</xdr:row>
      <xdr:rowOff>178560</xdr:rowOff>
    </xdr:from>
    <xdr:to>
      <xdr:col>4</xdr:col>
      <xdr:colOff>579960</xdr:colOff>
      <xdr:row>57</xdr:row>
      <xdr:rowOff>178560</xdr:rowOff>
    </xdr:to>
    <xdr:cxnSp>
      <xdr:nvCxnSpPr>
        <xdr:cNvPr id="73" name="Conector recto de flecha 58"/>
        <xdr:cNvCxnSpPr/>
      </xdr:nvCxnSpPr>
      <xdr:spPr>
        <a:xfrm>
          <a:off x="2276280" y="11313360"/>
          <a:ext cx="80280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444960</xdr:colOff>
      <xdr:row>36</xdr:row>
      <xdr:rowOff>124560</xdr:rowOff>
    </xdr:from>
    <xdr:to>
      <xdr:col>12</xdr:col>
      <xdr:colOff>451440</xdr:colOff>
      <xdr:row>36</xdr:row>
      <xdr:rowOff>140760</xdr:rowOff>
    </xdr:to>
    <xdr:cxnSp>
      <xdr:nvCxnSpPr>
        <xdr:cNvPr id="74" name="Conector recto de flecha 32"/>
        <xdr:cNvCxnSpPr/>
      </xdr:nvCxnSpPr>
      <xdr:spPr>
        <a:xfrm>
          <a:off x="3686760" y="6991920"/>
          <a:ext cx="6004440" cy="165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484560</xdr:colOff>
      <xdr:row>44</xdr:row>
      <xdr:rowOff>1800</xdr:rowOff>
    </xdr:from>
    <xdr:to>
      <xdr:col>12</xdr:col>
      <xdr:colOff>491040</xdr:colOff>
      <xdr:row>44</xdr:row>
      <xdr:rowOff>11160</xdr:rowOff>
    </xdr:to>
    <xdr:cxnSp>
      <xdr:nvCxnSpPr>
        <xdr:cNvPr id="75" name="Conector recto de flecha 32"/>
        <xdr:cNvCxnSpPr/>
      </xdr:nvCxnSpPr>
      <xdr:spPr>
        <a:xfrm>
          <a:off x="3726360" y="8393400"/>
          <a:ext cx="6004440" cy="972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360720</xdr:colOff>
      <xdr:row>46</xdr:row>
      <xdr:rowOff>42120</xdr:rowOff>
    </xdr:from>
    <xdr:to>
      <xdr:col>12</xdr:col>
      <xdr:colOff>479520</xdr:colOff>
      <xdr:row>51</xdr:row>
      <xdr:rowOff>20520</xdr:rowOff>
    </xdr:to>
    <xdr:cxnSp>
      <xdr:nvCxnSpPr>
        <xdr:cNvPr id="76" name="Conector: angular 42"/>
        <xdr:cNvCxnSpPr/>
      </xdr:nvCxnSpPr>
      <xdr:spPr>
        <a:xfrm flipV="1">
          <a:off x="3602520" y="8814600"/>
          <a:ext cx="6116760" cy="931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291960</xdr:colOff>
      <xdr:row>49</xdr:row>
      <xdr:rowOff>126720</xdr:rowOff>
    </xdr:from>
    <xdr:to>
      <xdr:col>12</xdr:col>
      <xdr:colOff>465480</xdr:colOff>
      <xdr:row>57</xdr:row>
      <xdr:rowOff>114120</xdr:rowOff>
    </xdr:to>
    <xdr:cxnSp>
      <xdr:nvCxnSpPr>
        <xdr:cNvPr id="77" name="Conector: angular 42"/>
        <xdr:cNvCxnSpPr/>
      </xdr:nvCxnSpPr>
      <xdr:spPr>
        <a:xfrm flipV="1">
          <a:off x="3533760" y="9470880"/>
          <a:ext cx="6171480" cy="17784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2</xdr:col>
      <xdr:colOff>589320</xdr:colOff>
      <xdr:row>7</xdr:row>
      <xdr:rowOff>185760</xdr:rowOff>
    </xdr:from>
    <xdr:to>
      <xdr:col>3</xdr:col>
      <xdr:colOff>684000</xdr:colOff>
      <xdr:row>8</xdr:row>
      <xdr:rowOff>5040</xdr:rowOff>
    </xdr:to>
    <xdr:cxnSp>
      <xdr:nvCxnSpPr>
        <xdr:cNvPr id="78" name="Conector recto de flecha 23"/>
        <xdr:cNvCxnSpPr/>
      </xdr:nvCxnSpPr>
      <xdr:spPr>
        <a:xfrm>
          <a:off x="1602000" y="1528920"/>
          <a:ext cx="838080" cy="1008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23</xdr:col>
      <xdr:colOff>14040</xdr:colOff>
      <xdr:row>13</xdr:row>
      <xdr:rowOff>28080</xdr:rowOff>
    </xdr:from>
    <xdr:to>
      <xdr:col>24</xdr:col>
      <xdr:colOff>451440</xdr:colOff>
      <xdr:row>13</xdr:row>
      <xdr:rowOff>28080</xdr:rowOff>
    </xdr:to>
    <xdr:cxnSp>
      <xdr:nvCxnSpPr>
        <xdr:cNvPr id="79" name="Conector recto de flecha 23"/>
        <xdr:cNvCxnSpPr/>
      </xdr:nvCxnSpPr>
      <xdr:spPr>
        <a:xfrm>
          <a:off x="20078640" y="2514240"/>
          <a:ext cx="162396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71280</xdr:colOff>
      <xdr:row>1</xdr:row>
      <xdr:rowOff>108360</xdr:rowOff>
    </xdr:from>
    <xdr:to>
      <xdr:col>2</xdr:col>
      <xdr:colOff>761400</xdr:colOff>
      <xdr:row>4</xdr:row>
      <xdr:rowOff>24480</xdr:rowOff>
    </xdr:to>
    <xdr:pic>
      <xdr:nvPicPr>
        <xdr:cNvPr id="80" name="Imagen 1" descr=""/>
        <xdr:cNvPicPr/>
      </xdr:nvPicPr>
      <xdr:blipFill>
        <a:blip r:embed="rId1"/>
        <a:stretch/>
      </xdr:blipFill>
      <xdr:spPr>
        <a:xfrm>
          <a:off x="369720" y="270360"/>
          <a:ext cx="937080" cy="4017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capmineria-my.sharepoint.com/personal/lbravo_cmp_cl/Documents/BALANCES%20MAGNETITA/Balances%20METALURGICOS%20mensuales/2022/12.%20Diciembre%202022/BALANCE%20final%20Octubre%202022%20PM3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</sheetData>
      <sheetData sheetId="1">
        <row r="12">
          <cell r="E12">
            <v>2097.39964197433</v>
          </cell>
        </row>
      </sheetData>
      <sheetData sheetId="2"/>
      <sheetData sheetId="3"/>
      <sheetData sheetId="4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78"/>
  <sheetViews>
    <sheetView showFormulas="false" showGridLines="true" showRowColHeaders="true" showZeros="true" rightToLeft="false" tabSelected="false" showOutlineSymbols="true" defaultGridColor="true" view="pageBreakPreview" topLeftCell="A91" colorId="64" zoomScale="100" zoomScaleNormal="65" zoomScalePageLayoutView="100" workbookViewId="0">
      <selection pane="topLeft" activeCell="H106" activeCellId="0" sqref="H106"/>
    </sheetView>
  </sheetViews>
  <sheetFormatPr defaultColWidth="11.5078125" defaultRowHeight="15" zeroHeight="false" outlineLevelRow="0" outlineLevelCol="1"/>
  <cols>
    <col collapsed="false" customWidth="false" hidden="false" outlineLevel="1" max="8" min="1" style="0" width="11.5"/>
    <col collapsed="false" customWidth="true" hidden="false" outlineLevel="1" max="9" min="9" style="0" width="9"/>
    <col collapsed="false" customWidth="true" hidden="false" outlineLevel="0" max="10" min="10" style="0" width="5.33"/>
    <col collapsed="false" customWidth="true" hidden="false" outlineLevel="0" max="11" min="11" style="0" width="27.67"/>
    <col collapsed="false" customWidth="true" hidden="false" outlineLevel="0" max="14" min="14" style="0" width="24.83"/>
    <col collapsed="false" customWidth="true" hidden="false" outlineLevel="0" max="29" min="29" style="0" width="16.33"/>
  </cols>
  <sheetData>
    <row r="1" customFormat="false" ht="15" hidden="false" customHeight="false" outlineLevel="0" collapsed="false">
      <c r="A1" s="1" t="n">
        <v>7094</v>
      </c>
      <c r="B1" s="1" t="n">
        <v>7094</v>
      </c>
      <c r="C1" s="1" t="n">
        <v>59.53</v>
      </c>
      <c r="D1" s="1" t="n">
        <v>58.68600372</v>
      </c>
      <c r="E1" s="1" t="n">
        <v>58.6</v>
      </c>
      <c r="F1" s="1" t="n">
        <v>57.769188953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</row>
    <row r="2" customFormat="false" ht="15" hidden="false" customHeight="false" outlineLevel="0" collapsed="false">
      <c r="A2" s="1" t="n">
        <v>1710</v>
      </c>
      <c r="B2" s="1" t="n">
        <v>1763.84</v>
      </c>
      <c r="C2" s="1" t="n">
        <v>59.53</v>
      </c>
      <c r="D2" s="1" t="n">
        <v>59.733407839</v>
      </c>
      <c r="E2" s="1" t="n">
        <v>58.6</v>
      </c>
      <c r="F2" s="1" t="n">
        <v>58.800230152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AN2" s="0" t="n">
        <v>1</v>
      </c>
      <c r="AO2" s="0" t="n">
        <f aca="false">AN2+1</f>
        <v>2</v>
      </c>
      <c r="AP2" s="0" t="n">
        <f aca="false">AO2+1</f>
        <v>3</v>
      </c>
      <c r="AQ2" s="0" t="n">
        <f aca="false">AP2+1</f>
        <v>4</v>
      </c>
      <c r="AR2" s="0" t="n">
        <f aca="false">AQ2+1</f>
        <v>5</v>
      </c>
      <c r="AS2" s="0" t="n">
        <f aca="false">AR2+1</f>
        <v>6</v>
      </c>
      <c r="AT2" s="0" t="n">
        <f aca="false">AS2+1</f>
        <v>7</v>
      </c>
      <c r="AU2" s="0" t="n">
        <f aca="false">AT2+1</f>
        <v>8</v>
      </c>
      <c r="AV2" s="0" t="n">
        <f aca="false">AU2+1</f>
        <v>9</v>
      </c>
      <c r="AW2" s="0" t="n">
        <f aca="false">AV2+1</f>
        <v>10</v>
      </c>
      <c r="AX2" s="0" t="n">
        <f aca="false">AW2+1</f>
        <v>11</v>
      </c>
      <c r="AY2" s="0" t="n">
        <f aca="false">AX2+1</f>
        <v>12</v>
      </c>
      <c r="AZ2" s="0" t="n">
        <f aca="false">AY2+1</f>
        <v>13</v>
      </c>
      <c r="BA2" s="0" t="n">
        <f aca="false">AZ2+1</f>
        <v>14</v>
      </c>
      <c r="BB2" s="0" t="n">
        <f aca="false">BA2+1</f>
        <v>15</v>
      </c>
      <c r="BC2" s="0" t="n">
        <f aca="false">BB2+1</f>
        <v>16</v>
      </c>
      <c r="BD2" s="0" t="n">
        <f aca="false">BC2+1</f>
        <v>17</v>
      </c>
      <c r="BE2" s="0" t="n">
        <f aca="false">BD2+1</f>
        <v>18</v>
      </c>
      <c r="BF2" s="0" t="n">
        <f aca="false">BE2+1</f>
        <v>19</v>
      </c>
      <c r="BG2" s="0" t="n">
        <f aca="false">BF2+1</f>
        <v>20</v>
      </c>
      <c r="BH2" s="0" t="n">
        <f aca="false">BG2+1</f>
        <v>21</v>
      </c>
      <c r="BI2" s="0" t="n">
        <f aca="false">BH2+1</f>
        <v>22</v>
      </c>
      <c r="BJ2" s="0" t="n">
        <f aca="false">BI2+1</f>
        <v>23</v>
      </c>
      <c r="BK2" s="0" t="n">
        <f aca="false">BJ2+1</f>
        <v>24</v>
      </c>
      <c r="BL2" s="0" t="n">
        <f aca="false">BK2+1</f>
        <v>25</v>
      </c>
      <c r="BM2" s="0" t="n">
        <f aca="false">BL2+1</f>
        <v>26</v>
      </c>
      <c r="BN2" s="0" t="n">
        <f aca="false">BM2+1</f>
        <v>27</v>
      </c>
      <c r="BO2" s="0" t="n">
        <f aca="false">BN2+1</f>
        <v>28</v>
      </c>
      <c r="BP2" s="0" t="n">
        <f aca="false">BO2+1</f>
        <v>29</v>
      </c>
      <c r="BQ2" s="0" t="n">
        <f aca="false">BP2+1</f>
        <v>30</v>
      </c>
      <c r="BR2" s="0" t="n">
        <f aca="false">BQ2+1</f>
        <v>31</v>
      </c>
      <c r="BS2" s="0" t="n">
        <f aca="false">BR2+1</f>
        <v>32</v>
      </c>
      <c r="BT2" s="0" t="n">
        <f aca="false">BS2+1</f>
        <v>33</v>
      </c>
      <c r="BU2" s="0" t="n">
        <f aca="false">BT2+1</f>
        <v>34</v>
      </c>
      <c r="BV2" s="0" t="n">
        <f aca="false">BU2+1</f>
        <v>35</v>
      </c>
      <c r="BW2" s="0" t="n">
        <f aca="false">BV2+1</f>
        <v>36</v>
      </c>
      <c r="BX2" s="0" t="n">
        <f aca="false">BW2+1</f>
        <v>37</v>
      </c>
      <c r="BY2" s="0" t="n">
        <f aca="false">BX2+1</f>
        <v>38</v>
      </c>
      <c r="BZ2" s="0" t="n">
        <f aca="false">BY2+1</f>
        <v>39</v>
      </c>
      <c r="CA2" s="0" t="n">
        <f aca="false">BZ2+1</f>
        <v>40</v>
      </c>
      <c r="CB2" s="0" t="n">
        <f aca="false">CA2+1</f>
        <v>41</v>
      </c>
      <c r="CC2" s="0" t="n">
        <f aca="false">CB2+1</f>
        <v>42</v>
      </c>
      <c r="CD2" s="0" t="n">
        <f aca="false">CC2+1</f>
        <v>43</v>
      </c>
      <c r="CE2" s="0" t="n">
        <f aca="false">CD2+1</f>
        <v>44</v>
      </c>
    </row>
    <row r="3" s="9" customFormat="true" ht="45" hidden="false" customHeight="true" outlineLevel="0" collapsed="false">
      <c r="A3" s="1" t="n">
        <v>5384</v>
      </c>
      <c r="B3" s="1" t="n">
        <v>5330.16</v>
      </c>
      <c r="C3" s="1" t="n">
        <v>59.53</v>
      </c>
      <c r="D3" s="1" t="n">
        <v>58.3394</v>
      </c>
      <c r="E3" s="1" t="n">
        <v>58.6</v>
      </c>
      <c r="F3" s="1" t="n">
        <v>57.428</v>
      </c>
      <c r="G3" s="2"/>
      <c r="H3" s="3"/>
      <c r="I3" s="3"/>
      <c r="J3" s="3"/>
      <c r="K3" s="4"/>
      <c r="L3" s="5"/>
      <c r="M3" s="5"/>
      <c r="N3" s="5"/>
      <c r="O3" s="5"/>
      <c r="P3" s="5"/>
      <c r="Q3" s="5"/>
      <c r="R3" s="5"/>
      <c r="S3" s="6"/>
      <c r="T3" s="6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"/>
      <c r="AG3" s="8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U3" s="11"/>
      <c r="BV3" s="11"/>
    </row>
    <row r="4" customFormat="false" ht="18" hidden="false" customHeight="true" outlineLevel="0" collapsed="false">
      <c r="A4" s="1" t="n">
        <v>8329</v>
      </c>
      <c r="B4" s="1" t="n">
        <v>8329</v>
      </c>
      <c r="C4" s="1" t="n">
        <v>43.13</v>
      </c>
      <c r="D4" s="1" t="n">
        <v>42.611354513</v>
      </c>
      <c r="E4" s="1" t="n">
        <v>40.81</v>
      </c>
      <c r="F4" s="1" t="n">
        <v>40.319905361</v>
      </c>
      <c r="G4" s="2"/>
      <c r="H4" s="2"/>
      <c r="I4" s="2"/>
      <c r="J4" s="2"/>
      <c r="K4" s="12"/>
      <c r="L4" s="2"/>
      <c r="M4" s="2"/>
      <c r="N4" s="2"/>
      <c r="O4" s="2"/>
      <c r="P4" s="2"/>
      <c r="Q4" s="2"/>
      <c r="R4" s="2"/>
      <c r="S4" s="1"/>
      <c r="T4" s="1"/>
      <c r="AL4" s="9"/>
      <c r="AM4" s="7"/>
    </row>
    <row r="5" customFormat="false" ht="18" hidden="false" customHeight="true" outlineLevel="0" collapsed="false">
      <c r="A5" s="1" t="n">
        <v>2720</v>
      </c>
      <c r="B5" s="1" t="n">
        <v>2776.09</v>
      </c>
      <c r="C5" s="1" t="n">
        <v>43.13</v>
      </c>
      <c r="D5" s="1" t="n">
        <v>43.299353986</v>
      </c>
      <c r="E5" s="1" t="n">
        <v>40.81</v>
      </c>
      <c r="F5" s="1" t="n">
        <v>40.972201837</v>
      </c>
      <c r="G5" s="2"/>
      <c r="H5" s="2"/>
      <c r="I5" s="2"/>
      <c r="J5" s="2"/>
      <c r="K5" s="12"/>
      <c r="L5" s="2"/>
      <c r="M5" s="2"/>
      <c r="N5" s="2"/>
      <c r="O5" s="2"/>
      <c r="P5" s="2"/>
      <c r="Q5" s="2"/>
      <c r="R5" s="2"/>
      <c r="S5" s="1"/>
      <c r="T5" s="1"/>
      <c r="AL5" s="9"/>
      <c r="AM5" s="7"/>
    </row>
    <row r="6" customFormat="false" ht="18" hidden="false" customHeight="true" outlineLevel="0" collapsed="false">
      <c r="A6" s="1" t="n">
        <v>5609</v>
      </c>
      <c r="B6" s="1" t="n">
        <v>5552.91</v>
      </c>
      <c r="C6" s="1" t="n">
        <v>43.13</v>
      </c>
      <c r="D6" s="1" t="n">
        <v>42.2674</v>
      </c>
      <c r="E6" s="1" t="n">
        <v>40.81</v>
      </c>
      <c r="F6" s="1" t="n">
        <v>39.9938</v>
      </c>
      <c r="G6" s="2"/>
      <c r="H6" s="2"/>
      <c r="I6" s="2"/>
      <c r="J6" s="2"/>
      <c r="K6" s="12"/>
      <c r="L6" s="2"/>
      <c r="M6" s="2"/>
      <c r="N6" s="2"/>
      <c r="O6" s="2"/>
      <c r="P6" s="2"/>
      <c r="Q6" s="2"/>
      <c r="R6" s="2"/>
      <c r="S6" s="1"/>
      <c r="T6" s="1"/>
      <c r="AL6" s="9"/>
      <c r="AM6" s="7"/>
    </row>
    <row r="7" customFormat="false" ht="18" hidden="false" customHeight="true" outlineLevel="0" collapsed="false">
      <c r="A7" s="1" t="n">
        <v>9517</v>
      </c>
      <c r="B7" s="1" t="n">
        <v>9517</v>
      </c>
      <c r="C7" s="1" t="n">
        <v>49</v>
      </c>
      <c r="D7" s="1" t="n">
        <v>48.923527985</v>
      </c>
      <c r="E7" s="1" t="n">
        <v>47.35</v>
      </c>
      <c r="F7" s="1" t="n">
        <v>47.276103064</v>
      </c>
      <c r="G7" s="2"/>
      <c r="H7" s="2"/>
      <c r="I7" s="2"/>
      <c r="J7" s="2"/>
      <c r="K7" s="12"/>
      <c r="L7" s="2"/>
      <c r="M7" s="2"/>
      <c r="N7" s="2"/>
      <c r="O7" s="2"/>
      <c r="P7" s="2"/>
      <c r="Q7" s="2"/>
      <c r="R7" s="2"/>
      <c r="S7" s="1"/>
      <c r="T7" s="1"/>
      <c r="AL7" s="9"/>
      <c r="AM7" s="7"/>
    </row>
    <row r="8" customFormat="false" ht="18" hidden="false" customHeight="true" outlineLevel="0" collapsed="false">
      <c r="A8" s="1" t="n">
        <v>8208</v>
      </c>
      <c r="B8" s="1" t="n">
        <v>8221.09</v>
      </c>
      <c r="C8" s="1" t="n">
        <v>49</v>
      </c>
      <c r="D8" s="1" t="n">
        <v>49.065953254</v>
      </c>
      <c r="E8" s="1" t="n">
        <v>47.35</v>
      </c>
      <c r="F8" s="1" t="n">
        <v>47.41373238</v>
      </c>
      <c r="G8" s="2"/>
      <c r="H8" s="2"/>
      <c r="I8" s="2"/>
      <c r="J8" s="2"/>
      <c r="K8" s="12"/>
      <c r="L8" s="2"/>
      <c r="M8" s="2"/>
      <c r="N8" s="2"/>
      <c r="O8" s="2"/>
      <c r="P8" s="2"/>
      <c r="Q8" s="2"/>
      <c r="R8" s="2"/>
      <c r="S8" s="1"/>
      <c r="T8" s="1"/>
      <c r="AL8" s="9"/>
      <c r="AM8" s="7"/>
    </row>
    <row r="9" customFormat="false" ht="18" hidden="false" customHeight="true" outlineLevel="0" collapsed="false">
      <c r="A9" s="1" t="n">
        <v>1309</v>
      </c>
      <c r="B9" s="1" t="n">
        <v>1295.91</v>
      </c>
      <c r="C9" s="1" t="n">
        <v>49</v>
      </c>
      <c r="D9" s="1" t="n">
        <v>48.02</v>
      </c>
      <c r="E9" s="1" t="n">
        <v>47.35</v>
      </c>
      <c r="F9" s="1" t="n">
        <v>46.403</v>
      </c>
      <c r="G9" s="2"/>
      <c r="H9" s="2"/>
      <c r="I9" s="2"/>
      <c r="J9" s="2"/>
      <c r="K9" s="12"/>
      <c r="L9" s="2"/>
      <c r="M9" s="2"/>
      <c r="N9" s="2"/>
      <c r="O9" s="2"/>
      <c r="P9" s="2"/>
      <c r="Q9" s="2"/>
      <c r="R9" s="2"/>
      <c r="S9" s="1"/>
      <c r="T9" s="1"/>
      <c r="AL9" s="9"/>
      <c r="AM9" s="7"/>
    </row>
    <row r="10" customFormat="false" ht="18" hidden="false" customHeight="true" outlineLevel="0" collapsed="false">
      <c r="A10" s="1" t="n">
        <v>18376</v>
      </c>
      <c r="B10" s="1" t="n">
        <v>18376</v>
      </c>
      <c r="C10" s="1" t="n">
        <v>37</v>
      </c>
      <c r="D10" s="1" t="n">
        <v>36.7928</v>
      </c>
      <c r="E10" s="1" t="n">
        <v>35.25</v>
      </c>
      <c r="F10" s="1" t="n">
        <v>35.955</v>
      </c>
      <c r="G10" s="2"/>
      <c r="H10" s="2"/>
      <c r="I10" s="2"/>
      <c r="J10" s="2"/>
      <c r="K10" s="12"/>
      <c r="L10" s="2"/>
      <c r="M10" s="2"/>
      <c r="N10" s="2"/>
      <c r="O10" s="2"/>
      <c r="P10" s="2"/>
      <c r="Q10" s="2"/>
      <c r="R10" s="2"/>
      <c r="S10" s="1"/>
      <c r="T10" s="1"/>
      <c r="AL10" s="9"/>
      <c r="AM10" s="7"/>
    </row>
    <row r="11" customFormat="false" ht="18" hidden="false" customHeight="true" outlineLevel="0" collapsed="false">
      <c r="A11" s="1" t="n">
        <v>14271</v>
      </c>
      <c r="B11" s="1" t="n">
        <v>14312.05</v>
      </c>
      <c r="C11" s="1" t="n">
        <v>37</v>
      </c>
      <c r="D11" s="1" t="n">
        <v>37.194536751</v>
      </c>
      <c r="E11" s="1" t="n">
        <v>35.25</v>
      </c>
      <c r="F11" s="1" t="n">
        <v>36.647561446</v>
      </c>
      <c r="G11" s="2"/>
      <c r="H11" s="2"/>
      <c r="I11" s="2"/>
      <c r="J11" s="2"/>
      <c r="K11" s="12"/>
      <c r="L11" s="2"/>
      <c r="M11" s="2"/>
      <c r="N11" s="2"/>
      <c r="O11" s="2"/>
      <c r="P11" s="2"/>
      <c r="Q11" s="2"/>
      <c r="R11" s="2"/>
      <c r="S11" s="1"/>
      <c r="T11" s="1"/>
      <c r="AL11" s="9"/>
      <c r="AM11" s="7"/>
    </row>
    <row r="12" customFormat="false" ht="18" hidden="false" customHeight="true" outlineLevel="0" collapsed="false">
      <c r="A12" s="1" t="n">
        <v>4105</v>
      </c>
      <c r="B12" s="1" t="n">
        <v>4063.95</v>
      </c>
      <c r="C12" s="1" t="n">
        <v>36.1</v>
      </c>
      <c r="D12" s="1" t="n">
        <v>35.378</v>
      </c>
      <c r="E12" s="1" t="n">
        <v>34.2</v>
      </c>
      <c r="F12" s="1" t="n">
        <v>33.516</v>
      </c>
      <c r="G12" s="2"/>
      <c r="H12" s="2"/>
      <c r="I12" s="2"/>
      <c r="J12" s="2"/>
      <c r="K12" s="12"/>
      <c r="L12" s="2"/>
      <c r="M12" s="2"/>
      <c r="N12" s="2"/>
      <c r="O12" s="2"/>
      <c r="P12" s="2"/>
      <c r="Q12" s="2"/>
      <c r="R12" s="2"/>
      <c r="S12" s="1"/>
      <c r="T12" s="1"/>
      <c r="AL12" s="9"/>
      <c r="AM12" s="7"/>
    </row>
    <row r="13" customFormat="false" ht="18" hidden="false" customHeight="true" outlineLevel="0" collapsed="false">
      <c r="A13" s="1" t="n">
        <v>3933</v>
      </c>
      <c r="B13" s="1" t="n">
        <v>3933</v>
      </c>
      <c r="C13" s="1" t="n">
        <v>49.59</v>
      </c>
      <c r="D13" s="1" t="n">
        <v>49.429762728</v>
      </c>
      <c r="E13" s="1" t="n">
        <v>45.13</v>
      </c>
      <c r="F13" s="1" t="n">
        <v>44.984174073</v>
      </c>
      <c r="G13" s="2"/>
      <c r="H13" s="2"/>
      <c r="I13" s="2"/>
      <c r="J13" s="2"/>
      <c r="K13" s="12"/>
      <c r="L13" s="2"/>
      <c r="M13" s="2"/>
      <c r="N13" s="2"/>
      <c r="O13" s="2"/>
      <c r="P13" s="2"/>
      <c r="Q13" s="2"/>
      <c r="R13" s="2"/>
      <c r="S13" s="1"/>
      <c r="T13" s="1"/>
      <c r="AL13" s="9"/>
      <c r="AM13" s="7"/>
    </row>
    <row r="14" customFormat="false" ht="18" hidden="false" customHeight="true" outlineLevel="0" collapsed="false">
      <c r="A14" s="1" t="n">
        <v>2933</v>
      </c>
      <c r="B14" s="1" t="n">
        <v>2943</v>
      </c>
      <c r="C14" s="1" t="n">
        <v>49.59</v>
      </c>
      <c r="D14" s="1" t="n">
        <v>49.70949331</v>
      </c>
      <c r="E14" s="1" t="n">
        <v>45.13</v>
      </c>
      <c r="F14" s="1" t="n">
        <v>45.238746392</v>
      </c>
      <c r="G14" s="2"/>
      <c r="H14" s="2"/>
      <c r="I14" s="2"/>
      <c r="J14" s="2"/>
      <c r="K14" s="12"/>
      <c r="L14" s="2"/>
      <c r="M14" s="2"/>
      <c r="N14" s="2"/>
      <c r="O14" s="2"/>
      <c r="P14" s="2"/>
      <c r="Q14" s="2"/>
      <c r="R14" s="2"/>
      <c r="S14" s="1"/>
      <c r="T14" s="1"/>
      <c r="AL14" s="9"/>
      <c r="AM14" s="7"/>
    </row>
    <row r="15" customFormat="false" ht="18" hidden="false" customHeight="true" outlineLevel="0" collapsed="false">
      <c r="A15" s="1" t="n">
        <v>1000</v>
      </c>
      <c r="B15" s="1" t="n">
        <v>990</v>
      </c>
      <c r="C15" s="1" t="n">
        <v>49.59</v>
      </c>
      <c r="D15" s="1" t="n">
        <v>48.5982</v>
      </c>
      <c r="E15" s="1" t="n">
        <v>45.13</v>
      </c>
      <c r="F15" s="1" t="n">
        <v>44.2274</v>
      </c>
      <c r="G15" s="2"/>
      <c r="H15" s="2"/>
      <c r="I15" s="2"/>
      <c r="J15" s="2"/>
      <c r="K15" s="12"/>
      <c r="L15" s="2"/>
      <c r="M15" s="2"/>
      <c r="N15" s="2"/>
      <c r="O15" s="2"/>
      <c r="P15" s="2"/>
      <c r="Q15" s="2"/>
      <c r="R15" s="2"/>
      <c r="S15" s="1"/>
      <c r="T15" s="1"/>
      <c r="AL15" s="9"/>
      <c r="AM15" s="7"/>
    </row>
    <row r="16" customFormat="false" ht="18" hidden="false" customHeight="true" outlineLevel="0" collapsed="false">
      <c r="A16" s="1" t="n">
        <v>750</v>
      </c>
      <c r="B16" s="1" t="n">
        <v>750</v>
      </c>
      <c r="C16" s="1" t="n">
        <v>42.31</v>
      </c>
      <c r="D16" s="1" t="n">
        <v>41.4638</v>
      </c>
      <c r="E16" s="1" t="n">
        <v>37.96</v>
      </c>
      <c r="F16" s="1" t="n">
        <v>37.2008</v>
      </c>
      <c r="G16" s="2"/>
      <c r="H16" s="2"/>
      <c r="I16" s="2"/>
      <c r="J16" s="2"/>
      <c r="K16" s="12"/>
      <c r="L16" s="2"/>
      <c r="M16" s="2"/>
      <c r="N16" s="2"/>
      <c r="O16" s="2"/>
      <c r="P16" s="2"/>
      <c r="Q16" s="2"/>
      <c r="R16" s="2"/>
      <c r="S16" s="1"/>
      <c r="T16" s="1"/>
      <c r="AL16" s="9"/>
      <c r="AM16" s="7"/>
    </row>
    <row r="17" customFormat="false" ht="18" hidden="false" customHeight="true" outlineLevel="0" collapsed="false">
      <c r="A17" s="1" t="n">
        <v>-250</v>
      </c>
      <c r="B17" s="1" t="n">
        <v>-240</v>
      </c>
      <c r="C17" s="1" t="n">
        <v>42.31</v>
      </c>
      <c r="D17" s="1" t="n">
        <v>41.4638</v>
      </c>
      <c r="E17" s="1" t="n">
        <v>37.96</v>
      </c>
      <c r="F17" s="1" t="n">
        <v>37.2008</v>
      </c>
      <c r="G17" s="2"/>
      <c r="H17" s="2"/>
      <c r="I17" s="2"/>
      <c r="J17" s="2"/>
      <c r="K17" s="12"/>
      <c r="L17" s="2"/>
      <c r="M17" s="2"/>
      <c r="N17" s="2"/>
      <c r="O17" s="2"/>
      <c r="P17" s="2"/>
      <c r="Q17" s="2"/>
      <c r="R17" s="2"/>
      <c r="S17" s="1"/>
      <c r="T17" s="1"/>
      <c r="AL17" s="9"/>
      <c r="AM17" s="7"/>
    </row>
    <row r="18" customFormat="false" ht="18" hidden="false" customHeight="true" outlineLevel="0" collapsed="false">
      <c r="A18" s="1" t="n">
        <v>1000</v>
      </c>
      <c r="B18" s="1" t="n">
        <v>990</v>
      </c>
      <c r="C18" s="1" t="n">
        <v>42.31</v>
      </c>
      <c r="D18" s="1" t="n">
        <v>41.4638</v>
      </c>
      <c r="E18" s="1" t="n">
        <v>37.96</v>
      </c>
      <c r="F18" s="1" t="n">
        <v>37.2008</v>
      </c>
      <c r="G18" s="2"/>
      <c r="H18" s="2"/>
      <c r="I18" s="2"/>
      <c r="J18" s="2"/>
      <c r="K18" s="12"/>
      <c r="L18" s="2"/>
      <c r="M18" s="2"/>
      <c r="N18" s="2"/>
      <c r="O18" s="2"/>
      <c r="P18" s="2"/>
      <c r="Q18" s="2"/>
      <c r="R18" s="2"/>
      <c r="S18" s="1"/>
      <c r="T18" s="1"/>
      <c r="AL18" s="9"/>
      <c r="AM18" s="7"/>
    </row>
    <row r="19" customFormat="false" ht="18" hidden="false" customHeight="true" outlineLevel="0" collapsed="false">
      <c r="A19" s="1" t="n">
        <v>0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2"/>
      <c r="H19" s="2"/>
      <c r="I19" s="2"/>
      <c r="J19" s="2"/>
      <c r="K19" s="12"/>
      <c r="L19" s="2"/>
      <c r="M19" s="2"/>
      <c r="N19" s="2"/>
      <c r="O19" s="2"/>
      <c r="P19" s="2"/>
      <c r="Q19" s="2"/>
      <c r="R19" s="2"/>
      <c r="S19" s="1"/>
      <c r="T19" s="1"/>
      <c r="AL19" s="9"/>
      <c r="AM19" s="7"/>
    </row>
    <row r="20" customFormat="false" ht="18" hidden="false" customHeight="true" outlineLevel="0" collapsed="false">
      <c r="A20" s="1" t="n">
        <v>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2"/>
      <c r="H20" s="2"/>
      <c r="I20" s="2"/>
      <c r="J20" s="2"/>
      <c r="K20" s="12"/>
      <c r="L20" s="2"/>
      <c r="M20" s="2"/>
      <c r="N20" s="2"/>
      <c r="O20" s="2"/>
      <c r="P20" s="2"/>
      <c r="Q20" s="2"/>
      <c r="R20" s="2"/>
      <c r="S20" s="1"/>
      <c r="T20" s="1"/>
      <c r="AL20" s="9"/>
      <c r="AM20" s="7"/>
    </row>
    <row r="21" customFormat="false" ht="18" hidden="false" customHeight="true" outlineLevel="0" collapsed="false">
      <c r="A21" s="1" t="n">
        <v>0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2"/>
      <c r="H21" s="2"/>
      <c r="I21" s="2"/>
      <c r="J21" s="2"/>
      <c r="K21" s="12"/>
      <c r="L21" s="2"/>
      <c r="M21" s="2"/>
      <c r="N21" s="2"/>
      <c r="O21" s="2"/>
      <c r="P21" s="2"/>
      <c r="Q21" s="2"/>
      <c r="R21" s="2"/>
      <c r="S21" s="1"/>
      <c r="T21" s="1"/>
      <c r="AL21" s="9"/>
      <c r="AM21" s="7"/>
    </row>
    <row r="22" customFormat="false" ht="18" hidden="false" customHeight="true" outlineLevel="0" collapsed="false">
      <c r="A22" s="1" t="n">
        <v>2413</v>
      </c>
      <c r="B22" s="1" t="n">
        <v>2413</v>
      </c>
      <c r="C22" s="1" t="n">
        <v>54.69</v>
      </c>
      <c r="D22" s="1" t="n">
        <v>54.69</v>
      </c>
      <c r="E22" s="1" t="n">
        <v>52.14</v>
      </c>
      <c r="F22" s="1" t="n">
        <v>52.14</v>
      </c>
      <c r="G22" s="2"/>
      <c r="H22" s="2"/>
      <c r="I22" s="2"/>
      <c r="J22" s="2"/>
      <c r="K22" s="12"/>
      <c r="L22" s="2"/>
      <c r="M22" s="2"/>
      <c r="N22" s="2"/>
      <c r="O22" s="2"/>
      <c r="P22" s="2"/>
      <c r="Q22" s="2"/>
      <c r="R22" s="2"/>
      <c r="S22" s="1"/>
      <c r="T22" s="1"/>
      <c r="AL22" s="9"/>
      <c r="AM22" s="7"/>
    </row>
    <row r="23" customFormat="false" ht="18" hidden="false" customHeight="true" outlineLevel="0" collapsed="false">
      <c r="A23" s="1" t="n">
        <v>2413</v>
      </c>
      <c r="B23" s="1" t="n">
        <v>2413</v>
      </c>
      <c r="C23" s="1" t="n">
        <v>54.69</v>
      </c>
      <c r="D23" s="1" t="n">
        <v>54.69</v>
      </c>
      <c r="E23" s="1" t="n">
        <v>52.14</v>
      </c>
      <c r="F23" s="1" t="n">
        <v>52.14</v>
      </c>
      <c r="G23" s="2"/>
      <c r="H23" s="2"/>
      <c r="I23" s="2"/>
      <c r="J23" s="2"/>
      <c r="K23" s="12"/>
      <c r="L23" s="2"/>
      <c r="M23" s="2"/>
      <c r="N23" s="2"/>
      <c r="O23" s="2"/>
      <c r="P23" s="2"/>
      <c r="Q23" s="2"/>
      <c r="R23" s="2"/>
      <c r="S23" s="1"/>
      <c r="T23" s="1"/>
      <c r="AL23" s="9"/>
      <c r="AM23" s="8"/>
    </row>
    <row r="24" customFormat="false" ht="18" hidden="false" customHeight="true" outlineLevel="0" collapsed="false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2"/>
      <c r="H24" s="2"/>
      <c r="I24" s="2"/>
      <c r="J24" s="2"/>
      <c r="K24" s="12"/>
      <c r="L24" s="2"/>
      <c r="M24" s="2"/>
      <c r="N24" s="2"/>
      <c r="O24" s="2"/>
      <c r="P24" s="2"/>
      <c r="Q24" s="2"/>
      <c r="R24" s="2"/>
      <c r="S24" s="1"/>
      <c r="T24" s="1"/>
      <c r="AL24" s="9"/>
      <c r="AM24" s="8"/>
    </row>
    <row r="25" customFormat="false" ht="18" hidden="false" customHeight="true" outlineLevel="0" collapsed="false">
      <c r="A25" s="1" t="n">
        <v>3933</v>
      </c>
      <c r="B25" s="1" t="n">
        <v>3933</v>
      </c>
      <c r="C25" s="1" t="n">
        <v>49.59</v>
      </c>
      <c r="D25" s="1" t="n">
        <v>49.429762728</v>
      </c>
      <c r="E25" s="1" t="n">
        <v>45.13</v>
      </c>
      <c r="F25" s="1" t="n">
        <v>44.984174073</v>
      </c>
      <c r="G25" s="2"/>
      <c r="H25" s="2"/>
      <c r="I25" s="2"/>
      <c r="J25" s="2"/>
      <c r="K25" s="12"/>
      <c r="L25" s="2"/>
      <c r="M25" s="2"/>
      <c r="N25" s="2"/>
      <c r="O25" s="2"/>
      <c r="P25" s="2"/>
      <c r="Q25" s="2"/>
      <c r="R25" s="2"/>
      <c r="S25" s="1"/>
      <c r="T25" s="1"/>
      <c r="AL25" s="9"/>
      <c r="AM25" s="8"/>
    </row>
    <row r="26" customFormat="false" ht="18" hidden="false" customHeight="true" outlineLevel="0" collapsed="false">
      <c r="A26" s="1" t="n">
        <v>2933</v>
      </c>
      <c r="B26" s="1" t="n">
        <v>2943</v>
      </c>
      <c r="C26" s="1" t="n">
        <v>49.59</v>
      </c>
      <c r="D26" s="1" t="n">
        <v>49.70949331</v>
      </c>
      <c r="E26" s="1" t="n">
        <v>45.13</v>
      </c>
      <c r="F26" s="1" t="n">
        <v>45.238746392</v>
      </c>
      <c r="G26" s="2"/>
      <c r="H26" s="2"/>
      <c r="I26" s="2"/>
      <c r="J26" s="2"/>
      <c r="K26" s="12"/>
      <c r="L26" s="2"/>
      <c r="M26" s="2"/>
      <c r="N26" s="2"/>
      <c r="O26" s="2"/>
      <c r="P26" s="2"/>
      <c r="Q26" s="2"/>
      <c r="R26" s="2"/>
      <c r="S26" s="1"/>
      <c r="T26" s="1"/>
    </row>
    <row r="27" customFormat="false" ht="18" hidden="false" customHeight="true" outlineLevel="0" collapsed="false">
      <c r="A27" s="1" t="n">
        <v>1000</v>
      </c>
      <c r="B27" s="1" t="n">
        <v>990</v>
      </c>
      <c r="C27" s="1" t="n">
        <v>49.59</v>
      </c>
      <c r="D27" s="1" t="n">
        <v>48.5982</v>
      </c>
      <c r="E27" s="1" t="n">
        <v>45.13</v>
      </c>
      <c r="F27" s="1" t="n">
        <v>44.2274</v>
      </c>
      <c r="G27" s="2"/>
      <c r="H27" s="2"/>
      <c r="I27" s="2"/>
      <c r="J27" s="2"/>
      <c r="K27" s="12"/>
      <c r="L27" s="2"/>
      <c r="M27" s="2"/>
      <c r="N27" s="2"/>
      <c r="O27" s="2"/>
      <c r="P27" s="2"/>
      <c r="Q27" s="2"/>
      <c r="R27" s="2"/>
      <c r="S27" s="1"/>
      <c r="T27" s="1"/>
    </row>
    <row r="28" customFormat="false" ht="18" hidden="false" customHeight="true" outlineLevel="0" collapsed="false">
      <c r="A28" s="1" t="n">
        <v>750</v>
      </c>
      <c r="B28" s="1" t="n">
        <v>750</v>
      </c>
      <c r="C28" s="1" t="n">
        <v>42.31</v>
      </c>
      <c r="D28" s="1" t="n">
        <v>41.4638</v>
      </c>
      <c r="E28" s="1" t="n">
        <v>37.96</v>
      </c>
      <c r="F28" s="1" t="n">
        <v>37.2008</v>
      </c>
      <c r="G28" s="12"/>
      <c r="H28" s="2"/>
      <c r="I28" s="2"/>
      <c r="J28" s="2"/>
      <c r="K28" s="12"/>
      <c r="L28" s="2"/>
      <c r="M28" s="2"/>
      <c r="N28" s="2"/>
      <c r="O28" s="2"/>
      <c r="P28" s="2"/>
      <c r="Q28" s="2"/>
      <c r="R28" s="2"/>
      <c r="S28" s="1"/>
      <c r="T28" s="1"/>
    </row>
    <row r="29" customFormat="false" ht="18" hidden="false" customHeight="true" outlineLevel="0" collapsed="false">
      <c r="A29" s="1" t="n">
        <v>-250</v>
      </c>
      <c r="B29" s="1" t="n">
        <v>-240</v>
      </c>
      <c r="C29" s="1" t="n">
        <v>42.31</v>
      </c>
      <c r="D29" s="1" t="n">
        <v>41.4638</v>
      </c>
      <c r="E29" s="1" t="n">
        <v>37.96</v>
      </c>
      <c r="F29" s="1" t="n">
        <v>37.2008</v>
      </c>
      <c r="G29" s="2"/>
      <c r="H29" s="2"/>
      <c r="I29" s="2"/>
      <c r="J29" s="2"/>
      <c r="K29" s="12"/>
      <c r="L29" s="2"/>
      <c r="M29" s="2"/>
      <c r="N29" s="2"/>
      <c r="O29" s="2"/>
      <c r="P29" s="2"/>
      <c r="Q29" s="2"/>
      <c r="R29" s="2"/>
      <c r="S29" s="1"/>
      <c r="T29" s="1"/>
    </row>
    <row r="30" customFormat="false" ht="18" hidden="false" customHeight="true" outlineLevel="0" collapsed="false">
      <c r="A30" s="1" t="n">
        <v>1000</v>
      </c>
      <c r="B30" s="1" t="n">
        <v>990</v>
      </c>
      <c r="C30" s="1" t="n">
        <v>42.31</v>
      </c>
      <c r="D30" s="1" t="n">
        <v>41.4638</v>
      </c>
      <c r="E30" s="1" t="n">
        <v>37.96</v>
      </c>
      <c r="F30" s="1" t="n">
        <v>37.2008</v>
      </c>
      <c r="G30" s="2"/>
      <c r="H30" s="2"/>
      <c r="I30" s="2"/>
      <c r="J30" s="2"/>
      <c r="K30" s="12"/>
      <c r="L30" s="2"/>
      <c r="M30" s="2"/>
      <c r="N30" s="2"/>
      <c r="O30" s="2"/>
      <c r="P30" s="2"/>
      <c r="Q30" s="2"/>
      <c r="R30" s="2"/>
      <c r="S30" s="1"/>
      <c r="T30" s="1"/>
    </row>
    <row r="31" customFormat="false" ht="18" hidden="false" customHeight="true" outlineLevel="0" collapsed="false">
      <c r="A31" s="1" t="n">
        <v>3933</v>
      </c>
      <c r="B31" s="1" t="n">
        <v>3933</v>
      </c>
      <c r="C31" s="1" t="n">
        <v>49.59</v>
      </c>
      <c r="D31" s="1" t="n">
        <v>49.429762728</v>
      </c>
      <c r="E31" s="1" t="n">
        <v>45.13</v>
      </c>
      <c r="F31" s="1" t="n">
        <v>44.984174073</v>
      </c>
      <c r="G31" s="2"/>
      <c r="H31" s="2"/>
      <c r="I31" s="2"/>
      <c r="J31" s="2"/>
      <c r="K31" s="12"/>
      <c r="L31" s="2"/>
      <c r="M31" s="2"/>
      <c r="N31" s="2"/>
      <c r="O31" s="2"/>
      <c r="P31" s="2"/>
      <c r="Q31" s="2"/>
      <c r="R31" s="2"/>
      <c r="S31" s="1"/>
      <c r="T31" s="1"/>
    </row>
    <row r="32" customFormat="false" ht="18" hidden="false" customHeight="true" outlineLevel="0" collapsed="false">
      <c r="A32" s="1" t="n">
        <v>2933</v>
      </c>
      <c r="B32" s="1" t="n">
        <v>2943</v>
      </c>
      <c r="C32" s="1" t="n">
        <v>49.59</v>
      </c>
      <c r="D32" s="1" t="n">
        <v>49.70949331</v>
      </c>
      <c r="E32" s="1" t="n">
        <v>45.13</v>
      </c>
      <c r="F32" s="1" t="n">
        <v>45.238746392</v>
      </c>
      <c r="G32" s="2"/>
      <c r="H32" s="2"/>
      <c r="I32" s="2"/>
      <c r="J32" s="2"/>
      <c r="K32" s="12"/>
      <c r="L32" s="2"/>
      <c r="M32" s="2"/>
      <c r="N32" s="2"/>
      <c r="O32" s="2"/>
      <c r="P32" s="2"/>
      <c r="Q32" s="2"/>
      <c r="R32" s="2"/>
      <c r="S32" s="1"/>
      <c r="T32" s="1"/>
    </row>
    <row r="33" customFormat="false" ht="18" hidden="false" customHeight="true" outlineLevel="0" collapsed="false">
      <c r="A33" s="1" t="n">
        <v>1000</v>
      </c>
      <c r="B33" s="1" t="n">
        <v>990</v>
      </c>
      <c r="C33" s="1" t="n">
        <v>49.59</v>
      </c>
      <c r="D33" s="1" t="n">
        <v>48.5982</v>
      </c>
      <c r="E33" s="1" t="n">
        <v>45.13</v>
      </c>
      <c r="F33" s="1" t="n">
        <v>44.2274</v>
      </c>
      <c r="G33" s="2"/>
      <c r="H33" s="2"/>
      <c r="I33" s="2"/>
      <c r="J33" s="2"/>
      <c r="K33" s="12"/>
      <c r="L33" s="2"/>
      <c r="M33" s="2"/>
      <c r="N33" s="2"/>
      <c r="O33" s="2"/>
      <c r="P33" s="2"/>
      <c r="Q33" s="2"/>
      <c r="R33" s="2"/>
      <c r="S33" s="1"/>
      <c r="T33" s="1"/>
      <c r="AN33" s="13"/>
      <c r="AO33" s="13"/>
    </row>
    <row r="34" customFormat="false" ht="18" hidden="false" customHeight="true" outlineLevel="0" collapsed="false">
      <c r="A34" s="1" t="n">
        <v>2413</v>
      </c>
      <c r="B34" s="1" t="n">
        <v>2413</v>
      </c>
      <c r="C34" s="1" t="n">
        <v>54.69</v>
      </c>
      <c r="D34" s="1" t="n">
        <v>54.69</v>
      </c>
      <c r="E34" s="1" t="n">
        <v>52.14</v>
      </c>
      <c r="F34" s="1" t="n">
        <v>52.14</v>
      </c>
      <c r="G34" s="2"/>
      <c r="H34" s="2"/>
      <c r="I34" s="2"/>
      <c r="J34" s="2"/>
      <c r="K34" s="12"/>
      <c r="L34" s="2"/>
      <c r="M34" s="2"/>
      <c r="N34" s="2"/>
      <c r="O34" s="2"/>
      <c r="P34" s="2"/>
      <c r="Q34" s="2"/>
      <c r="R34" s="2"/>
      <c r="S34" s="1"/>
      <c r="T34" s="1"/>
      <c r="AN34" s="13"/>
      <c r="AO34" s="13"/>
    </row>
    <row r="35" customFormat="false" ht="18" hidden="false" customHeight="true" outlineLevel="0" collapsed="false">
      <c r="A35" s="1" t="n">
        <v>2413</v>
      </c>
      <c r="B35" s="1" t="n">
        <v>2413</v>
      </c>
      <c r="C35" s="1" t="n">
        <v>54.69</v>
      </c>
      <c r="D35" s="1" t="n">
        <v>54.69</v>
      </c>
      <c r="E35" s="1" t="n">
        <v>52.14</v>
      </c>
      <c r="F35" s="1" t="n">
        <v>52.14</v>
      </c>
      <c r="G35" s="2"/>
      <c r="H35" s="2"/>
      <c r="I35" s="2"/>
      <c r="J35" s="2"/>
      <c r="K35" s="12"/>
      <c r="L35" s="2"/>
      <c r="M35" s="2"/>
      <c r="N35" s="2"/>
      <c r="O35" s="2"/>
      <c r="P35" s="2"/>
      <c r="Q35" s="2"/>
      <c r="R35" s="2"/>
      <c r="S35" s="1"/>
      <c r="T35" s="1"/>
      <c r="AN35" s="13"/>
      <c r="AO35" s="13"/>
    </row>
    <row r="36" customFormat="false" ht="18" hidden="false" customHeight="true" outlineLevel="0" collapsed="false">
      <c r="A36" s="1" t="n">
        <v>0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2"/>
      <c r="H36" s="2"/>
      <c r="I36" s="2"/>
      <c r="J36" s="2"/>
      <c r="K36" s="12"/>
      <c r="L36" s="2"/>
      <c r="M36" s="2"/>
      <c r="N36" s="2"/>
      <c r="O36" s="2"/>
      <c r="P36" s="2"/>
      <c r="Q36" s="2"/>
      <c r="R36" s="2"/>
      <c r="S36" s="1"/>
      <c r="T36" s="1"/>
      <c r="AN36" s="13"/>
      <c r="AO36" s="13"/>
    </row>
    <row r="37" customFormat="false" ht="18" hidden="false" customHeight="true" outlineLevel="0" collapsed="false">
      <c r="A37" s="1" t="n">
        <v>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2"/>
      <c r="H37" s="2"/>
      <c r="I37" s="2"/>
      <c r="J37" s="2"/>
      <c r="K37" s="14"/>
      <c r="L37" s="2"/>
      <c r="M37" s="2"/>
      <c r="N37" s="2"/>
      <c r="O37" s="2"/>
      <c r="P37" s="2"/>
      <c r="Q37" s="2"/>
      <c r="R37" s="2"/>
      <c r="S37" s="1"/>
      <c r="T37" s="1"/>
      <c r="AN37" s="13"/>
      <c r="AO37" s="13"/>
    </row>
    <row r="38" customFormat="false" ht="18" hidden="false" customHeight="true" outlineLevel="0" collapsed="false">
      <c r="A38" s="1" t="n">
        <v>0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2"/>
      <c r="H38" s="2"/>
      <c r="I38" s="2"/>
      <c r="J38" s="2"/>
      <c r="K38" s="14"/>
      <c r="L38" s="2"/>
      <c r="M38" s="2"/>
      <c r="N38" s="2"/>
      <c r="O38" s="2"/>
      <c r="P38" s="2"/>
      <c r="Q38" s="2"/>
      <c r="R38" s="2"/>
      <c r="S38" s="1"/>
      <c r="T38" s="1"/>
      <c r="AN38" s="13"/>
      <c r="AO38" s="13"/>
    </row>
    <row r="39" customFormat="false" ht="18" hidden="false" customHeight="true" outlineLevel="0" collapsed="false">
      <c r="A39" s="1" t="n">
        <v>0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2"/>
      <c r="H39" s="2"/>
      <c r="I39" s="2"/>
      <c r="J39" s="2"/>
      <c r="K39" s="12"/>
      <c r="L39" s="2"/>
      <c r="M39" s="2"/>
      <c r="N39" s="2"/>
      <c r="O39" s="2"/>
      <c r="P39" s="2"/>
      <c r="Q39" s="2"/>
      <c r="R39" s="2"/>
      <c r="S39" s="1"/>
      <c r="T39" s="1"/>
      <c r="AN39" s="13"/>
      <c r="AO39" s="13"/>
    </row>
    <row r="40" customFormat="false" ht="18" hidden="false" customHeight="true" outlineLevel="0" collapsed="false">
      <c r="A40" s="1" t="n">
        <v>1834605</v>
      </c>
      <c r="B40" s="1" t="n">
        <v>1834605</v>
      </c>
      <c r="C40" s="1" t="n">
        <v>15.97</v>
      </c>
      <c r="D40" s="1" t="n">
        <v>16.027230537</v>
      </c>
      <c r="E40" s="1" t="n">
        <v>11.87</v>
      </c>
      <c r="F40" s="1" t="n">
        <v>11.5139</v>
      </c>
      <c r="G40" s="2"/>
      <c r="H40" s="2"/>
      <c r="I40" s="2"/>
      <c r="J40" s="2"/>
      <c r="K40" s="12"/>
      <c r="L40" s="2"/>
      <c r="M40" s="2"/>
      <c r="N40" s="2"/>
      <c r="O40" s="2"/>
      <c r="P40" s="2"/>
      <c r="Q40" s="2"/>
      <c r="R40" s="2"/>
      <c r="S40" s="1"/>
      <c r="T40" s="1"/>
      <c r="AN40" s="13"/>
      <c r="AO40" s="13"/>
    </row>
    <row r="41" customFormat="false" ht="18" hidden="false" customHeight="true" outlineLevel="0" collapsed="false">
      <c r="A41" s="1" t="n">
        <v>1061403.52317296</v>
      </c>
      <c r="B41" s="1" t="n">
        <v>1072808.2403</v>
      </c>
      <c r="C41" s="1" t="n">
        <v>5.2833</v>
      </c>
      <c r="D41" s="1" t="n">
        <v>5.81163</v>
      </c>
      <c r="E41" s="1" t="n">
        <v>0.3333</v>
      </c>
      <c r="F41" s="1" t="n">
        <v>0.29997</v>
      </c>
      <c r="G41" s="2"/>
      <c r="H41" s="2"/>
      <c r="I41" s="2"/>
      <c r="J41" s="2"/>
      <c r="K41" s="12"/>
      <c r="L41" s="2"/>
      <c r="M41" s="2"/>
      <c r="N41" s="2"/>
      <c r="O41" s="2"/>
      <c r="P41" s="2"/>
      <c r="Q41" s="2"/>
      <c r="R41" s="2"/>
      <c r="S41" s="1"/>
      <c r="T41" s="1"/>
      <c r="AN41" s="13"/>
      <c r="AO41" s="13"/>
    </row>
    <row r="42" customFormat="false" ht="18" hidden="false" customHeight="true" outlineLevel="0" collapsed="false">
      <c r="A42" s="1" t="n">
        <v>773201.476827037</v>
      </c>
      <c r="B42" s="1" t="n">
        <v>761796.75971</v>
      </c>
      <c r="C42" s="1" t="n">
        <v>30.64</v>
      </c>
      <c r="D42" s="1" t="n">
        <v>30.413456647</v>
      </c>
      <c r="E42" s="1" t="n">
        <v>27.8633</v>
      </c>
      <c r="F42" s="1" t="n">
        <v>27.306034</v>
      </c>
      <c r="G42" s="2"/>
      <c r="H42" s="2"/>
      <c r="I42" s="2"/>
      <c r="J42" s="2"/>
      <c r="K42" s="12"/>
      <c r="L42" s="2"/>
      <c r="M42" s="2"/>
      <c r="N42" s="2"/>
      <c r="O42" s="2"/>
      <c r="P42" s="2"/>
      <c r="Q42" s="2"/>
      <c r="R42" s="2"/>
      <c r="S42" s="1"/>
      <c r="T42" s="1"/>
      <c r="AN42" s="13"/>
      <c r="AO42" s="13"/>
    </row>
    <row r="43" customFormat="false" ht="18" hidden="false" customHeight="true" outlineLevel="0" collapsed="false">
      <c r="A43" s="1" t="n">
        <v>211423.472272677</v>
      </c>
      <c r="B43" s="1" t="n">
        <v>203770.97003</v>
      </c>
      <c r="C43" s="1" t="n">
        <v>5.8283</v>
      </c>
      <c r="D43" s="1" t="n">
        <v>6.41113</v>
      </c>
      <c r="E43" s="1" t="n">
        <v>0.285</v>
      </c>
      <c r="F43" s="1" t="n">
        <v>0.2565</v>
      </c>
      <c r="G43" s="2"/>
      <c r="H43" s="2"/>
      <c r="I43" s="2"/>
      <c r="J43" s="2"/>
      <c r="K43" s="12"/>
      <c r="L43" s="2"/>
      <c r="M43" s="2"/>
      <c r="N43" s="2"/>
      <c r="O43" s="2"/>
      <c r="P43" s="2"/>
      <c r="Q43" s="2"/>
      <c r="R43" s="2"/>
      <c r="S43" s="1"/>
      <c r="T43" s="1"/>
      <c r="AN43" s="13"/>
      <c r="AO43" s="13"/>
    </row>
    <row r="44" customFormat="false" ht="18" hidden="false" customHeight="true" outlineLevel="0" collapsed="false">
      <c r="A44" s="1" t="n">
        <v>561778.004554361</v>
      </c>
      <c r="B44" s="1" t="n">
        <v>558025.78968</v>
      </c>
      <c r="C44" s="1" t="n">
        <v>39.9778</v>
      </c>
      <c r="D44" s="1" t="n">
        <v>39.178244</v>
      </c>
      <c r="E44" s="1" t="n">
        <v>37.9424</v>
      </c>
      <c r="F44" s="1" t="n">
        <v>37.183552</v>
      </c>
      <c r="G44" s="12"/>
      <c r="H44" s="2"/>
      <c r="I44" s="2"/>
      <c r="J44" s="2"/>
      <c r="K44" s="12"/>
      <c r="L44" s="2"/>
      <c r="M44" s="2"/>
      <c r="N44" s="2"/>
      <c r="O44" s="2"/>
      <c r="P44" s="2"/>
      <c r="Q44" s="2"/>
      <c r="R44" s="2"/>
      <c r="S44" s="1"/>
      <c r="T44" s="1"/>
      <c r="AN44" s="13"/>
      <c r="AO44" s="13"/>
    </row>
    <row r="45" customFormat="false" ht="18" hidden="false" customHeight="true" outlineLevel="0" collapsed="false">
      <c r="A45" s="1" t="n">
        <v>0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2"/>
      <c r="H45" s="2"/>
      <c r="I45" s="2"/>
      <c r="J45" s="2"/>
      <c r="K45" s="12"/>
      <c r="L45" s="2"/>
      <c r="M45" s="2"/>
      <c r="N45" s="2"/>
      <c r="O45" s="2"/>
      <c r="P45" s="2"/>
      <c r="Q45" s="2"/>
      <c r="R45" s="2"/>
      <c r="S45" s="1"/>
      <c r="T45" s="1"/>
      <c r="AN45" s="13"/>
      <c r="AO45" s="13"/>
    </row>
    <row r="46" customFormat="false" ht="18" hidden="false" customHeight="true" outlineLevel="0" collapsed="false">
      <c r="A46" s="1" t="n">
        <v>18407</v>
      </c>
      <c r="B46" s="1" t="n">
        <v>21192.93</v>
      </c>
      <c r="C46" s="1" t="n">
        <v>47.083</v>
      </c>
      <c r="D46" s="1" t="n">
        <v>46.152391564</v>
      </c>
      <c r="E46" s="1" t="n">
        <v>45.0844</v>
      </c>
      <c r="F46" s="1" t="n">
        <v>43.860703658</v>
      </c>
      <c r="G46" s="2"/>
      <c r="H46" s="2"/>
      <c r="I46" s="2"/>
      <c r="J46" s="2"/>
      <c r="K46" s="12"/>
      <c r="L46" s="2"/>
      <c r="M46" s="2"/>
      <c r="N46" s="2"/>
      <c r="O46" s="2"/>
      <c r="P46" s="2"/>
      <c r="Q46" s="2"/>
      <c r="R46" s="2"/>
      <c r="S46" s="1"/>
      <c r="T46" s="1"/>
      <c r="AN46" s="13"/>
      <c r="AO46" s="13"/>
    </row>
    <row r="47" customFormat="false" ht="18" hidden="false" customHeight="true" outlineLevel="0" collapsed="false">
      <c r="A47" s="1" t="n">
        <v>565914.004554361</v>
      </c>
      <c r="B47" s="1" t="n">
        <v>554962.39968</v>
      </c>
      <c r="C47" s="1" t="n">
        <v>36.315</v>
      </c>
      <c r="D47" s="1" t="n">
        <v>39.507435902</v>
      </c>
      <c r="E47" s="1" t="n">
        <v>34.2683</v>
      </c>
      <c r="F47" s="1" t="n">
        <v>37.492236982</v>
      </c>
      <c r="G47" s="2"/>
      <c r="H47" s="2"/>
      <c r="I47" s="2"/>
      <c r="J47" s="2"/>
      <c r="K47" s="12"/>
      <c r="L47" s="2"/>
      <c r="M47" s="2"/>
      <c r="N47" s="2"/>
      <c r="O47" s="2"/>
      <c r="P47" s="2"/>
      <c r="Q47" s="2"/>
      <c r="R47" s="2"/>
      <c r="S47" s="1"/>
      <c r="T47" s="1"/>
      <c r="AN47" s="13"/>
      <c r="AO47" s="13"/>
    </row>
    <row r="48" customFormat="false" ht="18" hidden="false" customHeight="true" outlineLevel="0" collapsed="false">
      <c r="A48" s="1" t="n">
        <v>139295.212168219</v>
      </c>
      <c r="B48" s="1" t="n">
        <v>85400.163704</v>
      </c>
      <c r="C48" s="1" t="n">
        <v>5.295</v>
      </c>
      <c r="D48" s="1" t="n">
        <v>4.6596</v>
      </c>
      <c r="E48" s="1" t="n">
        <v>0.6</v>
      </c>
      <c r="F48" s="1" t="n">
        <v>0.672</v>
      </c>
      <c r="G48" s="2"/>
      <c r="H48" s="2"/>
      <c r="I48" s="2"/>
      <c r="J48" s="2"/>
      <c r="K48" s="12"/>
      <c r="L48" s="2"/>
      <c r="M48" s="2"/>
      <c r="N48" s="2"/>
      <c r="O48" s="2"/>
      <c r="P48" s="2"/>
      <c r="Q48" s="2"/>
      <c r="R48" s="2"/>
      <c r="S48" s="1"/>
      <c r="T48" s="1"/>
      <c r="AN48" s="13"/>
      <c r="AO48" s="13"/>
    </row>
    <row r="49" customFormat="false" ht="18" hidden="false" customHeight="true" outlineLevel="0" collapsed="false">
      <c r="A49" s="1" t="n">
        <v>426618.792386142</v>
      </c>
      <c r="B49" s="1" t="n">
        <v>475442.55597</v>
      </c>
      <c r="C49" s="1" t="n">
        <v>46.4433</v>
      </c>
      <c r="D49" s="1" t="n">
        <v>45.781639824</v>
      </c>
      <c r="E49" s="1" t="n">
        <v>44.9867</v>
      </c>
      <c r="F49" s="1" t="n">
        <v>44.086966</v>
      </c>
      <c r="G49" s="2"/>
      <c r="H49" s="2"/>
      <c r="I49" s="2"/>
      <c r="J49" s="2"/>
      <c r="K49" s="12"/>
      <c r="L49" s="2"/>
      <c r="M49" s="2"/>
      <c r="N49" s="2"/>
      <c r="O49" s="2"/>
      <c r="P49" s="2"/>
      <c r="Q49" s="2"/>
      <c r="R49" s="2"/>
      <c r="S49" s="1"/>
      <c r="T49" s="1"/>
      <c r="AN49" s="13"/>
      <c r="AO49" s="13"/>
    </row>
    <row r="50" customFormat="false" ht="18" hidden="false" customHeight="true" outlineLevel="0" collapsed="false">
      <c r="A50" s="1" t="n">
        <v>104563.42624306</v>
      </c>
      <c r="B50" s="1" t="n">
        <v>117510.73964</v>
      </c>
      <c r="C50" s="1" t="n">
        <v>9.6117</v>
      </c>
      <c r="D50" s="1" t="n">
        <v>8.9365182362</v>
      </c>
      <c r="E50" s="1" t="n">
        <v>5.9017</v>
      </c>
      <c r="F50" s="1" t="n">
        <v>6.609904</v>
      </c>
      <c r="G50" s="2"/>
      <c r="H50" s="2"/>
      <c r="I50" s="2"/>
      <c r="J50" s="2"/>
      <c r="K50" s="12"/>
      <c r="L50" s="2"/>
      <c r="M50" s="2"/>
      <c r="N50" s="2"/>
      <c r="O50" s="2"/>
      <c r="P50" s="2"/>
      <c r="Q50" s="2"/>
      <c r="R50" s="2"/>
      <c r="S50" s="1"/>
      <c r="T50" s="1"/>
      <c r="AN50" s="13"/>
      <c r="AO50" s="13"/>
    </row>
    <row r="51" customFormat="false" ht="18" hidden="false" customHeight="true" outlineLevel="0" collapsed="false">
      <c r="A51" s="1" t="n">
        <v>322055.366143082</v>
      </c>
      <c r="B51" s="1" t="n">
        <v>357931.81634</v>
      </c>
      <c r="C51" s="1" t="n">
        <v>58.4017</v>
      </c>
      <c r="D51" s="1" t="n">
        <v>57.878070742</v>
      </c>
      <c r="E51" s="1" t="n">
        <v>57.5417</v>
      </c>
      <c r="F51" s="1" t="n">
        <v>56.390866</v>
      </c>
      <c r="G51" s="2"/>
      <c r="H51" s="2"/>
      <c r="I51" s="2"/>
      <c r="J51" s="2"/>
      <c r="K51" s="12"/>
      <c r="L51" s="2"/>
      <c r="M51" s="2"/>
      <c r="N51" s="2"/>
      <c r="O51" s="2"/>
      <c r="P51" s="2"/>
      <c r="Q51" s="2"/>
      <c r="R51" s="2"/>
      <c r="S51" s="1"/>
      <c r="T51" s="1"/>
      <c r="AN51" s="13"/>
      <c r="AO51" s="13"/>
    </row>
    <row r="52" customFormat="false" ht="18" hidden="false" customHeight="true" outlineLevel="0" collapsed="false">
      <c r="A52" s="1" t="n">
        <v>0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2"/>
      <c r="H52" s="2"/>
      <c r="I52" s="2"/>
      <c r="J52" s="2"/>
      <c r="K52" s="12"/>
      <c r="L52" s="2"/>
      <c r="M52" s="2"/>
      <c r="N52" s="2"/>
      <c r="O52" s="2"/>
      <c r="P52" s="2"/>
      <c r="Q52" s="2"/>
      <c r="R52" s="2"/>
      <c r="S52" s="1"/>
      <c r="T52" s="1"/>
      <c r="AN52" s="13"/>
      <c r="AO52" s="13"/>
    </row>
    <row r="53" customFormat="false" ht="18" hidden="false" customHeight="true" outlineLevel="0" collapsed="false">
      <c r="A53" s="1" t="n">
        <v>322055.366143082</v>
      </c>
      <c r="B53" s="1" t="n">
        <v>357931.81634</v>
      </c>
      <c r="C53" s="1" t="n">
        <v>58.4017</v>
      </c>
      <c r="D53" s="1" t="n">
        <v>57.878070742</v>
      </c>
      <c r="E53" s="1" t="n">
        <v>57.5417</v>
      </c>
      <c r="F53" s="1" t="n">
        <v>56.390866</v>
      </c>
      <c r="G53" s="2"/>
      <c r="H53" s="2"/>
      <c r="I53" s="2"/>
      <c r="J53" s="2"/>
      <c r="K53" s="12"/>
      <c r="L53" s="2"/>
      <c r="M53" s="2"/>
      <c r="N53" s="2"/>
      <c r="O53" s="2"/>
      <c r="P53" s="2"/>
      <c r="Q53" s="2"/>
      <c r="R53" s="2"/>
      <c r="S53" s="1"/>
      <c r="T53" s="1"/>
      <c r="AN53" s="13"/>
      <c r="AO53" s="13"/>
    </row>
    <row r="54" customFormat="false" ht="18" hidden="false" customHeight="true" outlineLevel="0" collapsed="false">
      <c r="A54" s="2" t="n">
        <v>110227.211694123</v>
      </c>
      <c r="B54" s="2" t="n">
        <v>188804.81634</v>
      </c>
      <c r="C54" s="2" t="n">
        <v>46.0767</v>
      </c>
      <c r="D54" s="2" t="n">
        <v>51.605904</v>
      </c>
      <c r="E54" s="2" t="n">
        <v>44.455</v>
      </c>
      <c r="F54" s="2" t="n">
        <v>49.476243792</v>
      </c>
      <c r="G54" s="2"/>
      <c r="H54" s="2"/>
      <c r="I54" s="2"/>
      <c r="J54" s="2"/>
      <c r="K54" s="12"/>
      <c r="L54" s="2"/>
      <c r="M54" s="2"/>
      <c r="N54" s="2"/>
      <c r="O54" s="2"/>
      <c r="P54" s="2"/>
      <c r="Q54" s="2"/>
      <c r="R54" s="2"/>
      <c r="S54" s="1"/>
      <c r="T54" s="1"/>
      <c r="AN54" s="13"/>
      <c r="AO54" s="13"/>
    </row>
    <row r="55" customFormat="false" ht="18" hidden="false" customHeight="true" outlineLevel="0" collapsed="false">
      <c r="A55" s="2" t="n">
        <v>211828.15444896</v>
      </c>
      <c r="B55" s="2" t="n">
        <v>170313.66046</v>
      </c>
      <c r="C55" s="2" t="n">
        <v>64.8151</v>
      </c>
      <c r="D55" s="2" t="n">
        <v>64.744696725</v>
      </c>
      <c r="E55" s="2" t="n">
        <v>64.0459</v>
      </c>
      <c r="F55" s="2" t="n">
        <v>63.973870124</v>
      </c>
      <c r="G55" s="2"/>
      <c r="H55" s="2"/>
      <c r="I55" s="2"/>
      <c r="J55" s="2"/>
      <c r="K55" s="12"/>
      <c r="L55" s="2"/>
      <c r="M55" s="2"/>
      <c r="N55" s="2"/>
      <c r="O55" s="2"/>
      <c r="P55" s="2"/>
      <c r="Q55" s="2"/>
      <c r="R55" s="2"/>
      <c r="S55" s="1"/>
      <c r="T55" s="1"/>
      <c r="AN55" s="13"/>
      <c r="AO55" s="13"/>
    </row>
    <row r="56" customFormat="false" ht="18" hidden="false" customHeight="true" outlineLevel="0" collapsed="false">
      <c r="A56" s="2" t="n">
        <v>595.1666502732</v>
      </c>
      <c r="B56" s="2" t="n">
        <v>1186.6604602</v>
      </c>
      <c r="C56" s="2" t="n">
        <v>46.3783</v>
      </c>
      <c r="D56" s="2" t="n">
        <v>45.460800603</v>
      </c>
      <c r="E56" s="2" t="n">
        <v>44.57</v>
      </c>
      <c r="F56" s="2" t="n">
        <v>44.572163933</v>
      </c>
      <c r="G56" s="2"/>
      <c r="H56" s="2"/>
      <c r="I56" s="2"/>
      <c r="J56" s="2"/>
      <c r="K56" s="12"/>
      <c r="L56" s="2"/>
      <c r="M56" s="2"/>
      <c r="N56" s="2"/>
      <c r="O56" s="2"/>
      <c r="P56" s="2"/>
      <c r="Q56" s="2"/>
      <c r="R56" s="2"/>
      <c r="S56" s="1"/>
      <c r="T56" s="1"/>
      <c r="AN56" s="13"/>
      <c r="AO56" s="13"/>
    </row>
    <row r="57" customFormat="false" ht="15" hidden="false" customHeight="false" outlineLevel="0" collapsed="false">
      <c r="A57" s="2" t="n">
        <v>0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  <c r="AN57" s="13"/>
      <c r="AO57" s="13"/>
    </row>
    <row r="58" customFormat="false" ht="15" hidden="false" customHeight="false" outlineLevel="0" collapsed="false">
      <c r="A58" s="2" t="n">
        <v>169127</v>
      </c>
      <c r="B58" s="2" t="n">
        <v>169127</v>
      </c>
      <c r="C58" s="2" t="n">
        <v>64.88</v>
      </c>
      <c r="D58" s="2" t="n">
        <v>64.88</v>
      </c>
      <c r="E58" s="2" t="n">
        <v>64.11</v>
      </c>
      <c r="F58" s="2" t="n">
        <v>64.11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  <c r="AN58" s="13"/>
      <c r="AO58" s="13"/>
    </row>
    <row r="59" customFormat="false" ht="15" hidden="false" customHeight="false" outlineLevel="0" collapsed="false">
      <c r="A59" s="2" t="n">
        <v>1626912.84555104</v>
      </c>
      <c r="B59" s="2" t="n">
        <v>1668294.93</v>
      </c>
      <c r="C59" s="2" t="n">
        <v>8.3972</v>
      </c>
      <c r="D59" s="2" t="n">
        <v>11.228636552</v>
      </c>
      <c r="E59" s="2" t="n">
        <v>3.6971</v>
      </c>
      <c r="F59" s="2" t="n">
        <v>6.3235547217</v>
      </c>
      <c r="G59" s="1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  <c r="AN59" s="13"/>
      <c r="AO59" s="13"/>
    </row>
    <row r="60" customFormat="false" ht="15" hidden="false" customHeight="false" outlineLevel="0" collapsed="false">
      <c r="A60" s="2" t="n">
        <v>6125.3333333333</v>
      </c>
      <c r="B60" s="2" t="n">
        <v>5880.32</v>
      </c>
      <c r="C60" s="2" t="n">
        <v>37</v>
      </c>
      <c r="D60" s="2" t="n">
        <v>40.7</v>
      </c>
      <c r="E60" s="2" t="n">
        <v>35.25</v>
      </c>
      <c r="F60" s="2" t="n">
        <v>35.955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  <c r="AN60" s="13"/>
      <c r="AO60" s="13"/>
    </row>
    <row r="61" customFormat="false" ht="15" hidden="false" customHeight="false" outlineLevel="0" collapsed="false">
      <c r="A61" s="2" t="n">
        <v>24501.3333333333</v>
      </c>
      <c r="B61" s="2" t="n">
        <v>24256.32</v>
      </c>
      <c r="C61" s="2" t="n">
        <v>37</v>
      </c>
      <c r="D61" s="2" t="n">
        <v>37.74</v>
      </c>
      <c r="E61" s="2" t="n">
        <v>35.25</v>
      </c>
      <c r="F61" s="2" t="n">
        <v>35.955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  <c r="AN61" s="13"/>
      <c r="AO61" s="13"/>
    </row>
    <row r="62" customFormat="false" ht="15" hidden="false" customHeight="false" outlineLevel="0" collapsed="false">
      <c r="A62" s="2" t="n">
        <v>537276.671221027</v>
      </c>
      <c r="B62" s="2" t="n">
        <v>533769.46968</v>
      </c>
      <c r="C62" s="2" t="n">
        <v>39.9778</v>
      </c>
      <c r="D62" s="2" t="n">
        <v>39.243602753</v>
      </c>
      <c r="E62" s="2" t="n">
        <v>37.9424</v>
      </c>
      <c r="F62" s="2" t="n">
        <v>37.239381627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  <c r="AN62" s="13"/>
      <c r="AO62" s="13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  <c r="AN63" s="13"/>
      <c r="AO63" s="13"/>
    </row>
    <row r="64" customFormat="false" ht="1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"/>
      <c r="T64" s="1"/>
      <c r="AN64" s="13"/>
      <c r="AO64" s="13"/>
    </row>
    <row r="65" customFormat="false" ht="1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  <c r="AN65" s="13"/>
      <c r="AO65" s="13"/>
    </row>
    <row r="66" customFormat="false" ht="24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16"/>
      <c r="M66" s="16"/>
      <c r="N66" s="2"/>
      <c r="O66" s="17" t="s">
        <v>0</v>
      </c>
      <c r="P66" s="17"/>
      <c r="Q66" s="17"/>
      <c r="R66" s="2"/>
      <c r="S66" s="18"/>
      <c r="T66" s="18"/>
      <c r="W66" s="11"/>
      <c r="AB66" s="19"/>
      <c r="AC66" s="19"/>
      <c r="AD66" s="19"/>
      <c r="AE66" s="19"/>
      <c r="AN66" s="13"/>
      <c r="AO66" s="13"/>
    </row>
    <row r="67" customFormat="false" ht="1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0"/>
      <c r="M67" s="20"/>
      <c r="N67" s="2"/>
      <c r="O67" s="20" t="s">
        <v>1</v>
      </c>
      <c r="P67" s="20" t="s">
        <v>2</v>
      </c>
      <c r="Q67" s="20" t="s">
        <v>3</v>
      </c>
      <c r="R67" s="2"/>
      <c r="S67" s="21"/>
      <c r="T67" s="21"/>
      <c r="U67" s="22"/>
      <c r="W67" s="22"/>
      <c r="AN67" s="13"/>
      <c r="AO67" s="13"/>
    </row>
    <row r="68" customFormat="false" ht="1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3"/>
      <c r="M68" s="24"/>
      <c r="N68" s="2" t="s">
        <v>4</v>
      </c>
      <c r="O68" s="23" t="n">
        <f aca="false">B1</f>
        <v>7094</v>
      </c>
      <c r="P68" s="24" t="n">
        <f aca="false">IF(D$1&gt;1,D1/100,D1)</f>
        <v>0.5868600372</v>
      </c>
      <c r="Q68" s="24" t="n">
        <f aca="false">IF(F$1&gt;1,F1/100,F1)</f>
        <v>0.57769188953</v>
      </c>
      <c r="R68" s="25" t="n">
        <f aca="false">P68*O68</f>
        <v>4163.1851038968</v>
      </c>
      <c r="S68" s="26"/>
      <c r="T68" s="26"/>
      <c r="U68" s="27"/>
      <c r="V68" s="28"/>
      <c r="W68" s="27"/>
      <c r="X68" s="28"/>
      <c r="AB68" s="7"/>
      <c r="AN68" s="13"/>
      <c r="AO68" s="13"/>
    </row>
    <row r="69" customFormat="false" ht="1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3"/>
      <c r="J69" s="2"/>
      <c r="K69" s="2"/>
      <c r="L69" s="23"/>
      <c r="M69" s="24"/>
      <c r="N69" s="2" t="s">
        <v>5</v>
      </c>
      <c r="O69" s="23" t="n">
        <f aca="false">B2</f>
        <v>1763.84</v>
      </c>
      <c r="P69" s="24" t="n">
        <f aca="false">IF(D$1&gt;1,D2/100,D2)</f>
        <v>0.59733407839</v>
      </c>
      <c r="Q69" s="24" t="n">
        <f aca="false">IF(F$1&gt;1,F2/100,F2)</f>
        <v>0.58800230152</v>
      </c>
      <c r="R69" s="25" t="n">
        <f aca="false">P69*O69</f>
        <v>1053.60174082742</v>
      </c>
      <c r="S69" s="26"/>
      <c r="T69" s="26"/>
      <c r="U69" s="27"/>
      <c r="V69" s="28"/>
      <c r="W69" s="27"/>
      <c r="X69" s="28"/>
      <c r="AB69" s="7"/>
      <c r="AN69" s="13"/>
      <c r="AO69" s="13"/>
    </row>
    <row r="70" customFormat="false" ht="1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3"/>
      <c r="M70" s="24"/>
      <c r="N70" s="2" t="s">
        <v>6</v>
      </c>
      <c r="O70" s="23" t="n">
        <f aca="false">B3</f>
        <v>5330.16</v>
      </c>
      <c r="P70" s="24" t="n">
        <f aca="false">IF(D$1&gt;1,D3/100,D3)</f>
        <v>0.583394</v>
      </c>
      <c r="Q70" s="24" t="n">
        <f aca="false">IF(F$1&gt;1,F3/100,F3)</f>
        <v>0.57428</v>
      </c>
      <c r="R70" s="25" t="n">
        <f aca="false">P70*O70</f>
        <v>3109.58336304</v>
      </c>
      <c r="S70" s="26"/>
      <c r="T70" s="26"/>
      <c r="U70" s="27"/>
      <c r="V70" s="28"/>
      <c r="W70" s="27"/>
      <c r="X70" s="28"/>
      <c r="AB70" s="7"/>
      <c r="AN70" s="13"/>
      <c r="AO70" s="13"/>
    </row>
    <row r="71" customFormat="false" ht="1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3"/>
      <c r="M71" s="24"/>
      <c r="N71" s="2" t="s">
        <v>7</v>
      </c>
      <c r="O71" s="23" t="n">
        <f aca="false">B4</f>
        <v>8329</v>
      </c>
      <c r="P71" s="24" t="n">
        <f aca="false">IF(D$1&gt;1,D4/100,D4)</f>
        <v>0.42611354513</v>
      </c>
      <c r="Q71" s="24" t="n">
        <f aca="false">IF(F$1&gt;1,F4/100,F4)</f>
        <v>0.40319905361</v>
      </c>
      <c r="R71" s="25" t="n">
        <f aca="false">P71*O71</f>
        <v>3549.09971738777</v>
      </c>
      <c r="S71" s="26"/>
      <c r="T71" s="26"/>
      <c r="U71" s="27"/>
      <c r="V71" s="28"/>
      <c r="W71" s="27"/>
      <c r="X71" s="28"/>
      <c r="AB71" s="7"/>
      <c r="AN71" s="13"/>
      <c r="AO71" s="13"/>
    </row>
    <row r="72" customFormat="false" ht="1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3"/>
      <c r="J72" s="2"/>
      <c r="K72" s="2"/>
      <c r="L72" s="23"/>
      <c r="M72" s="24"/>
      <c r="N72" s="2" t="s">
        <v>8</v>
      </c>
      <c r="O72" s="23" t="n">
        <f aca="false">B5</f>
        <v>2776.09</v>
      </c>
      <c r="P72" s="24" t="n">
        <f aca="false">IF(D$1&gt;1,D5/100,D5)</f>
        <v>0.43299353986</v>
      </c>
      <c r="Q72" s="24" t="n">
        <f aca="false">IF(F$1&gt;1,F5/100,F5)</f>
        <v>0.40972201837</v>
      </c>
      <c r="R72" s="25" t="n">
        <f aca="false">P72*O72</f>
        <v>1202.02903606995</v>
      </c>
      <c r="S72" s="26"/>
      <c r="T72" s="26"/>
      <c r="U72" s="27"/>
      <c r="V72" s="28"/>
      <c r="W72" s="27"/>
      <c r="X72" s="28"/>
      <c r="AB72" s="7"/>
      <c r="AN72" s="13"/>
      <c r="AO72" s="13"/>
    </row>
    <row r="73" customFormat="false" ht="1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3"/>
      <c r="M73" s="24"/>
      <c r="N73" s="2" t="s">
        <v>9</v>
      </c>
      <c r="O73" s="23" t="n">
        <f aca="false">B6</f>
        <v>5552.91</v>
      </c>
      <c r="P73" s="24" t="n">
        <f aca="false">IF(D$1&gt;1,D6/100,D6)</f>
        <v>0.422674</v>
      </c>
      <c r="Q73" s="24" t="n">
        <f aca="false">IF(F$1&gt;1,F6/100,F6)</f>
        <v>0.399938</v>
      </c>
      <c r="R73" s="25" t="n">
        <f aca="false">P73*O73</f>
        <v>2347.07068134</v>
      </c>
      <c r="S73" s="26"/>
      <c r="T73" s="26"/>
      <c r="U73" s="27"/>
      <c r="V73" s="28"/>
      <c r="W73" s="27"/>
      <c r="X73" s="28"/>
      <c r="AB73" s="7"/>
      <c r="AN73" s="13"/>
      <c r="AO73" s="13"/>
    </row>
    <row r="74" customFormat="false" ht="1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3"/>
      <c r="M74" s="24"/>
      <c r="N74" s="2" t="s">
        <v>10</v>
      </c>
      <c r="O74" s="23" t="n">
        <f aca="false">B7</f>
        <v>9517</v>
      </c>
      <c r="P74" s="24" t="n">
        <f aca="false">IF(D$1&gt;1,D7/100,D7)</f>
        <v>0.48923527985</v>
      </c>
      <c r="Q74" s="24" t="n">
        <f aca="false">IF(F$1&gt;1,F7/100,F7)</f>
        <v>0.47276103064</v>
      </c>
      <c r="R74" s="25" t="n">
        <f aca="false">P74*O74</f>
        <v>4656.05215833245</v>
      </c>
      <c r="S74" s="26"/>
      <c r="T74" s="26"/>
      <c r="U74" s="27"/>
      <c r="V74" s="28"/>
      <c r="W74" s="27"/>
      <c r="X74" s="28"/>
      <c r="AB74" s="7"/>
      <c r="AN74" s="13"/>
      <c r="AO74" s="13"/>
    </row>
    <row r="75" customFormat="false" ht="1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3"/>
      <c r="J75" s="2"/>
      <c r="K75" s="2"/>
      <c r="L75" s="23"/>
      <c r="M75" s="24"/>
      <c r="N75" s="2" t="s">
        <v>11</v>
      </c>
      <c r="O75" s="23" t="n">
        <f aca="false">B8</f>
        <v>8221.09</v>
      </c>
      <c r="P75" s="24" t="n">
        <f aca="false">IF(D$1&gt;1,D8/100,D8)</f>
        <v>0.49065953254</v>
      </c>
      <c r="Q75" s="24" t="n">
        <f aca="false">IF(F$1&gt;1,F8/100,F8)</f>
        <v>0.4741373238</v>
      </c>
      <c r="R75" s="25" t="n">
        <f aca="false">P75*O75</f>
        <v>4033.75617636927</v>
      </c>
      <c r="S75" s="26"/>
      <c r="T75" s="26"/>
      <c r="U75" s="27"/>
      <c r="V75" s="28"/>
      <c r="W75" s="27"/>
      <c r="X75" s="28"/>
      <c r="AB75" s="7"/>
      <c r="AN75" s="13"/>
      <c r="AO75" s="13"/>
    </row>
    <row r="76" customFormat="false" ht="15" hidden="false" customHeight="true" outlineLevel="0" collapsed="false">
      <c r="A76" s="2"/>
      <c r="B76" s="2"/>
      <c r="C76" s="2"/>
      <c r="D76" s="20"/>
      <c r="E76" s="20"/>
      <c r="F76" s="20"/>
      <c r="G76" s="20"/>
      <c r="H76" s="20"/>
      <c r="I76" s="2"/>
      <c r="J76" s="2"/>
      <c r="K76" s="2"/>
      <c r="L76" s="23"/>
      <c r="M76" s="24"/>
      <c r="N76" s="2" t="s">
        <v>12</v>
      </c>
      <c r="O76" s="23" t="n">
        <f aca="false">B9</f>
        <v>1295.91</v>
      </c>
      <c r="P76" s="24" t="n">
        <f aca="false">IF(D$1&gt;1,D9/100,D9)</f>
        <v>0.4802</v>
      </c>
      <c r="Q76" s="24" t="n">
        <f aca="false">IF(F$1&gt;1,F9/100,F9)</f>
        <v>0.46403</v>
      </c>
      <c r="R76" s="25" t="n">
        <f aca="false">P76*O76</f>
        <v>622.295982</v>
      </c>
      <c r="S76" s="26"/>
      <c r="T76" s="26"/>
      <c r="U76" s="27"/>
      <c r="V76" s="28"/>
      <c r="W76" s="27"/>
      <c r="X76" s="28"/>
      <c r="AB76" s="7"/>
      <c r="AN76" s="13"/>
      <c r="AO76" s="13"/>
    </row>
    <row r="77" customFormat="false" ht="15" hidden="false" customHeight="true" outlineLevel="0" collapsed="false">
      <c r="A77" s="2"/>
      <c r="B77" s="2"/>
      <c r="C77" s="2"/>
      <c r="D77" s="29"/>
      <c r="E77" s="29"/>
      <c r="F77" s="29"/>
      <c r="G77" s="29"/>
      <c r="H77" s="29"/>
      <c r="I77" s="2"/>
      <c r="J77" s="2"/>
      <c r="K77" s="2"/>
      <c r="L77" s="23"/>
      <c r="M77" s="24"/>
      <c r="N77" s="2" t="s">
        <v>13</v>
      </c>
      <c r="O77" s="23" t="n">
        <f aca="false">B10</f>
        <v>18376</v>
      </c>
      <c r="P77" s="24" t="n">
        <f aca="false">IF(D$1&gt;1,D10/100,D10)</f>
        <v>0.367928</v>
      </c>
      <c r="Q77" s="24" t="n">
        <f aca="false">IF(F$1&gt;1,F10/100,F10)</f>
        <v>0.35955</v>
      </c>
      <c r="R77" s="25" t="n">
        <f aca="false">P77*O77</f>
        <v>6761.044928</v>
      </c>
      <c r="S77" s="26"/>
      <c r="T77" s="26"/>
      <c r="U77" s="27"/>
      <c r="V77" s="28"/>
      <c r="W77" s="27"/>
      <c r="X77" s="28"/>
      <c r="AB77" s="7"/>
      <c r="AN77" s="13"/>
      <c r="AO77" s="13"/>
    </row>
    <row r="78" customFormat="false" ht="15" hidden="false" customHeight="true" outlineLevel="0" collapsed="false">
      <c r="A78" s="2"/>
      <c r="B78" s="2"/>
      <c r="C78" s="2"/>
      <c r="D78" s="29"/>
      <c r="E78" s="29"/>
      <c r="F78" s="29"/>
      <c r="G78" s="29"/>
      <c r="H78" s="29"/>
      <c r="I78" s="23"/>
      <c r="J78" s="2"/>
      <c r="K78" s="2"/>
      <c r="L78" s="23"/>
      <c r="M78" s="24"/>
      <c r="N78" s="2" t="s">
        <v>14</v>
      </c>
      <c r="O78" s="23" t="n">
        <f aca="false">B11</f>
        <v>14312.05</v>
      </c>
      <c r="P78" s="24" t="n">
        <f aca="false">IF(D$1&gt;1,D11/100,D11)</f>
        <v>0.37194536751</v>
      </c>
      <c r="Q78" s="24" t="n">
        <f aca="false">IF(F$1&gt;1,F11/100,F11)</f>
        <v>0.36647561446</v>
      </c>
      <c r="R78" s="25" t="n">
        <f aca="false">P78*O78</f>
        <v>5323.3006970715</v>
      </c>
      <c r="S78" s="26"/>
      <c r="T78" s="26"/>
      <c r="U78" s="27"/>
      <c r="V78" s="28"/>
      <c r="W78" s="27"/>
      <c r="X78" s="28"/>
      <c r="AB78" s="7"/>
      <c r="AN78" s="13"/>
      <c r="AO78" s="13"/>
    </row>
    <row r="79" customFormat="false" ht="15" hidden="false" customHeight="true" outlineLevel="0" collapsed="false">
      <c r="A79" s="2"/>
      <c r="B79" s="2"/>
      <c r="C79" s="2"/>
      <c r="D79" s="29"/>
      <c r="E79" s="29"/>
      <c r="F79" s="29"/>
      <c r="G79" s="29"/>
      <c r="H79" s="29"/>
      <c r="I79" s="2"/>
      <c r="J79" s="2"/>
      <c r="K79" s="2"/>
      <c r="L79" s="23"/>
      <c r="M79" s="24"/>
      <c r="N79" s="2" t="s">
        <v>15</v>
      </c>
      <c r="O79" s="23" t="n">
        <f aca="false">B12</f>
        <v>4063.95</v>
      </c>
      <c r="P79" s="24" t="n">
        <f aca="false">IF(D$1&gt;1,D12/100,D12)</f>
        <v>0.35378</v>
      </c>
      <c r="Q79" s="24" t="n">
        <f aca="false">IF(F$1&gt;1,F12/100,F12)</f>
        <v>0.33516</v>
      </c>
      <c r="R79" s="25" t="n">
        <f aca="false">P79*O79</f>
        <v>1437.744231</v>
      </c>
      <c r="S79" s="26"/>
      <c r="T79" s="26"/>
      <c r="U79" s="27"/>
      <c r="V79" s="28"/>
      <c r="W79" s="27"/>
      <c r="X79" s="28"/>
      <c r="AB79" s="7"/>
      <c r="AN79" s="13"/>
      <c r="AO79" s="13"/>
    </row>
    <row r="80" customFormat="false" ht="15" hidden="false" customHeight="true" outlineLevel="0" collapsed="false">
      <c r="A80" s="2"/>
      <c r="B80" s="29"/>
      <c r="C80" s="29"/>
      <c r="D80" s="29"/>
      <c r="E80" s="29"/>
      <c r="F80" s="29"/>
      <c r="G80" s="29"/>
      <c r="H80" s="29"/>
      <c r="I80" s="2"/>
      <c r="J80" s="2"/>
      <c r="K80" s="2"/>
      <c r="L80" s="23"/>
      <c r="M80" s="24"/>
      <c r="N80" s="2" t="s">
        <v>16</v>
      </c>
      <c r="O80" s="23" t="n">
        <f aca="false">B13</f>
        <v>3933</v>
      </c>
      <c r="P80" s="24" t="n">
        <f aca="false">IF(D$1&gt;1,D13/100,D13)</f>
        <v>0.49429762728</v>
      </c>
      <c r="Q80" s="24" t="n">
        <f aca="false">IF(F$1&gt;1,F13/100,F13)</f>
        <v>0.44984174073</v>
      </c>
      <c r="R80" s="25" t="n">
        <f aca="false">P80*O80</f>
        <v>1944.07256809224</v>
      </c>
      <c r="S80" s="26"/>
      <c r="T80" s="26"/>
      <c r="U80" s="27"/>
      <c r="V80" s="28"/>
      <c r="W80" s="27"/>
      <c r="X80" s="28"/>
      <c r="AB80" s="7"/>
      <c r="AN80" s="13"/>
      <c r="AO80" s="13"/>
    </row>
    <row r="81" customFormat="false" ht="1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3"/>
      <c r="J81" s="2"/>
      <c r="K81" s="2"/>
      <c r="L81" s="23"/>
      <c r="M81" s="24"/>
      <c r="N81" s="2" t="s">
        <v>17</v>
      </c>
      <c r="O81" s="23" t="n">
        <f aca="false">B14</f>
        <v>2943</v>
      </c>
      <c r="P81" s="24" t="n">
        <f aca="false">IF(D$1&gt;1,D14/100,D14)</f>
        <v>0.4970949331</v>
      </c>
      <c r="Q81" s="24" t="n">
        <f aca="false">IF(F$1&gt;1,F14/100,F14)</f>
        <v>0.45238746392</v>
      </c>
      <c r="R81" s="25" t="n">
        <f aca="false">P81*O81</f>
        <v>1462.9503881133</v>
      </c>
      <c r="S81" s="26"/>
      <c r="T81" s="26"/>
      <c r="U81" s="27"/>
      <c r="V81" s="28"/>
      <c r="W81" s="27"/>
      <c r="X81" s="28"/>
      <c r="AB81" s="7"/>
      <c r="AN81" s="13"/>
      <c r="AO81" s="13"/>
    </row>
    <row r="82" customFormat="false" ht="15" hidden="false" customHeight="true" outlineLevel="0" collapsed="false">
      <c r="A82" s="20"/>
      <c r="B82" s="29"/>
      <c r="C82" s="29"/>
      <c r="D82" s="29"/>
      <c r="E82" s="29"/>
      <c r="F82" s="29"/>
      <c r="G82" s="29"/>
      <c r="H82" s="29"/>
      <c r="I82" s="30"/>
      <c r="J82" s="2"/>
      <c r="K82" s="2"/>
      <c r="L82" s="23"/>
      <c r="M82" s="24"/>
      <c r="N82" s="2" t="s">
        <v>18</v>
      </c>
      <c r="O82" s="23" t="n">
        <f aca="false">B15</f>
        <v>990</v>
      </c>
      <c r="P82" s="24" t="n">
        <f aca="false">IF(D$1&gt;1,D15/100,D15)</f>
        <v>0.485982</v>
      </c>
      <c r="Q82" s="24" t="n">
        <f aca="false">IF(F$1&gt;1,F15/100,F15)</f>
        <v>0.442274</v>
      </c>
      <c r="R82" s="25" t="n">
        <f aca="false">P82*O82</f>
        <v>481.12218</v>
      </c>
      <c r="S82" s="26"/>
      <c r="T82" s="26"/>
      <c r="U82" s="27"/>
      <c r="V82" s="28"/>
      <c r="W82" s="27"/>
      <c r="X82" s="28"/>
      <c r="AB82" s="7"/>
      <c r="AN82" s="13"/>
      <c r="AO82" s="13"/>
    </row>
    <row r="83" customFormat="false" ht="15" hidden="false" customHeight="true" outlineLevel="0" collapsed="false">
      <c r="A83" s="20"/>
      <c r="B83" s="30"/>
      <c r="C83" s="30"/>
      <c r="D83" s="30"/>
      <c r="E83" s="30"/>
      <c r="F83" s="30"/>
      <c r="G83" s="30"/>
      <c r="H83" s="30"/>
      <c r="I83" s="30"/>
      <c r="J83" s="2"/>
      <c r="K83" s="2"/>
      <c r="L83" s="23"/>
      <c r="M83" s="24"/>
      <c r="N83" s="2" t="s">
        <v>19</v>
      </c>
      <c r="O83" s="23" t="n">
        <f aca="false">B16</f>
        <v>750</v>
      </c>
      <c r="P83" s="24" t="n">
        <f aca="false">IF(D$1&gt;1,D16/100,D16)</f>
        <v>0.414638</v>
      </c>
      <c r="Q83" s="24" t="n">
        <f aca="false">IF(F$1&gt;1,F16/100,F16)</f>
        <v>0.372008</v>
      </c>
      <c r="R83" s="25" t="n">
        <f aca="false">P83*O83</f>
        <v>310.9785</v>
      </c>
      <c r="S83" s="26"/>
      <c r="T83" s="26"/>
      <c r="U83" s="27"/>
      <c r="V83" s="28"/>
      <c r="W83" s="27"/>
      <c r="X83" s="28"/>
      <c r="AB83" s="7"/>
      <c r="AN83" s="13"/>
      <c r="AO83" s="13"/>
    </row>
    <row r="84" customFormat="false" ht="1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3"/>
      <c r="J84" s="2"/>
      <c r="K84" s="2"/>
      <c r="L84" s="23"/>
      <c r="M84" s="24"/>
      <c r="N84" s="2" t="s">
        <v>20</v>
      </c>
      <c r="O84" s="23" t="n">
        <f aca="false">B17</f>
        <v>-240</v>
      </c>
      <c r="P84" s="24" t="n">
        <f aca="false">IF(D$1&gt;1,D17/100,D17)</f>
        <v>0.414638</v>
      </c>
      <c r="Q84" s="24" t="n">
        <f aca="false">IF(F$1&gt;1,F17/100,F17)</f>
        <v>0.372008</v>
      </c>
      <c r="R84" s="25" t="n">
        <f aca="false">P84*O84</f>
        <v>-99.51312</v>
      </c>
      <c r="S84" s="26"/>
      <c r="T84" s="26"/>
      <c r="U84" s="27"/>
      <c r="V84" s="28"/>
      <c r="W84" s="27"/>
      <c r="X84" s="28"/>
      <c r="AB84" s="7"/>
      <c r="AN84" s="13"/>
      <c r="AO84" s="13"/>
    </row>
    <row r="85" customFormat="false" ht="1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3"/>
      <c r="M85" s="24"/>
      <c r="N85" s="2" t="s">
        <v>21</v>
      </c>
      <c r="O85" s="23" t="n">
        <f aca="false">B18</f>
        <v>990</v>
      </c>
      <c r="P85" s="24" t="n">
        <f aca="false">IF(D$1&gt;1,D18/100,D18)</f>
        <v>0.414638</v>
      </c>
      <c r="Q85" s="24" t="n">
        <f aca="false">IF(F$1&gt;1,F18/100,F18)</f>
        <v>0.372008</v>
      </c>
      <c r="R85" s="25" t="n">
        <f aca="false">P85*O85</f>
        <v>410.49162</v>
      </c>
      <c r="S85" s="26"/>
      <c r="T85" s="26"/>
      <c r="U85" s="27"/>
      <c r="V85" s="28"/>
      <c r="W85" s="27"/>
      <c r="X85" s="28"/>
      <c r="AB85" s="7"/>
      <c r="AN85" s="13"/>
      <c r="AO85" s="13"/>
    </row>
    <row r="86" customFormat="false" ht="1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3"/>
      <c r="M86" s="24"/>
      <c r="N86" s="2" t="s">
        <v>22</v>
      </c>
      <c r="O86" s="23" t="n">
        <f aca="false">B19</f>
        <v>0</v>
      </c>
      <c r="P86" s="24" t="n">
        <f aca="false">IF(D$1&gt;1,D19/100,D19)</f>
        <v>0</v>
      </c>
      <c r="Q86" s="24" t="n">
        <f aca="false">IF(F$1&gt;1,F19/100,F19)</f>
        <v>0</v>
      </c>
      <c r="R86" s="25" t="n">
        <f aca="false">P86*O86</f>
        <v>0</v>
      </c>
      <c r="S86" s="26"/>
      <c r="T86" s="26"/>
      <c r="U86" s="27"/>
      <c r="V86" s="28"/>
      <c r="W86" s="27"/>
      <c r="X86" s="28"/>
      <c r="AB86" s="7"/>
    </row>
    <row r="87" customFormat="false" ht="1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3"/>
      <c r="J87" s="2"/>
      <c r="K87" s="2"/>
      <c r="L87" s="23"/>
      <c r="M87" s="24"/>
      <c r="N87" s="2" t="s">
        <v>23</v>
      </c>
      <c r="O87" s="23" t="n">
        <f aca="false">B20</f>
        <v>0</v>
      </c>
      <c r="P87" s="24" t="n">
        <f aca="false">IF(D$1&gt;1,D20/100,D20)</f>
        <v>0</v>
      </c>
      <c r="Q87" s="24" t="n">
        <f aca="false">IF(F$1&gt;1,F20/100,F20)</f>
        <v>0</v>
      </c>
      <c r="R87" s="25" t="n">
        <f aca="false">P87*O87</f>
        <v>0</v>
      </c>
      <c r="S87" s="26"/>
      <c r="T87" s="26"/>
      <c r="U87" s="27"/>
      <c r="V87" s="28"/>
      <c r="W87" s="27"/>
      <c r="X87" s="28"/>
      <c r="AB87" s="8"/>
    </row>
    <row r="88" customFormat="false" ht="15" hidden="false" customHeight="true" outlineLevel="0" collapsed="false">
      <c r="A88" s="31" t="s">
        <v>2</v>
      </c>
      <c r="B88" s="20" t="str">
        <f aca="false">+'[1]Informacion Planta'!B41</f>
        <v>R1</v>
      </c>
      <c r="C88" s="20" t="str">
        <f aca="false">+'[1]Informacion Planta'!C41</f>
        <v>R2</v>
      </c>
      <c r="D88" s="20" t="str">
        <f aca="false">+'[1]Informacion Planta'!D41</f>
        <v>Hidro</v>
      </c>
      <c r="E88" s="20" t="str">
        <f aca="false">+'[1]Informacion Planta'!E41</f>
        <v>Finisher</v>
      </c>
      <c r="F88" s="20" t="str">
        <f aca="false">+'[1]Informacion Planta'!F41</f>
        <v>Flot Magn</v>
      </c>
      <c r="G88" s="20" t="str">
        <f aca="false">+'[1]Informacion Planta'!G41</f>
        <v>Flot Neum</v>
      </c>
      <c r="H88" s="20" t="str">
        <f aca="false">+'[1]Informacion Planta'!H41</f>
        <v>Esp. Conc</v>
      </c>
      <c r="I88" s="2"/>
      <c r="J88" s="2"/>
      <c r="K88" s="2"/>
      <c r="L88" s="23"/>
      <c r="M88" s="24"/>
      <c r="N88" s="2" t="s">
        <v>24</v>
      </c>
      <c r="O88" s="23" t="n">
        <f aca="false">B21</f>
        <v>0</v>
      </c>
      <c r="P88" s="24" t="n">
        <f aca="false">IF(D$1&gt;1,D21/100,D21)</f>
        <v>0</v>
      </c>
      <c r="Q88" s="24" t="n">
        <f aca="false">IF(F$1&gt;1,F21/100,F21)</f>
        <v>0</v>
      </c>
      <c r="R88" s="25" t="n">
        <f aca="false">P88*O88</f>
        <v>0</v>
      </c>
      <c r="S88" s="26"/>
      <c r="T88" s="26"/>
      <c r="U88" s="27"/>
      <c r="V88" s="28"/>
      <c r="W88" s="27"/>
      <c r="X88" s="28"/>
      <c r="AB88" s="8"/>
    </row>
    <row r="89" customFormat="false" ht="15" hidden="false" customHeight="true" outlineLevel="0" collapsed="false">
      <c r="A89" s="32" t="s">
        <v>25</v>
      </c>
      <c r="B89" s="33" t="n">
        <f aca="false">+P107</f>
        <v>0.16027230537</v>
      </c>
      <c r="C89" s="33" t="n">
        <f aca="false">+P109</f>
        <v>0.30413456647</v>
      </c>
      <c r="D89" s="33" t="n">
        <f aca="false">+P114</f>
        <v>0.39507435902</v>
      </c>
      <c r="E89" s="33" t="n">
        <f aca="false">+P116</f>
        <v>0.45781639824</v>
      </c>
      <c r="F89" s="33" t="n">
        <f aca="false">+P118</f>
        <v>0.57878070742</v>
      </c>
      <c r="G89" s="33" t="n">
        <f aca="false">+P120</f>
        <v>0.57878070742</v>
      </c>
      <c r="H89" s="33" t="n">
        <f aca="false">+P122</f>
        <v>0.64744696725</v>
      </c>
      <c r="I89" s="34"/>
      <c r="J89" s="2"/>
      <c r="K89" s="2"/>
      <c r="L89" s="23"/>
      <c r="M89" s="24"/>
      <c r="N89" s="2" t="s">
        <v>26</v>
      </c>
      <c r="O89" s="23" t="n">
        <f aca="false">B22</f>
        <v>2413</v>
      </c>
      <c r="P89" s="24" t="n">
        <f aca="false">IF(D$1&gt;1,D22/100,D22)</f>
        <v>0.5469</v>
      </c>
      <c r="Q89" s="24" t="n">
        <f aca="false">IF(F$1&gt;1,F22/100,F22)</f>
        <v>0.5214</v>
      </c>
      <c r="R89" s="25" t="n">
        <f aca="false">P89*O89</f>
        <v>1319.6697</v>
      </c>
      <c r="S89" s="26"/>
      <c r="T89" s="26"/>
      <c r="U89" s="27"/>
      <c r="V89" s="28"/>
      <c r="W89" s="27"/>
      <c r="X89" s="28"/>
      <c r="AB89" s="8"/>
    </row>
    <row r="90" customFormat="false" ht="15" hidden="false" customHeight="true" outlineLevel="0" collapsed="false">
      <c r="A90" s="32" t="s">
        <v>27</v>
      </c>
      <c r="B90" s="33" t="n">
        <f aca="false">+P109</f>
        <v>0.30413456647</v>
      </c>
      <c r="C90" s="33" t="n">
        <f aca="false">+P111</f>
        <v>0.39178244</v>
      </c>
      <c r="D90" s="33" t="n">
        <f aca="false">+P116</f>
        <v>0.45781639824</v>
      </c>
      <c r="E90" s="33" t="n">
        <f aca="false">+P118</f>
        <v>0.57878070742</v>
      </c>
      <c r="F90" s="33" t="n">
        <f aca="false">+P120</f>
        <v>0.57878070742</v>
      </c>
      <c r="G90" s="33" t="n">
        <f aca="false">+P122</f>
        <v>0.64744696725</v>
      </c>
      <c r="H90" s="33" t="n">
        <f aca="false">+P125</f>
        <v>0.6488</v>
      </c>
      <c r="I90" s="35" t="n">
        <f aca="false">+'[1]Calc Nodos Stock'!E12</f>
        <v>2097.39964197433</v>
      </c>
      <c r="J90" s="2"/>
      <c r="K90" s="2"/>
      <c r="L90" s="23"/>
      <c r="M90" s="24"/>
      <c r="N90" s="2" t="s">
        <v>28</v>
      </c>
      <c r="O90" s="23" t="n">
        <f aca="false">B23</f>
        <v>2413</v>
      </c>
      <c r="P90" s="24" t="n">
        <f aca="false">IF(D$1&gt;1,D23/100,D23)</f>
        <v>0.5469</v>
      </c>
      <c r="Q90" s="24" t="n">
        <f aca="false">IF(F$1&gt;1,F23/100,F23)</f>
        <v>0.5214</v>
      </c>
      <c r="R90" s="25" t="n">
        <f aca="false">P90*O90</f>
        <v>1319.6697</v>
      </c>
      <c r="S90" s="26"/>
      <c r="T90" s="26"/>
      <c r="U90" s="27"/>
      <c r="V90" s="28"/>
      <c r="W90" s="27"/>
      <c r="X90" s="28"/>
    </row>
    <row r="91" customFormat="false" ht="15" hidden="false" customHeight="true" outlineLevel="0" collapsed="false">
      <c r="A91" s="32" t="s">
        <v>29</v>
      </c>
      <c r="B91" s="33" t="n">
        <f aca="false">+P108</f>
        <v>0.0581163</v>
      </c>
      <c r="C91" s="33" t="n">
        <f aca="false">+P110</f>
        <v>0.0641113</v>
      </c>
      <c r="D91" s="33" t="n">
        <f aca="false">+P115</f>
        <v>0.046596</v>
      </c>
      <c r="E91" s="33" t="n">
        <f aca="false">+P117</f>
        <v>0.089365182362</v>
      </c>
      <c r="F91" s="33" t="n">
        <f aca="false">+P119</f>
        <v>0</v>
      </c>
      <c r="G91" s="33" t="n">
        <f aca="false">+P121</f>
        <v>0.51605904</v>
      </c>
      <c r="H91" s="33" t="n">
        <f aca="false">+P123</f>
        <v>0.45460800603</v>
      </c>
      <c r="I91" s="34"/>
      <c r="J91" s="2"/>
      <c r="K91" s="2"/>
      <c r="L91" s="23"/>
      <c r="M91" s="24"/>
      <c r="N91" s="2" t="s">
        <v>30</v>
      </c>
      <c r="O91" s="23" t="n">
        <f aca="false">B24</f>
        <v>0</v>
      </c>
      <c r="P91" s="24" t="n">
        <f aca="false">IF(D$1&gt;1,D24/100,D24)</f>
        <v>0</v>
      </c>
      <c r="Q91" s="24" t="n">
        <f aca="false">IF(F$1&gt;1,F24/100,F24)</f>
        <v>0</v>
      </c>
      <c r="R91" s="25" t="n">
        <f aca="false">P91*O91</f>
        <v>0</v>
      </c>
      <c r="S91" s="26"/>
      <c r="T91" s="26"/>
      <c r="U91" s="27"/>
      <c r="V91" s="28"/>
      <c r="W91" s="27"/>
      <c r="X91" s="28"/>
      <c r="AB91" s="36"/>
      <c r="AC91" s="36"/>
    </row>
    <row r="92" customFormat="false" ht="15" hidden="false" customHeight="true" outlineLevel="0" collapsed="false">
      <c r="A92" s="34"/>
      <c r="B92" s="37"/>
      <c r="C92" s="37"/>
      <c r="D92" s="37"/>
      <c r="E92" s="37"/>
      <c r="F92" s="37"/>
      <c r="G92" s="37"/>
      <c r="H92" s="37"/>
      <c r="I92" s="34"/>
      <c r="J92" s="2"/>
      <c r="K92" s="2"/>
      <c r="L92" s="23"/>
      <c r="M92" s="23"/>
      <c r="N92" s="2" t="s">
        <v>31</v>
      </c>
      <c r="O92" s="23" t="n">
        <f aca="false">B25</f>
        <v>3933</v>
      </c>
      <c r="P92" s="24" t="n">
        <f aca="false">IF(D$1&gt;1,D25/100,D25)</f>
        <v>0.49429762728</v>
      </c>
      <c r="Q92" s="24" t="n">
        <f aca="false">IF(F$1&gt;1,F25/100,F25)</f>
        <v>0.44984174073</v>
      </c>
      <c r="R92" s="25" t="n">
        <f aca="false">P92*O92</f>
        <v>1944.07256809224</v>
      </c>
      <c r="S92" s="26"/>
      <c r="T92" s="26"/>
      <c r="U92" s="27"/>
      <c r="V92" s="28"/>
      <c r="W92" s="27"/>
      <c r="X92" s="28"/>
      <c r="AB92" s="36"/>
      <c r="AC92" s="36"/>
    </row>
    <row r="93" customFormat="false" ht="15" hidden="false" customHeight="true" outlineLevel="0" collapsed="false">
      <c r="A93" s="34"/>
      <c r="B93" s="34"/>
      <c r="C93" s="34"/>
      <c r="D93" s="34"/>
      <c r="E93" s="34"/>
      <c r="F93" s="34"/>
      <c r="G93" s="34"/>
      <c r="H93" s="34"/>
      <c r="I93" s="35" t="n">
        <f aca="false">+L92-L94</f>
        <v>0</v>
      </c>
      <c r="J93" s="2"/>
      <c r="K93" s="2"/>
      <c r="L93" s="23"/>
      <c r="M93" s="23"/>
      <c r="N93" s="2" t="s">
        <v>32</v>
      </c>
      <c r="O93" s="23" t="n">
        <f aca="false">B26</f>
        <v>2943</v>
      </c>
      <c r="P93" s="24" t="n">
        <f aca="false">IF(D$1&gt;1,D26/100,D26)</f>
        <v>0.4970949331</v>
      </c>
      <c r="Q93" s="24" t="n">
        <f aca="false">IF(F$1&gt;1,F26/100,F26)</f>
        <v>0.45238746392</v>
      </c>
      <c r="R93" s="25" t="n">
        <f aca="false">P93*O93</f>
        <v>1462.9503881133</v>
      </c>
      <c r="S93" s="26"/>
      <c r="T93" s="26"/>
      <c r="U93" s="27"/>
      <c r="V93" s="28"/>
      <c r="W93" s="27"/>
      <c r="X93" s="28"/>
      <c r="AB93" s="36"/>
      <c r="AC93" s="36"/>
    </row>
    <row r="94" customFormat="false" ht="15" hidden="false" customHeight="true" outlineLevel="0" collapsed="false">
      <c r="A94" s="38" t="s">
        <v>33</v>
      </c>
      <c r="B94" s="37" t="n">
        <f aca="false">+IF((B90-B91)&lt;&gt;0,(B90/B89)*(B89-B91)/(B90-B91),0)</f>
        <v>0.787959411478367</v>
      </c>
      <c r="C94" s="37" t="n">
        <f aca="false">+IF((C90-C91)&lt;&gt;0,(C90/C89)*(C89-C91)/(C90-C91),0)</f>
        <v>0.943613908427113</v>
      </c>
      <c r="D94" s="37" t="n">
        <f aca="false">+IF((D90-D91)&lt;&gt;0,(D90/D89)*(D89-D91)/(D90-D91),0)</f>
        <v>0.982004920362241</v>
      </c>
      <c r="E94" s="37" t="n">
        <f aca="false">+IF((E90-E91)&lt;&gt;0,(E90/E89)*(E89-E91)/(E90-E91),0)</f>
        <v>0.95175453357733</v>
      </c>
      <c r="F94" s="37" t="n">
        <f aca="false">+IF((F90-F91)&lt;&gt;0,(F90/F89)*(F89-F91)/(F90-F91),0)</f>
        <v>1</v>
      </c>
      <c r="G94" s="37" t="n">
        <f aca="false">+IF((G90-G91)&lt;&gt;0,(G90/G89)*(G89-G91)/(G90-G91),0)</f>
        <v>0.534013564340339</v>
      </c>
      <c r="H94" s="37" t="n">
        <f aca="false">+IF((H90-H91)&lt;&gt;0,(H90/H89)*(H89-H91)/(H90-H91),0)</f>
        <v>0.995107736205155</v>
      </c>
      <c r="I94" s="39" t="n">
        <f aca="false">+B94*C94*D94*E94*F94*G94*H94</f>
        <v>0.369282893360754</v>
      </c>
      <c r="J94" s="2"/>
      <c r="K94" s="2"/>
      <c r="L94" s="23"/>
      <c r="M94" s="23"/>
      <c r="N94" s="2" t="s">
        <v>34</v>
      </c>
      <c r="O94" s="23" t="n">
        <f aca="false">B27</f>
        <v>990</v>
      </c>
      <c r="P94" s="24" t="n">
        <f aca="false">IF(D$1&gt;1,D27/100,D27)</f>
        <v>0.485982</v>
      </c>
      <c r="Q94" s="24" t="n">
        <f aca="false">IF(F$1&gt;1,F27/100,F27)</f>
        <v>0.442274</v>
      </c>
      <c r="R94" s="25" t="n">
        <f aca="false">P94*O94</f>
        <v>481.12218</v>
      </c>
      <c r="S94" s="26"/>
      <c r="T94" s="26"/>
      <c r="U94" s="27"/>
      <c r="V94" s="28"/>
      <c r="W94" s="27"/>
      <c r="X94" s="28"/>
    </row>
    <row r="95" customFormat="false" ht="22.5" hidden="false" customHeight="true" outlineLevel="0" collapsed="false">
      <c r="A95" s="2"/>
      <c r="B95" s="24"/>
      <c r="C95" s="24"/>
      <c r="D95" s="24"/>
      <c r="E95" s="24"/>
      <c r="F95" s="24"/>
      <c r="G95" s="24"/>
      <c r="H95" s="24"/>
      <c r="I95" s="24"/>
      <c r="J95" s="2"/>
      <c r="K95" s="12"/>
      <c r="L95" s="40"/>
      <c r="M95" s="41"/>
      <c r="N95" s="12" t="s">
        <v>35</v>
      </c>
      <c r="O95" s="23" t="n">
        <f aca="false">B28</f>
        <v>750</v>
      </c>
      <c r="P95" s="24" t="n">
        <f aca="false">IF(D$1&gt;1,D28/100,D28)</f>
        <v>0.414638</v>
      </c>
      <c r="Q95" s="24" t="n">
        <f aca="false">IF(F$1&gt;1,F28/100,F28)</f>
        <v>0.372008</v>
      </c>
      <c r="R95" s="25" t="n">
        <f aca="false">P95*O95</f>
        <v>310.9785</v>
      </c>
      <c r="S95" s="26"/>
      <c r="T95" s="26"/>
      <c r="U95" s="27"/>
      <c r="V95" s="28"/>
      <c r="W95" s="27"/>
      <c r="X95" s="28"/>
    </row>
    <row r="96" customFormat="false" ht="1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3"/>
      <c r="M96" s="24"/>
      <c r="N96" s="2" t="s">
        <v>36</v>
      </c>
      <c r="O96" s="23" t="n">
        <f aca="false">B29</f>
        <v>-240</v>
      </c>
      <c r="P96" s="24" t="n">
        <f aca="false">IF(D$1&gt;1,D29/100,D29)</f>
        <v>0.414638</v>
      </c>
      <c r="Q96" s="24" t="n">
        <f aca="false">IF(F$1&gt;1,F29/100,F29)</f>
        <v>0.372008</v>
      </c>
      <c r="R96" s="25" t="n">
        <f aca="false">P96*O96</f>
        <v>-99.51312</v>
      </c>
      <c r="S96" s="26"/>
      <c r="T96" s="26"/>
      <c r="U96" s="27"/>
      <c r="V96" s="28"/>
      <c r="W96" s="27"/>
      <c r="X96" s="28"/>
    </row>
    <row r="97" customFormat="false" ht="15" hidden="false" customHeight="true" outlineLevel="0" collapsed="false">
      <c r="A97" s="2"/>
      <c r="B97" s="29"/>
      <c r="C97" s="2"/>
      <c r="D97" s="2"/>
      <c r="E97" s="2"/>
      <c r="F97" s="2"/>
      <c r="G97" s="2"/>
      <c r="H97" s="42"/>
      <c r="I97" s="24"/>
      <c r="J97" s="2"/>
      <c r="K97" s="2"/>
      <c r="L97" s="23"/>
      <c r="M97" s="24"/>
      <c r="N97" s="2" t="s">
        <v>37</v>
      </c>
      <c r="O97" s="23" t="n">
        <f aca="false">B30</f>
        <v>990</v>
      </c>
      <c r="P97" s="24" t="n">
        <f aca="false">IF(D$1&gt;1,D30/100,D30)</f>
        <v>0.414638</v>
      </c>
      <c r="Q97" s="24" t="n">
        <f aca="false">IF(F$1&gt;1,F30/100,F30)</f>
        <v>0.372008</v>
      </c>
      <c r="R97" s="25" t="n">
        <f aca="false">P97*O97</f>
        <v>410.49162</v>
      </c>
      <c r="S97" s="26"/>
      <c r="T97" s="26"/>
      <c r="U97" s="27"/>
      <c r="V97" s="28"/>
      <c r="W97" s="27"/>
      <c r="X97" s="28"/>
    </row>
    <row r="98" customFormat="false" ht="15" hidden="false" customHeight="true" outlineLevel="0" collapsed="false">
      <c r="A98" s="43" t="s">
        <v>3</v>
      </c>
      <c r="B98" s="32"/>
      <c r="C98" s="32"/>
      <c r="D98" s="32"/>
      <c r="E98" s="32"/>
      <c r="F98" s="32"/>
      <c r="G98" s="32"/>
      <c r="H98" s="32"/>
      <c r="I98" s="34"/>
      <c r="J98" s="2"/>
      <c r="K98" s="2"/>
      <c r="L98" s="23"/>
      <c r="M98" s="24"/>
      <c r="N98" s="2" t="s">
        <v>38</v>
      </c>
      <c r="O98" s="23" t="n">
        <f aca="false">B31</f>
        <v>3933</v>
      </c>
      <c r="P98" s="24" t="n">
        <f aca="false">IF(D$1&gt;1,D31/100,D31)</f>
        <v>0.49429762728</v>
      </c>
      <c r="Q98" s="24" t="n">
        <f aca="false">IF(F$1&gt;1,F31/100,F31)</f>
        <v>0.44984174073</v>
      </c>
      <c r="R98" s="25" t="n">
        <f aca="false">P98*O98</f>
        <v>1944.07256809224</v>
      </c>
      <c r="S98" s="26"/>
      <c r="T98" s="26"/>
      <c r="U98" s="27"/>
      <c r="V98" s="28"/>
      <c r="W98" s="27"/>
      <c r="X98" s="28"/>
    </row>
    <row r="99" customFormat="false" ht="15" hidden="false" customHeight="true" outlineLevel="0" collapsed="false">
      <c r="A99" s="32" t="s">
        <v>25</v>
      </c>
      <c r="B99" s="33" t="n">
        <f aca="false">+Q107</f>
        <v>0.115139</v>
      </c>
      <c r="C99" s="33" t="n">
        <f aca="false">+Q109</f>
        <v>0.27306034</v>
      </c>
      <c r="D99" s="33" t="n">
        <f aca="false">+Q114</f>
        <v>0.37492236982</v>
      </c>
      <c r="E99" s="33" t="n">
        <f aca="false">+Q116</f>
        <v>0.44086966</v>
      </c>
      <c r="F99" s="33" t="n">
        <f aca="false">+Q118</f>
        <v>0.56390866</v>
      </c>
      <c r="G99" s="33" t="n">
        <f aca="false">+Q120</f>
        <v>0.56390866</v>
      </c>
      <c r="H99" s="33" t="n">
        <f aca="false">+Q122</f>
        <v>0.63973870124</v>
      </c>
      <c r="I99" s="34"/>
      <c r="J99" s="2"/>
      <c r="K99" s="2"/>
      <c r="L99" s="23"/>
      <c r="M99" s="24"/>
      <c r="N99" s="2" t="s">
        <v>39</v>
      </c>
      <c r="O99" s="23" t="n">
        <f aca="false">B32</f>
        <v>2943</v>
      </c>
      <c r="P99" s="24" t="n">
        <f aca="false">IF(D$1&gt;1,D32/100,D32)</f>
        <v>0.4970949331</v>
      </c>
      <c r="Q99" s="24" t="n">
        <f aca="false">IF(F$1&gt;1,F32/100,F32)</f>
        <v>0.45238746392</v>
      </c>
      <c r="R99" s="25" t="n">
        <f aca="false">P99*O99</f>
        <v>1462.9503881133</v>
      </c>
      <c r="S99" s="26"/>
      <c r="T99" s="26"/>
      <c r="U99" s="27"/>
      <c r="V99" s="28"/>
      <c r="W99" s="27"/>
      <c r="X99" s="28"/>
    </row>
    <row r="100" customFormat="false" ht="18.75" hidden="false" customHeight="false" outlineLevel="0" collapsed="false">
      <c r="A100" s="32" t="s">
        <v>27</v>
      </c>
      <c r="B100" s="33" t="n">
        <f aca="false">+Q109</f>
        <v>0.27306034</v>
      </c>
      <c r="C100" s="33" t="n">
        <f aca="false">+Q111</f>
        <v>0.37183552</v>
      </c>
      <c r="D100" s="33" t="n">
        <f aca="false">+Q116</f>
        <v>0.44086966</v>
      </c>
      <c r="E100" s="33" t="n">
        <f aca="false">+Q118</f>
        <v>0.56390866</v>
      </c>
      <c r="F100" s="33" t="n">
        <f aca="false">+Q120</f>
        <v>0.56390866</v>
      </c>
      <c r="G100" s="33" t="n">
        <f aca="false">+Q122</f>
        <v>0.63973870124</v>
      </c>
      <c r="H100" s="33" t="n">
        <f aca="false">+Q125</f>
        <v>0.6411</v>
      </c>
      <c r="I100" s="35" t="n">
        <f aca="false">+'[1]Calc Nodos Stock'!E22</f>
        <v>0</v>
      </c>
      <c r="J100" s="2"/>
      <c r="K100" s="2"/>
      <c r="L100" s="23"/>
      <c r="M100" s="24"/>
      <c r="N100" s="2" t="s">
        <v>40</v>
      </c>
      <c r="O100" s="23" t="n">
        <f aca="false">B33</f>
        <v>990</v>
      </c>
      <c r="P100" s="24" t="n">
        <f aca="false">IF(D$1&gt;1,D33/100,D33)</f>
        <v>0.485982</v>
      </c>
      <c r="Q100" s="24" t="n">
        <f aca="false">IF(F$1&gt;1,F33/100,F33)</f>
        <v>0.442274</v>
      </c>
      <c r="R100" s="25" t="n">
        <f aca="false">P100*O100</f>
        <v>481.12218</v>
      </c>
      <c r="S100" s="26"/>
      <c r="T100" s="26"/>
      <c r="U100" s="27"/>
      <c r="V100" s="28"/>
      <c r="W100" s="27"/>
      <c r="X100" s="28"/>
    </row>
    <row r="101" customFormat="false" ht="28.5" hidden="false" customHeight="true" outlineLevel="0" collapsed="false">
      <c r="A101" s="32" t="s">
        <v>29</v>
      </c>
      <c r="B101" s="33" t="n">
        <f aca="false">+Q108</f>
        <v>0.0029997</v>
      </c>
      <c r="C101" s="33" t="n">
        <f aca="false">+Q110</f>
        <v>0.002565</v>
      </c>
      <c r="D101" s="33" t="n">
        <f aca="false">+Q115</f>
        <v>0.00672</v>
      </c>
      <c r="E101" s="33" t="n">
        <f aca="false">+Q117</f>
        <v>0.06609904</v>
      </c>
      <c r="F101" s="33" t="n">
        <f aca="false">+Q119</f>
        <v>0</v>
      </c>
      <c r="G101" s="33" t="n">
        <f aca="false">+Q121</f>
        <v>0.49476243792</v>
      </c>
      <c r="H101" s="33" t="n">
        <f aca="false">+Q123</f>
        <v>0.44572163933</v>
      </c>
      <c r="I101" s="34"/>
      <c r="J101" s="2"/>
      <c r="K101" s="44"/>
      <c r="L101" s="23"/>
      <c r="M101" s="24"/>
      <c r="N101" s="2" t="s">
        <v>41</v>
      </c>
      <c r="O101" s="23" t="n">
        <f aca="false">B34</f>
        <v>2413</v>
      </c>
      <c r="P101" s="24" t="n">
        <f aca="false">IF(D$1&gt;1,D34/100,D34)</f>
        <v>0.5469</v>
      </c>
      <c r="Q101" s="24" t="n">
        <f aca="false">IF(F$1&gt;1,F34/100,F34)</f>
        <v>0.5214</v>
      </c>
      <c r="R101" s="25" t="n">
        <f aca="false">P101*O101</f>
        <v>1319.6697</v>
      </c>
      <c r="S101" s="26"/>
      <c r="T101" s="26"/>
      <c r="U101" s="27"/>
      <c r="V101" s="28"/>
      <c r="W101" s="27"/>
      <c r="X101" s="28"/>
    </row>
    <row r="102" customFormat="false" ht="18.75" hidden="false" customHeight="false" outlineLevel="0" collapsed="false">
      <c r="A102" s="34"/>
      <c r="B102" s="37"/>
      <c r="C102" s="37"/>
      <c r="D102" s="37"/>
      <c r="E102" s="37"/>
      <c r="F102" s="37"/>
      <c r="G102" s="37"/>
      <c r="H102" s="37"/>
      <c r="I102" s="34"/>
      <c r="J102" s="2"/>
      <c r="K102" s="44"/>
      <c r="L102" s="23"/>
      <c r="M102" s="24"/>
      <c r="N102" s="2" t="s">
        <v>42</v>
      </c>
      <c r="O102" s="23" t="n">
        <f aca="false">B35</f>
        <v>2413</v>
      </c>
      <c r="P102" s="24" t="n">
        <f aca="false">IF(D$1&gt;1,D35/100,D35)</f>
        <v>0.5469</v>
      </c>
      <c r="Q102" s="24" t="n">
        <f aca="false">IF(F$1&gt;1,F35/100,F35)</f>
        <v>0.5214</v>
      </c>
      <c r="R102" s="25" t="n">
        <f aca="false">P102*O102</f>
        <v>1319.6697</v>
      </c>
      <c r="S102" s="26"/>
      <c r="T102" s="26"/>
      <c r="U102" s="27"/>
      <c r="V102" s="28"/>
      <c r="W102" s="27"/>
      <c r="X102" s="28"/>
    </row>
    <row r="103" customFormat="false" ht="18.75" hidden="false" customHeight="false" outlineLevel="0" collapsed="false">
      <c r="A103" s="34"/>
      <c r="B103" s="34"/>
      <c r="C103" s="34"/>
      <c r="D103" s="34"/>
      <c r="E103" s="34"/>
      <c r="F103" s="34"/>
      <c r="G103" s="34"/>
      <c r="H103" s="34"/>
      <c r="I103" s="35" t="n">
        <f aca="false">+L102-L104</f>
        <v>0</v>
      </c>
      <c r="J103" s="2"/>
      <c r="K103" s="2"/>
      <c r="L103" s="23"/>
      <c r="M103" s="24"/>
      <c r="N103" s="2" t="s">
        <v>43</v>
      </c>
      <c r="O103" s="23" t="n">
        <f aca="false">B36</f>
        <v>0</v>
      </c>
      <c r="P103" s="24" t="n">
        <f aca="false">IF(D$1&gt;1,D36/100,D36)</f>
        <v>0</v>
      </c>
      <c r="Q103" s="24" t="n">
        <f aca="false">IF(F$1&gt;1,F36/100,F36)</f>
        <v>0</v>
      </c>
      <c r="R103" s="25" t="n">
        <f aca="false">P103*O103</f>
        <v>0</v>
      </c>
      <c r="S103" s="26"/>
      <c r="T103" s="26"/>
      <c r="U103" s="27"/>
      <c r="V103" s="28"/>
      <c r="W103" s="27"/>
      <c r="X103" s="28"/>
    </row>
    <row r="104" customFormat="false" ht="19.5" hidden="false" customHeight="false" outlineLevel="0" collapsed="false">
      <c r="A104" s="38" t="s">
        <v>33</v>
      </c>
      <c r="B104" s="37" t="n">
        <f aca="false">+IF((B100-B101)&lt;&gt;0,(B100/B99)*(B99-B101)/(B100-B101),0)</f>
        <v>0.9847652652289</v>
      </c>
      <c r="C104" s="37" t="n">
        <f aca="false">+IF((C100-C101)&lt;&gt;0,(C100/C99)*(C99-C101)/(C100-C101),0)</f>
        <v>0.997487350364957</v>
      </c>
      <c r="D104" s="37" t="n">
        <f aca="false">+IF((D100-D101)&lt;&gt;0,(D100/D99)*(D99-D101)/(D100-D101),0)</f>
        <v>0.99727739016421</v>
      </c>
      <c r="E104" s="37" t="n">
        <f aca="false">+IF((E100-E101)&lt;&gt;0,(E100/E99)*(E99-E101)/(E100-E101),0)</f>
        <v>0.962943495751954</v>
      </c>
      <c r="F104" s="37" t="n">
        <f aca="false">+IF((F100-F101)&lt;&gt;0,(F100/F99)*(F99-F101)/(F100-F101),0)</f>
        <v>1</v>
      </c>
      <c r="G104" s="37" t="n">
        <f aca="false">+IF((G100-G101)&lt;&gt;0,(G100/G99)*(G99-G101)/(G100-G101),0)</f>
        <v>0.541084900881533</v>
      </c>
      <c r="H104" s="37" t="n">
        <f aca="false">+IF((H100-H101)&lt;&gt;0,(H100/H99)*(H99-H101)/(H100-H101),0)</f>
        <v>0.995145571795036</v>
      </c>
      <c r="I104" s="39" t="n">
        <f aca="false">+B104*C104*D104*E104*F104*G104*H104</f>
        <v>0.507935919183734</v>
      </c>
      <c r="J104" s="2"/>
      <c r="K104" s="2"/>
      <c r="L104" s="23"/>
      <c r="M104" s="24"/>
      <c r="N104" s="2" t="s">
        <v>44</v>
      </c>
      <c r="O104" s="23" t="n">
        <f aca="false">B37</f>
        <v>0</v>
      </c>
      <c r="P104" s="24" t="n">
        <f aca="false">IF(D$1&gt;1,D37/100,D37)</f>
        <v>0</v>
      </c>
      <c r="Q104" s="24" t="n">
        <f aca="false">IF(F$1&gt;1,F37/100,F37)</f>
        <v>0</v>
      </c>
      <c r="R104" s="25" t="n">
        <f aca="false">P104*O104</f>
        <v>0</v>
      </c>
      <c r="S104" s="26"/>
      <c r="T104" s="26"/>
      <c r="U104" s="27"/>
      <c r="V104" s="28"/>
      <c r="W104" s="27"/>
      <c r="X104" s="28"/>
    </row>
    <row r="105" customFormat="false" ht="19.5" hidden="false" customHeight="false" outlineLevel="0" collapsed="false">
      <c r="A105" s="45" t="s">
        <v>45</v>
      </c>
      <c r="B105" s="46" t="n">
        <f aca="false">O109/O107</f>
        <v>0.415237481479665</v>
      </c>
      <c r="C105" s="46" t="n">
        <f aca="false">O111/O109</f>
        <v>0.732512684738156</v>
      </c>
      <c r="D105" s="46" t="n">
        <f aca="false">O116/O114</f>
        <v>0.856711294754649</v>
      </c>
      <c r="E105" s="46" t="n">
        <f aca="false">O118/O116</f>
        <v>0.752839248076449</v>
      </c>
      <c r="F105" s="46" t="n">
        <f aca="false">O120/O118</f>
        <v>1</v>
      </c>
      <c r="G105" s="46" t="n">
        <f aca="false">O122/O120</f>
        <v>0.475827106406821</v>
      </c>
      <c r="H105" s="46" t="n">
        <f aca="false">O125/O122</f>
        <v>0.99303249981948</v>
      </c>
      <c r="I105" s="46" t="n">
        <f aca="false">+B105*C105*D105*E105*F105*G105*H105</f>
        <v>0.0926960191945953</v>
      </c>
      <c r="J105" s="2"/>
      <c r="K105" s="2"/>
      <c r="L105" s="23"/>
      <c r="M105" s="24"/>
      <c r="N105" s="2" t="s">
        <v>46</v>
      </c>
      <c r="O105" s="23" t="n">
        <f aca="false">B38</f>
        <v>0</v>
      </c>
      <c r="P105" s="24" t="n">
        <f aca="false">IF(D$1&gt;1,D38/100,D38)</f>
        <v>0</v>
      </c>
      <c r="Q105" s="24" t="n">
        <f aca="false">IF(F$1&gt;1,F38/100,F38)</f>
        <v>0</v>
      </c>
      <c r="R105" s="25" t="n">
        <f aca="false">P105*O105</f>
        <v>0</v>
      </c>
      <c r="S105" s="26"/>
      <c r="T105" s="26"/>
      <c r="U105" s="27"/>
      <c r="V105" s="28"/>
      <c r="W105" s="27"/>
      <c r="X105" s="28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4"/>
      <c r="J106" s="2"/>
      <c r="K106" s="2"/>
      <c r="L106" s="23"/>
      <c r="M106" s="24"/>
      <c r="N106" s="2" t="s">
        <v>47</v>
      </c>
      <c r="O106" s="23" t="n">
        <f aca="false">B39</f>
        <v>0</v>
      </c>
      <c r="P106" s="24" t="n">
        <f aca="false">IF(D$1&gt;1,D39/100,D39)</f>
        <v>0</v>
      </c>
      <c r="Q106" s="24" t="n">
        <f aca="false">IF(F$1&gt;1,F39/100,F39)</f>
        <v>0</v>
      </c>
      <c r="R106" s="25" t="n">
        <f aca="false">P106*O106</f>
        <v>0</v>
      </c>
      <c r="S106" s="26"/>
      <c r="T106" s="26"/>
      <c r="U106" s="27"/>
      <c r="V106" s="28"/>
      <c r="W106" s="27"/>
      <c r="X106" s="28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4"/>
      <c r="J107" s="2"/>
      <c r="K107" s="2"/>
      <c r="L107" s="23"/>
      <c r="M107" s="24"/>
      <c r="N107" s="2" t="s">
        <v>48</v>
      </c>
      <c r="O107" s="23" t="n">
        <f aca="false">B40</f>
        <v>1834605</v>
      </c>
      <c r="P107" s="24" t="n">
        <f aca="false">IF(D$1&gt;1,D40/100,D40)</f>
        <v>0.16027230537</v>
      </c>
      <c r="Q107" s="24" t="n">
        <f aca="false">IF(F$1&gt;1,F40/100,F40)</f>
        <v>0.115139</v>
      </c>
      <c r="R107" s="25" t="n">
        <f aca="false">P107*O107</f>
        <v>294036.372793329</v>
      </c>
      <c r="S107" s="26"/>
      <c r="T107" s="26"/>
      <c r="U107" s="27"/>
      <c r="V107" s="28"/>
      <c r="W107" s="27"/>
      <c r="X107" s="28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3"/>
      <c r="M108" s="24"/>
      <c r="N108" s="2" t="s">
        <v>49</v>
      </c>
      <c r="O108" s="23" t="n">
        <f aca="false">B41</f>
        <v>1072808.2403</v>
      </c>
      <c r="P108" s="24" t="n">
        <f aca="false">IF(D$1&gt;1,D41/100,D41)</f>
        <v>0.0581163</v>
      </c>
      <c r="Q108" s="24" t="n">
        <f aca="false">IF(F$1&gt;1,F41/100,F41)</f>
        <v>0.0029997</v>
      </c>
      <c r="R108" s="25" t="n">
        <f aca="false">P108*O108</f>
        <v>62347.6455357469</v>
      </c>
      <c r="S108" s="26"/>
      <c r="T108" s="26"/>
      <c r="U108" s="27"/>
      <c r="V108" s="28"/>
      <c r="W108" s="27"/>
      <c r="X108" s="28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4"/>
      <c r="J109" s="2"/>
      <c r="K109" s="2"/>
      <c r="L109" s="23"/>
      <c r="M109" s="24"/>
      <c r="N109" s="2" t="s">
        <v>50</v>
      </c>
      <c r="O109" s="23" t="n">
        <f aca="false">B42</f>
        <v>761796.75971</v>
      </c>
      <c r="P109" s="24" t="n">
        <f aca="false">IF(D$1&gt;1,D42/100,D42)</f>
        <v>0.30413456647</v>
      </c>
      <c r="Q109" s="24" t="n">
        <f aca="false">IF(F$1&gt;1,F42/100,F42)</f>
        <v>0.27306034</v>
      </c>
      <c r="R109" s="25" t="n">
        <f aca="false">P109*O109</f>
        <v>231688.727252652</v>
      </c>
      <c r="S109" s="26"/>
      <c r="T109" s="26"/>
      <c r="U109" s="27"/>
      <c r="V109" s="28"/>
      <c r="W109" s="27"/>
      <c r="X109" s="28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3"/>
      <c r="M110" s="24"/>
      <c r="N110" s="2" t="s">
        <v>51</v>
      </c>
      <c r="O110" s="23" t="n">
        <f aca="false">B43</f>
        <v>203770.97003</v>
      </c>
      <c r="P110" s="24" t="n">
        <f aca="false">IF(D$1&gt;1,D43/100,D43)</f>
        <v>0.0641113</v>
      </c>
      <c r="Q110" s="24" t="n">
        <f aca="false">IF(F$1&gt;1,F43/100,F43)</f>
        <v>0.002565</v>
      </c>
      <c r="R110" s="25" t="n">
        <f aca="false">P110*O110</f>
        <v>13064.0217908843</v>
      </c>
      <c r="S110" s="26"/>
      <c r="T110" s="26"/>
      <c r="U110" s="27"/>
      <c r="V110" s="28"/>
      <c r="W110" s="27"/>
      <c r="X110" s="28"/>
    </row>
    <row r="111" s="36" customFormat="tru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47"/>
      <c r="K111" s="12"/>
      <c r="L111" s="23"/>
      <c r="M111" s="24"/>
      <c r="N111" s="12" t="s">
        <v>52</v>
      </c>
      <c r="O111" s="23" t="n">
        <f aca="false">B44</f>
        <v>558025.78968</v>
      </c>
      <c r="P111" s="24" t="n">
        <f aca="false">IF(D$1&gt;1,D44/100,D44)</f>
        <v>0.39178244</v>
      </c>
      <c r="Q111" s="24" t="n">
        <f aca="false">IF(F$1&gt;1,F44/100,F44)</f>
        <v>0.37183552</v>
      </c>
      <c r="R111" s="25" t="n">
        <f aca="false">P111*O111</f>
        <v>218624.705463757</v>
      </c>
      <c r="S111" s="26"/>
      <c r="T111" s="26"/>
      <c r="U111" s="27"/>
      <c r="W111" s="27"/>
      <c r="X111" s="28"/>
    </row>
    <row r="112" customFormat="false" ht="18.75" hidden="false" customHeight="false" outlineLevel="0" collapsed="false">
      <c r="A112" s="47"/>
      <c r="B112" s="47"/>
      <c r="C112" s="47"/>
      <c r="D112" s="47"/>
      <c r="E112" s="47"/>
      <c r="F112" s="47"/>
      <c r="G112" s="47"/>
      <c r="H112" s="47"/>
      <c r="I112" s="23"/>
      <c r="J112" s="2"/>
      <c r="K112" s="2"/>
      <c r="L112" s="23"/>
      <c r="M112" s="2"/>
      <c r="N112" s="2" t="s">
        <v>53</v>
      </c>
      <c r="O112" s="23" t="n">
        <f aca="false">B45</f>
        <v>0</v>
      </c>
      <c r="P112" s="24" t="n">
        <f aca="false">IF(D$1&gt;1,D45/100,D45)</f>
        <v>0</v>
      </c>
      <c r="Q112" s="24" t="n">
        <f aca="false">IF(F$1&gt;1,F45/100,F45)</f>
        <v>0</v>
      </c>
      <c r="R112" s="25" t="n">
        <f aca="false">P112*O112</f>
        <v>0</v>
      </c>
      <c r="S112" s="26"/>
      <c r="T112" s="26"/>
      <c r="U112" s="27"/>
      <c r="V112" s="28"/>
      <c r="W112" s="27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40"/>
      <c r="M113" s="41"/>
      <c r="N113" s="2" t="s">
        <v>54</v>
      </c>
      <c r="O113" s="23" t="n">
        <f aca="false">B46</f>
        <v>21192.93</v>
      </c>
      <c r="P113" s="24" t="n">
        <f aca="false">IF(D$1&gt;1,D46/100,D46)</f>
        <v>0.46152391564</v>
      </c>
      <c r="Q113" s="24" t="n">
        <f aca="false">IF(F$1&gt;1,F46/100,F46)</f>
        <v>0.43860703658</v>
      </c>
      <c r="R113" s="25" t="n">
        <f aca="false">P113*O113</f>
        <v>9781.04403748443</v>
      </c>
      <c r="S113" s="26"/>
      <c r="T113" s="26"/>
      <c r="U113" s="27"/>
      <c r="V113" s="28"/>
      <c r="W113" s="27"/>
      <c r="X113" s="28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48"/>
      <c r="M114" s="24"/>
      <c r="N114" s="2" t="s">
        <v>55</v>
      </c>
      <c r="O114" s="23" t="n">
        <f aca="false">B47</f>
        <v>554962.39968</v>
      </c>
      <c r="P114" s="24" t="n">
        <f aca="false">IF(D$1&gt;1,D47/100,D47)</f>
        <v>0.39507435902</v>
      </c>
      <c r="Q114" s="24" t="n">
        <f aca="false">IF(F$1&gt;1,F47/100,F47)</f>
        <v>0.37492236982</v>
      </c>
      <c r="R114" s="25" t="n">
        <f aca="false">P114*O114</f>
        <v>219251.414333777</v>
      </c>
      <c r="S114" s="26"/>
      <c r="T114" s="26"/>
      <c r="U114" s="27"/>
      <c r="V114" s="28"/>
      <c r="W114" s="27"/>
      <c r="X114" s="28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48"/>
      <c r="M115" s="24"/>
      <c r="N115" s="2" t="s">
        <v>56</v>
      </c>
      <c r="O115" s="23" t="n">
        <f aca="false">B48</f>
        <v>85400.163704</v>
      </c>
      <c r="P115" s="24" t="n">
        <f aca="false">IF(D$1&gt;1,D48/100,D48)</f>
        <v>0.046596</v>
      </c>
      <c r="Q115" s="24" t="n">
        <f aca="false">IF(F$1&gt;1,F48/100,F48)</f>
        <v>0.00672</v>
      </c>
      <c r="R115" s="25" t="n">
        <f aca="false">P115*O115</f>
        <v>3979.30602795158</v>
      </c>
      <c r="S115" s="26"/>
      <c r="T115" s="26"/>
      <c r="U115" s="27"/>
      <c r="W115" s="27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48"/>
      <c r="M116" s="24"/>
      <c r="N116" s="2" t="s">
        <v>57</v>
      </c>
      <c r="O116" s="23" t="n">
        <f aca="false">B49</f>
        <v>475442.55597</v>
      </c>
      <c r="P116" s="24" t="n">
        <f aca="false">IF(D$1&gt;1,D49/100,D49)</f>
        <v>0.45781639824</v>
      </c>
      <c r="Q116" s="24" t="n">
        <f aca="false">IF(F$1&gt;1,F49/100,F49)</f>
        <v>0.44086966</v>
      </c>
      <c r="R116" s="25" t="n">
        <f aca="false">P116*O116</f>
        <v>217665.398544205</v>
      </c>
      <c r="S116" s="26"/>
      <c r="T116" s="26"/>
      <c r="U116" s="27"/>
      <c r="W116" s="27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8"/>
      <c r="M117" s="24"/>
      <c r="N117" s="2" t="s">
        <v>58</v>
      </c>
      <c r="O117" s="23" t="n">
        <f aca="false">B50</f>
        <v>117510.73964</v>
      </c>
      <c r="P117" s="24" t="n">
        <f aca="false">IF(D$1&gt;1,D50/100,D50)</f>
        <v>0.089365182362</v>
      </c>
      <c r="Q117" s="24" t="n">
        <f aca="false">IF(F$1&gt;1,F50/100,F50)</f>
        <v>0.06609904</v>
      </c>
      <c r="R117" s="25" t="n">
        <f aca="false">P117*O117</f>
        <v>10501.3686774221</v>
      </c>
      <c r="S117" s="26"/>
      <c r="T117" s="26"/>
      <c r="U117" s="27"/>
      <c r="W117" s="27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48"/>
      <c r="M118" s="24"/>
      <c r="N118" s="2" t="s">
        <v>59</v>
      </c>
      <c r="O118" s="23" t="n">
        <f aca="false">B51</f>
        <v>357931.81634</v>
      </c>
      <c r="P118" s="24" t="n">
        <f aca="false">IF(D$1&gt;1,D51/100,D51)</f>
        <v>0.57878070742</v>
      </c>
      <c r="Q118" s="24" t="n">
        <f aca="false">IF(F$1&gt;1,F51/100,F51)</f>
        <v>0.56390866</v>
      </c>
      <c r="R118" s="25" t="n">
        <f aca="false">P118*O118</f>
        <v>207164.029869391</v>
      </c>
      <c r="S118" s="26"/>
      <c r="T118" s="26"/>
      <c r="U118" s="27"/>
      <c r="W118" s="27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48"/>
      <c r="M119" s="24"/>
      <c r="N119" s="2" t="s">
        <v>60</v>
      </c>
      <c r="O119" s="23" t="n">
        <f aca="false">B52</f>
        <v>0</v>
      </c>
      <c r="P119" s="24" t="n">
        <f aca="false">IF(D$1&gt;1,D52/100,D52)</f>
        <v>0</v>
      </c>
      <c r="Q119" s="24" t="n">
        <f aca="false">IF(F$1&gt;1,F52/100,F52)</f>
        <v>0</v>
      </c>
      <c r="R119" s="25" t="n">
        <f aca="false">P119*O119</f>
        <v>0</v>
      </c>
      <c r="S119" s="26"/>
      <c r="T119" s="26"/>
      <c r="U119" s="27"/>
      <c r="W119" s="27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3"/>
      <c r="J120" s="2"/>
      <c r="K120" s="2"/>
      <c r="L120" s="48"/>
      <c r="M120" s="24"/>
      <c r="N120" s="2" t="s">
        <v>61</v>
      </c>
      <c r="O120" s="23" t="n">
        <f aca="false">B53</f>
        <v>357931.81634</v>
      </c>
      <c r="P120" s="24" t="n">
        <f aca="false">IF(D$1&gt;1,D53/100,D53)</f>
        <v>0.57878070742</v>
      </c>
      <c r="Q120" s="24" t="n">
        <f aca="false">IF(F$1&gt;1,F53/100,F53)</f>
        <v>0.56390866</v>
      </c>
      <c r="R120" s="25" t="n">
        <f aca="false">P120*O120</f>
        <v>207164.029869391</v>
      </c>
      <c r="S120" s="26"/>
      <c r="T120" s="26"/>
      <c r="U120" s="27"/>
      <c r="V120" s="28"/>
      <c r="W120" s="27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 t="s">
        <v>62</v>
      </c>
      <c r="O121" s="23" t="n">
        <f aca="false">B54</f>
        <v>188804.81634</v>
      </c>
      <c r="P121" s="24" t="n">
        <f aca="false">IF(D$1&gt;1,D54/100,D54)</f>
        <v>0.51605904</v>
      </c>
      <c r="Q121" s="24" t="n">
        <f aca="false">IF(F$1&gt;1,F54/100,F54)</f>
        <v>0.49476243792</v>
      </c>
      <c r="R121" s="25" t="n">
        <f aca="false">P121*O121</f>
        <v>97434.4322677967</v>
      </c>
      <c r="S121" s="1"/>
      <c r="T121" s="1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 t="s">
        <v>63</v>
      </c>
      <c r="O122" s="23" t="n">
        <f aca="false">B55</f>
        <v>170313.66046</v>
      </c>
      <c r="P122" s="24" t="n">
        <f aca="false">IF(D$1&gt;1,D55/100,D55)</f>
        <v>0.64744696725</v>
      </c>
      <c r="Q122" s="24" t="n">
        <f aca="false">IF(F$1&gt;1,F55/100,F55)</f>
        <v>0.63973870124</v>
      </c>
      <c r="R122" s="25" t="n">
        <f aca="false">P122*O122</f>
        <v>110269.062946073</v>
      </c>
      <c r="S122" s="1"/>
      <c r="T122" s="1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 t="s">
        <v>64</v>
      </c>
      <c r="O123" s="23" t="n">
        <f aca="false">B56</f>
        <v>1186.6604602</v>
      </c>
      <c r="P123" s="24" t="n">
        <f aca="false">IF(D$1&gt;1,D56/100,D56)</f>
        <v>0.45460800603</v>
      </c>
      <c r="Q123" s="24" t="n">
        <f aca="false">IF(F$1&gt;1,F56/100,F56)</f>
        <v>0.44572163933</v>
      </c>
      <c r="R123" s="25" t="n">
        <f aca="false">P123*O123</f>
        <v>539.465345646164</v>
      </c>
      <c r="S123" s="1"/>
      <c r="T123" s="1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 t="s">
        <v>65</v>
      </c>
      <c r="O124" s="23" t="n">
        <f aca="false">B57</f>
        <v>0</v>
      </c>
      <c r="P124" s="24" t="n">
        <f aca="false">IF(D$1&gt;1,D57/100,D57)</f>
        <v>0</v>
      </c>
      <c r="Q124" s="24" t="n">
        <f aca="false">IF(F$1&gt;1,F57/100,F57)</f>
        <v>0</v>
      </c>
      <c r="R124" s="25" t="n">
        <f aca="false">P124*O124</f>
        <v>0</v>
      </c>
      <c r="S124" s="1"/>
      <c r="T124" s="1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 t="s">
        <v>66</v>
      </c>
      <c r="O125" s="23" t="n">
        <f aca="false">B58</f>
        <v>169127</v>
      </c>
      <c r="P125" s="24" t="n">
        <f aca="false">IF(D$1&gt;1,D58/100,D58)</f>
        <v>0.6488</v>
      </c>
      <c r="Q125" s="24" t="n">
        <f aca="false">IF(F$1&gt;1,F58/100,F58)</f>
        <v>0.6411</v>
      </c>
      <c r="R125" s="25" t="n">
        <f aca="false">P125*O125</f>
        <v>109729.5976</v>
      </c>
      <c r="S125" s="1"/>
      <c r="T125" s="1"/>
    </row>
    <row r="126" customFormat="false" ht="18.75" hidden="false" customHeight="fals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49"/>
      <c r="L126" s="50"/>
      <c r="M126" s="50"/>
      <c r="N126" s="51" t="s">
        <v>67</v>
      </c>
      <c r="O126" s="23" t="n">
        <f aca="false">B59</f>
        <v>1668294.93</v>
      </c>
      <c r="P126" s="24" t="n">
        <f aca="false">IF(D$1&gt;1,D59/100,D59)</f>
        <v>0.11228636552</v>
      </c>
      <c r="Q126" s="24" t="n">
        <f aca="false">IF(F$1&gt;1,F59/100,F59)</f>
        <v>0.063235547217</v>
      </c>
      <c r="R126" s="25" t="n">
        <f aca="false">P126*O126</f>
        <v>187326.774305143</v>
      </c>
    </row>
    <row r="127" customFormat="false" ht="18.75" hidden="false" customHeight="false" outlineLevel="0" collapsed="false">
      <c r="K127" s="11"/>
      <c r="L127" s="52"/>
      <c r="M127" s="52"/>
      <c r="N127" s="53" t="s">
        <v>68</v>
      </c>
      <c r="O127" s="23" t="n">
        <f aca="false">B60</f>
        <v>5880.32</v>
      </c>
      <c r="P127" s="24" t="n">
        <f aca="false">IF(D$1&gt;1,D60/100,D60)</f>
        <v>0.407</v>
      </c>
      <c r="Q127" s="24" t="n">
        <f aca="false">IF(F$1&gt;1,F60/100,F60)</f>
        <v>0.35955</v>
      </c>
      <c r="R127" s="25" t="n">
        <f aca="false">P127*O127</f>
        <v>2393.29024</v>
      </c>
      <c r="S127" s="54"/>
      <c r="T127" s="54"/>
      <c r="U127" s="54"/>
      <c r="Y127" s="36"/>
      <c r="Z127" s="36"/>
    </row>
    <row r="128" customFormat="false" ht="18.75" hidden="false" customHeight="false" outlineLevel="0" collapsed="false">
      <c r="N128" s="53" t="s">
        <v>69</v>
      </c>
      <c r="O128" s="23" t="n">
        <f aca="false">B61</f>
        <v>24256.32</v>
      </c>
      <c r="P128" s="24" t="n">
        <f aca="false">IF(D$1&gt;1,D61/100,D61)</f>
        <v>0.3774</v>
      </c>
      <c r="Q128" s="24" t="n">
        <f aca="false">IF(F$1&gt;1,F61/100,F61)</f>
        <v>0.35955</v>
      </c>
      <c r="R128" s="25" t="n">
        <f aca="false">P128*O128</f>
        <v>9154.335168</v>
      </c>
      <c r="S128" s="55"/>
      <c r="T128" s="55"/>
      <c r="U128" s="55"/>
    </row>
    <row r="129" customFormat="false" ht="18.75" hidden="false" customHeight="false" outlineLevel="0" collapsed="false">
      <c r="N129" s="53" t="s">
        <v>70</v>
      </c>
      <c r="O129" s="23" t="n">
        <f aca="false">B62</f>
        <v>533769.46968</v>
      </c>
      <c r="P129" s="24" t="n">
        <f aca="false">IF(D$1&gt;1,D62/100,D62)</f>
        <v>0.39243602753</v>
      </c>
      <c r="Q129" s="24" t="n">
        <f aca="false">IF(F$1&gt;1,F62/100,F62)</f>
        <v>0.37239381627</v>
      </c>
      <c r="R129" s="25" t="n">
        <f aca="false">P129*O129</f>
        <v>209470.370298014</v>
      </c>
      <c r="S129" s="56"/>
      <c r="T129" s="57"/>
      <c r="U129" s="56"/>
    </row>
    <row r="130" customFormat="false" ht="15" hidden="false" customHeight="false" outlineLevel="0" collapsed="false">
      <c r="O130" s="13"/>
      <c r="P130" s="58"/>
      <c r="U130" s="55"/>
    </row>
    <row r="131" customFormat="false" ht="15" hidden="false" customHeight="false" outlineLevel="0" collapsed="false">
      <c r="O131" s="13"/>
      <c r="P131" s="58"/>
    </row>
    <row r="132" customFormat="false" ht="15" hidden="false" customHeight="false" outlineLevel="0" collapsed="false">
      <c r="O132" s="13"/>
      <c r="P132" s="58"/>
    </row>
    <row r="133" customFormat="false" ht="15" hidden="false" customHeight="false" outlineLevel="0" collapsed="false">
      <c r="O133" s="13"/>
      <c r="P133" s="58"/>
    </row>
    <row r="134" customFormat="false" ht="15" hidden="false" customHeight="false" outlineLevel="0" collapsed="false">
      <c r="O134" s="13"/>
      <c r="P134" s="58"/>
    </row>
    <row r="135" customFormat="false" ht="15" hidden="false" customHeight="false" outlineLevel="0" collapsed="false">
      <c r="O135" s="13"/>
      <c r="P135" s="58"/>
    </row>
    <row r="136" customFormat="false" ht="15" hidden="false" customHeight="false" outlineLevel="0" collapsed="false">
      <c r="O136" s="13"/>
      <c r="P136" s="58"/>
    </row>
    <row r="137" customFormat="false" ht="15" hidden="false" customHeight="false" outlineLevel="0" collapsed="false">
      <c r="O137" s="13"/>
      <c r="P137" s="58"/>
    </row>
    <row r="138" customFormat="false" ht="15" hidden="false" customHeight="false" outlineLevel="0" collapsed="false">
      <c r="O138" s="13"/>
      <c r="P138" s="58"/>
    </row>
    <row r="139" customFormat="false" ht="18.75" hidden="false" customHeight="false" outlineLevel="0" collapsed="false">
      <c r="K139" s="10"/>
      <c r="L139" s="10"/>
      <c r="M139" s="10"/>
      <c r="O139" s="13"/>
      <c r="P139" s="58"/>
      <c r="Q139" s="36"/>
      <c r="R139" s="36"/>
      <c r="S139" s="36"/>
      <c r="T139" s="36"/>
      <c r="U139" s="36"/>
      <c r="V139" s="36"/>
      <c r="W139" s="36"/>
      <c r="X139" s="36"/>
    </row>
    <row r="140" customFormat="false" ht="15" hidden="false" customHeight="false" outlineLevel="0" collapsed="false">
      <c r="O140" s="13"/>
      <c r="P140" s="58"/>
    </row>
    <row r="141" customFormat="false" ht="15" hidden="false" customHeight="false" outlineLevel="0" collapsed="false">
      <c r="O141" s="13"/>
      <c r="P141" s="58"/>
    </row>
    <row r="142" customFormat="false" ht="15" hidden="false" customHeight="false" outlineLevel="0" collapsed="false">
      <c r="O142" s="13"/>
      <c r="P142" s="58"/>
    </row>
    <row r="143" s="59" customFormat="true" ht="15.75" hidden="false" customHeight="false" outlineLevel="0" collapsed="false">
      <c r="O143" s="13"/>
      <c r="P143" s="58"/>
    </row>
    <row r="144" customFormat="false" ht="15.75" hidden="false" customHeight="false" outlineLevel="0" collapsed="false">
      <c r="A144" s="59"/>
      <c r="B144" s="59"/>
      <c r="C144" s="59"/>
      <c r="D144" s="59"/>
      <c r="E144" s="59"/>
      <c r="F144" s="59"/>
      <c r="G144" s="59"/>
      <c r="H144" s="59"/>
      <c r="O144" s="13"/>
      <c r="P144" s="58"/>
    </row>
    <row r="145" customFormat="false" ht="15" hidden="false" customHeight="false" outlineLevel="0" collapsed="false">
      <c r="O145" s="13"/>
      <c r="P145" s="58"/>
    </row>
    <row r="146" customFormat="false" ht="15" hidden="false" customHeight="false" outlineLevel="0" collapsed="false">
      <c r="O146" s="13"/>
      <c r="P146" s="58"/>
    </row>
    <row r="147" customFormat="false" ht="15" hidden="false" customHeight="false" outlineLevel="0" collapsed="false">
      <c r="O147" s="13"/>
      <c r="P147" s="58"/>
    </row>
    <row r="148" customFormat="false" ht="15" hidden="false" customHeight="false" outlineLevel="0" collapsed="false">
      <c r="O148" s="13"/>
      <c r="P148" s="58"/>
    </row>
    <row r="149" customFormat="false" ht="15" hidden="false" customHeight="false" outlineLevel="0" collapsed="false">
      <c r="O149" s="13"/>
      <c r="P149" s="58"/>
    </row>
    <row r="150" customFormat="false" ht="15" hidden="false" customHeight="false" outlineLevel="0" collapsed="false">
      <c r="O150" s="13"/>
      <c r="P150" s="58"/>
    </row>
    <row r="151" customFormat="false" ht="15" hidden="false" customHeight="false" outlineLevel="0" collapsed="false">
      <c r="O151" s="13"/>
      <c r="P151" s="58"/>
    </row>
    <row r="152" customFormat="false" ht="15" hidden="false" customHeight="false" outlineLevel="0" collapsed="false">
      <c r="O152" s="13"/>
      <c r="P152" s="58"/>
    </row>
    <row r="153" customFormat="false" ht="15" hidden="false" customHeight="false" outlineLevel="0" collapsed="false">
      <c r="O153" s="13"/>
      <c r="P153" s="58"/>
    </row>
    <row r="154" customFormat="false" ht="15" hidden="false" customHeight="false" outlineLevel="0" collapsed="false">
      <c r="O154" s="13"/>
      <c r="P154" s="58"/>
    </row>
    <row r="155" customFormat="false" ht="15" hidden="false" customHeight="false" outlineLevel="0" collapsed="false">
      <c r="O155" s="13"/>
      <c r="P155" s="58"/>
    </row>
    <row r="156" customFormat="false" ht="15" hidden="false" customHeight="false" outlineLevel="0" collapsed="false">
      <c r="O156" s="13"/>
      <c r="P156" s="58"/>
    </row>
    <row r="157" customFormat="false" ht="15" hidden="false" customHeight="false" outlineLevel="0" collapsed="false">
      <c r="O157" s="13"/>
      <c r="P157" s="58"/>
    </row>
    <row r="158" customFormat="false" ht="15" hidden="false" customHeight="false" outlineLevel="0" collapsed="false">
      <c r="O158" s="13"/>
      <c r="P158" s="58"/>
    </row>
    <row r="159" customFormat="false" ht="15.75" hidden="false" customHeight="false" outlineLevel="0" collapsed="false">
      <c r="O159" s="13"/>
      <c r="P159" s="58"/>
      <c r="Y159" s="59"/>
      <c r="Z159" s="59"/>
    </row>
    <row r="160" customFormat="false" ht="15" hidden="false" customHeight="false" outlineLevel="0" collapsed="false">
      <c r="O160" s="13"/>
      <c r="P160" s="58"/>
    </row>
    <row r="161" customFormat="false" ht="15" hidden="false" customHeight="false" outlineLevel="0" collapsed="false">
      <c r="O161" s="13"/>
      <c r="P161" s="58"/>
    </row>
    <row r="162" customFormat="false" ht="15" hidden="false" customHeight="false" outlineLevel="0" collapsed="false">
      <c r="O162" s="13"/>
      <c r="P162" s="58"/>
    </row>
    <row r="163" customFormat="false" ht="15" hidden="false" customHeight="false" outlineLevel="0" collapsed="false">
      <c r="O163" s="13"/>
      <c r="P163" s="58"/>
    </row>
    <row r="164" customFormat="false" ht="15" hidden="false" customHeight="false" outlineLevel="0" collapsed="false">
      <c r="O164" s="13"/>
      <c r="P164" s="58"/>
    </row>
    <row r="165" customFormat="false" ht="15" hidden="false" customHeight="false" outlineLevel="0" collapsed="false">
      <c r="O165" s="13"/>
      <c r="P165" s="58"/>
    </row>
    <row r="166" customFormat="false" ht="15" hidden="false" customHeight="false" outlineLevel="0" collapsed="false">
      <c r="O166" s="13"/>
      <c r="P166" s="58"/>
    </row>
    <row r="167" customFormat="false" ht="15" hidden="false" customHeight="false" outlineLevel="0" collapsed="false">
      <c r="O167" s="13"/>
      <c r="P167" s="58"/>
    </row>
    <row r="168" customFormat="false" ht="15" hidden="false" customHeight="false" outlineLevel="0" collapsed="false">
      <c r="O168" s="13"/>
      <c r="P168" s="58"/>
    </row>
    <row r="169" customFormat="false" ht="15" hidden="false" customHeight="false" outlineLevel="0" collapsed="false">
      <c r="O169" s="13"/>
      <c r="P169" s="58"/>
    </row>
    <row r="170" customFormat="false" ht="15" hidden="false" customHeight="false" outlineLevel="0" collapsed="false">
      <c r="O170" s="13"/>
      <c r="P170" s="58"/>
    </row>
    <row r="171" customFormat="false" ht="15.75" hidden="false" customHeight="false" outlineLevel="0" collapsed="false">
      <c r="K171" s="60"/>
      <c r="L171" s="60"/>
      <c r="M171" s="60"/>
      <c r="O171" s="61"/>
      <c r="P171" s="62"/>
      <c r="Q171" s="59"/>
      <c r="R171" s="59"/>
      <c r="S171" s="59"/>
      <c r="T171" s="59"/>
      <c r="U171" s="59"/>
      <c r="V171" s="59"/>
      <c r="W171" s="59"/>
      <c r="X171" s="59"/>
    </row>
    <row r="172" customFormat="false" ht="15" hidden="false" customHeight="false" outlineLevel="0" collapsed="false">
      <c r="O172" s="13"/>
      <c r="P172" s="58"/>
    </row>
    <row r="177" customFormat="false" ht="15" hidden="false" customHeight="false" outlineLevel="0" collapsed="false">
      <c r="K177" s="11"/>
      <c r="L177" s="63"/>
      <c r="M177" s="63"/>
    </row>
    <row r="178" customFormat="false" ht="15" hidden="false" customHeight="false" outlineLevel="0" collapsed="false">
      <c r="K178" s="11"/>
      <c r="L178" s="52"/>
      <c r="M178" s="52"/>
    </row>
  </sheetData>
  <mergeCells count="7">
    <mergeCell ref="L66:M66"/>
    <mergeCell ref="O66:Q66"/>
    <mergeCell ref="S66:T66"/>
    <mergeCell ref="AB66:AE66"/>
    <mergeCell ref="L126:M126"/>
    <mergeCell ref="S127:U127"/>
    <mergeCell ref="L177:M177"/>
  </mergeCells>
  <conditionalFormatting sqref="S68:T120">
    <cfRule type="expression" priority="2" aboveAverage="0" equalAverage="0" bottom="0" percent="0" rank="0" text="" dxfId="0">
      <formula>ABS(S68)&gt;=10%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AF95"/>
  <sheetViews>
    <sheetView showFormulas="false" showGridLines="false" showRowColHeaders="true" showZeros="true" rightToLeft="false" tabSelected="false" showOutlineSymbols="true" defaultGridColor="true" view="pageBreakPreview" topLeftCell="A24" colorId="64" zoomScale="100" zoomScaleNormal="65" zoomScalePageLayoutView="100" workbookViewId="0">
      <selection pane="topLeft" activeCell="Z79" activeCellId="0" sqref="Z79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3.83"/>
    <col collapsed="false" customWidth="true" hidden="false" outlineLevel="0" max="6" min="6" style="0" width="12.5"/>
    <col collapsed="false" customWidth="true" hidden="false" outlineLevel="0" max="8" min="8" style="0" width="12.5"/>
    <col collapsed="false" customWidth="true" hidden="false" outlineLevel="0" max="9" min="9" style="0" width="13"/>
    <col collapsed="false" customWidth="true" hidden="false" outlineLevel="0" max="12" min="11" style="0" width="13"/>
    <col collapsed="false" customWidth="true" hidden="false" outlineLevel="0" max="13" min="13" style="0" width="13.5"/>
    <col collapsed="false" customWidth="true" hidden="false" outlineLevel="0" max="18" min="18" style="0" width="12"/>
    <col collapsed="false" customWidth="true" hidden="false" outlineLevel="0" max="20" min="20" style="0" width="25.51"/>
    <col collapsed="false" customWidth="true" hidden="false" outlineLevel="0" max="22" min="22" style="0" width="25.51"/>
    <col collapsed="false" customWidth="true" hidden="false" outlineLevel="0" max="23" min="23" style="0" width="13.83"/>
    <col collapsed="false" customWidth="true" hidden="false" outlineLevel="0" max="24" min="24" style="0" width="16.83"/>
    <col collapsed="false" customWidth="true" hidden="false" outlineLevel="0" max="25" min="25" style="0" width="25.67"/>
    <col collapsed="false" customWidth="true" hidden="false" outlineLevel="0" max="27" min="27" style="0" width="18.67"/>
    <col collapsed="false" customWidth="true" hidden="false" outlineLevel="0" max="28" min="28" style="0" width="19.51"/>
    <col collapsed="false" customWidth="true" hidden="false" outlineLevel="0" max="30" min="30" style="0" width="14.67"/>
    <col collapsed="false" customWidth="true" hidden="false" outlineLevel="0" max="32" min="32" style="0" width="14.83"/>
  </cols>
  <sheetData>
    <row r="1" customFormat="false" ht="15.75" hidden="false" customHeight="false" outlineLevel="0" collapsed="false"/>
    <row r="2" customFormat="false" ht="15" hidden="false" customHeight="false" outlineLevel="0" collapsed="false">
      <c r="I2" s="6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6"/>
    </row>
    <row r="3" customFormat="false" ht="15" hidden="false" customHeight="false" outlineLevel="0" collapsed="false">
      <c r="I3" s="67"/>
      <c r="Y3" s="68"/>
    </row>
    <row r="4" customFormat="false" ht="15" hidden="false" customHeight="false" outlineLevel="0" collapsed="false">
      <c r="I4" s="67"/>
      <c r="Y4" s="68"/>
    </row>
    <row r="5" customFormat="false" ht="15" hidden="false" customHeight="false" outlineLevel="0" collapsed="false">
      <c r="I5" s="67"/>
      <c r="R5" s="69" t="n">
        <f aca="false">Flujos!H43</f>
        <v>1834605</v>
      </c>
      <c r="Y5" s="68"/>
    </row>
    <row r="6" customFormat="false" ht="15" hidden="false" customHeight="false" outlineLevel="0" collapsed="false">
      <c r="I6" s="67"/>
      <c r="R6" s="70" t="n">
        <f aca="false">Flujos!I43</f>
        <v>0.16027230537</v>
      </c>
      <c r="Y6" s="68"/>
    </row>
    <row r="7" customFormat="false" ht="15" hidden="false" customHeight="false" outlineLevel="0" collapsed="false">
      <c r="I7" s="67"/>
      <c r="O7" s="0" t="s">
        <v>71</v>
      </c>
      <c r="R7" s="71" t="n">
        <f aca="false">R5*R6</f>
        <v>294036.372793329</v>
      </c>
      <c r="Y7" s="68"/>
    </row>
    <row r="8" customFormat="false" ht="15" hidden="false" customHeight="false" outlineLevel="0" collapsed="false">
      <c r="I8" s="67"/>
      <c r="O8" s="72" t="n">
        <f aca="false">Flujos!H14</f>
        <v>14312.05</v>
      </c>
      <c r="Y8" s="68"/>
    </row>
    <row r="9" customFormat="false" ht="15" hidden="false" customHeight="false" outlineLevel="0" collapsed="false">
      <c r="I9" s="67"/>
      <c r="J9" s="73" t="n">
        <f aca="false">Utilidad!O68</f>
        <v>7094</v>
      </c>
      <c r="O9" s="71" t="n">
        <f aca="false">Flujos!H14*Flujos!I14</f>
        <v>5323.3006970715</v>
      </c>
      <c r="U9" s="69" t="n">
        <f aca="false">Flujos!H44</f>
        <v>1072808.2403</v>
      </c>
      <c r="Y9" s="68"/>
    </row>
    <row r="10" customFormat="false" ht="15" hidden="false" customHeight="false" outlineLevel="0" collapsed="false">
      <c r="I10" s="67"/>
      <c r="J10" s="74" t="n">
        <f aca="false">Utilidad!P68</f>
        <v>0.5868600372</v>
      </c>
      <c r="U10" s="70" t="n">
        <f aca="false">Flujos!I44</f>
        <v>0.0581163</v>
      </c>
      <c r="Y10" s="68"/>
    </row>
    <row r="11" customFormat="false" ht="15" hidden="false" customHeight="false" outlineLevel="0" collapsed="false">
      <c r="I11" s="67"/>
      <c r="J11" s="75" t="n">
        <f aca="false">Utilidad!R68</f>
        <v>4163.1851038968</v>
      </c>
      <c r="M11" s="69" t="n">
        <f aca="false">Utilidad!O70</f>
        <v>5330.16</v>
      </c>
      <c r="R11" s="69" t="n">
        <f aca="false">Flujos!H45</f>
        <v>761796.75971</v>
      </c>
      <c r="U11" s="71" t="n">
        <f aca="false">U10*U9</f>
        <v>62347.6455357469</v>
      </c>
      <c r="Y11" s="68"/>
    </row>
    <row r="12" customFormat="false" ht="15" hidden="false" customHeight="false" outlineLevel="0" collapsed="false">
      <c r="I12" s="67"/>
      <c r="L12" s="72" t="n">
        <f aca="false">+Utilidad!O69</f>
        <v>1763.84</v>
      </c>
      <c r="M12" s="70" t="n">
        <f aca="false">Utilidad!P70</f>
        <v>0.583394</v>
      </c>
      <c r="P12" s="13"/>
      <c r="R12" s="70" t="n">
        <f aca="false">Flujos!I45</f>
        <v>0.30413456647</v>
      </c>
      <c r="Y12" s="68"/>
    </row>
    <row r="13" customFormat="false" ht="15" hidden="false" customHeight="false" outlineLevel="0" collapsed="false">
      <c r="I13" s="67"/>
      <c r="L13" s="71" t="n">
        <f aca="false">+Utilidad!R69</f>
        <v>1053.60174082742</v>
      </c>
      <c r="M13" s="71" t="n">
        <f aca="false">Utilidad!R70</f>
        <v>3109.58336304</v>
      </c>
      <c r="O13" s="76" t="n">
        <f aca="false">Flujos!C13</f>
        <v>18376</v>
      </c>
      <c r="R13" s="71" t="n">
        <f aca="false">R11*R12</f>
        <v>231688.727252652</v>
      </c>
      <c r="Y13" s="68"/>
    </row>
    <row r="14" customFormat="false" ht="15" hidden="false" customHeight="false" outlineLevel="0" collapsed="false">
      <c r="I14" s="67"/>
      <c r="O14" s="57" t="n">
        <f aca="false">Flujos!D13</f>
        <v>0.37</v>
      </c>
      <c r="S14" s="69" t="n">
        <f aca="false">Flujos!H46</f>
        <v>203770.97003</v>
      </c>
      <c r="Y14" s="68"/>
    </row>
    <row r="15" customFormat="false" ht="15" hidden="false" customHeight="false" outlineLevel="0" collapsed="false">
      <c r="I15" s="67"/>
      <c r="O15" s="77" t="n">
        <f aca="false">O13*O14</f>
        <v>6799.12</v>
      </c>
      <c r="S15" s="70" t="n">
        <f aca="false">Flujos!I46</f>
        <v>0.0641113</v>
      </c>
      <c r="Y15" s="78" t="n">
        <f aca="false">+U9+S14+S29+S36+S41+U45+S22</f>
        <v>1668294.930014</v>
      </c>
    </row>
    <row r="16" customFormat="false" ht="15" hidden="false" customHeight="false" outlineLevel="0" collapsed="false">
      <c r="I16" s="67"/>
      <c r="O16" s="77"/>
      <c r="S16" s="71" t="n">
        <f aca="false">S14*S15</f>
        <v>13064.0217908843</v>
      </c>
      <c r="Y16" s="79" t="n">
        <f aca="false">+IF(Y15&lt;&gt;0,(U9*U10+S14*S15+S29*S30+S36*S37+S41*S42+U45*U46+S22*S23)/Y15,0)</f>
        <v>0.112286365515856</v>
      </c>
    </row>
    <row r="17" customFormat="false" ht="15" hidden="false" customHeight="false" outlineLevel="0" collapsed="false">
      <c r="I17" s="67"/>
      <c r="J17" s="13"/>
      <c r="N17" s="77"/>
      <c r="R17" s="69" t="n">
        <f aca="false">Flujos!H47</f>
        <v>558025.78968</v>
      </c>
      <c r="Y17" s="80" t="n">
        <f aca="false">Y15*Y16</f>
        <v>187326.774299802</v>
      </c>
    </row>
    <row r="18" customFormat="false" ht="15" hidden="false" customHeight="false" outlineLevel="0" collapsed="false">
      <c r="I18" s="67"/>
      <c r="N18" s="76" t="n">
        <f aca="false">Flujos!C15</f>
        <v>4105</v>
      </c>
      <c r="P18" s="76" t="n">
        <f aca="false">Flujos!H64</f>
        <v>24256.32</v>
      </c>
      <c r="R18" s="70" t="n">
        <f aca="false">Flujos!I47</f>
        <v>0.39178244</v>
      </c>
      <c r="Y18" s="68"/>
    </row>
    <row r="19" customFormat="false" ht="15" hidden="false" customHeight="false" outlineLevel="0" collapsed="false">
      <c r="I19" s="67"/>
      <c r="N19" s="57" t="n">
        <f aca="false">Flujos!D15</f>
        <v>0.361</v>
      </c>
      <c r="P19" s="57" t="n">
        <f aca="false">Flujos!I64</f>
        <v>0.3774</v>
      </c>
      <c r="R19" s="71"/>
      <c r="Y19" s="68"/>
    </row>
    <row r="20" customFormat="false" ht="15" hidden="false" customHeight="false" outlineLevel="0" collapsed="false">
      <c r="I20" s="67"/>
      <c r="N20" s="77" t="n">
        <f aca="false">N18*N19</f>
        <v>1481.905</v>
      </c>
      <c r="P20" s="77"/>
      <c r="R20" s="69" t="n">
        <f aca="false">Flujos!H65</f>
        <v>533769.46968</v>
      </c>
      <c r="Y20" s="68"/>
    </row>
    <row r="21" customFormat="false" ht="15" hidden="false" customHeight="false" outlineLevel="0" collapsed="false">
      <c r="I21" s="67"/>
      <c r="J21" s="73" t="n">
        <f aca="false">+Utilidad!O71</f>
        <v>8329</v>
      </c>
      <c r="R21" s="70" t="n">
        <f aca="false">Flujos!I65</f>
        <v>0.39243602753</v>
      </c>
      <c r="Y21" s="68"/>
    </row>
    <row r="22" customFormat="false" ht="15" hidden="false" customHeight="false" outlineLevel="0" collapsed="false">
      <c r="I22" s="67"/>
      <c r="J22" s="74" t="n">
        <f aca="false">+Utilidad!P71</f>
        <v>0.42611354513</v>
      </c>
      <c r="S22" s="69" t="n">
        <f aca="false">Flujos!H48</f>
        <v>0</v>
      </c>
      <c r="Y22" s="68"/>
    </row>
    <row r="23" customFormat="false" ht="15" hidden="false" customHeight="false" outlineLevel="0" collapsed="false">
      <c r="I23" s="67"/>
      <c r="J23" s="75" t="n">
        <f aca="false">+Utilidad!R71</f>
        <v>3549.09971738777</v>
      </c>
      <c r="M23" s="69" t="n">
        <f aca="false">Utilidad!O73</f>
        <v>5552.91</v>
      </c>
      <c r="S23" s="70" t="n">
        <f aca="false">Flujos!I48</f>
        <v>0</v>
      </c>
      <c r="Y23" s="68"/>
    </row>
    <row r="24" customFormat="false" ht="15" hidden="false" customHeight="false" outlineLevel="0" collapsed="false">
      <c r="I24" s="67"/>
      <c r="L24" s="72" t="n">
        <f aca="false">+Utilidad!O72</f>
        <v>2776.09</v>
      </c>
      <c r="M24" s="70" t="n">
        <f aca="false">Utilidad!P73</f>
        <v>0.422674</v>
      </c>
      <c r="N24" s="76" t="n">
        <f aca="false">Flujos!H49</f>
        <v>21192.93</v>
      </c>
      <c r="P24" s="76"/>
      <c r="R24" s="69" t="n">
        <f aca="false">Flujos!H50</f>
        <v>554962.39968</v>
      </c>
      <c r="S24" s="71" t="n">
        <f aca="false">S22*S23</f>
        <v>0</v>
      </c>
      <c r="Y24" s="68"/>
    </row>
    <row r="25" customFormat="false" ht="15" hidden="false" customHeight="false" outlineLevel="0" collapsed="false">
      <c r="I25" s="67"/>
      <c r="L25" s="71" t="n">
        <f aca="false">+Utilidad!R72</f>
        <v>1202.02903606995</v>
      </c>
      <c r="M25" s="71" t="n">
        <f aca="false">Utilidad!R73</f>
        <v>2347.07068134</v>
      </c>
      <c r="N25" s="57" t="n">
        <f aca="false">Flujos!I49</f>
        <v>0.46152391564</v>
      </c>
      <c r="P25" s="57"/>
      <c r="R25" s="70" t="n">
        <f aca="false">Flujos!I50</f>
        <v>0.39507435902</v>
      </c>
      <c r="Y25" s="68"/>
    </row>
    <row r="26" customFormat="false" ht="15" hidden="false" customHeight="false" outlineLevel="0" collapsed="false">
      <c r="I26" s="67"/>
      <c r="J26" s="13"/>
      <c r="N26" s="77" t="n">
        <f aca="false">N24*N25</f>
        <v>9781.04403748443</v>
      </c>
      <c r="P26" s="77"/>
      <c r="R26" s="71" t="n">
        <f aca="false">R24*R25</f>
        <v>219251.414333777</v>
      </c>
      <c r="Y26" s="68"/>
    </row>
    <row r="27" customFormat="false" ht="15" hidden="false" customHeight="false" outlineLevel="0" collapsed="false">
      <c r="I27" s="67"/>
      <c r="Y27" s="68"/>
    </row>
    <row r="28" customFormat="false" ht="15" hidden="false" customHeight="false" outlineLevel="0" collapsed="false">
      <c r="C28" s="67"/>
      <c r="D28" s="75"/>
      <c r="G28" s="69"/>
      <c r="I28" s="67"/>
      <c r="U28" s="13"/>
      <c r="Y28" s="68"/>
    </row>
    <row r="29" customFormat="false" ht="15" hidden="false" customHeight="false" outlineLevel="0" collapsed="false">
      <c r="C29" s="67"/>
      <c r="F29" s="72"/>
      <c r="G29" s="70"/>
      <c r="I29" s="67"/>
      <c r="O29" s="76" t="n">
        <f aca="false">Flujos!H63</f>
        <v>5880.32</v>
      </c>
      <c r="S29" s="69" t="n">
        <f aca="false">Flujos!H51</f>
        <v>85400.163704</v>
      </c>
      <c r="U29" s="13"/>
      <c r="Y29" s="68"/>
    </row>
    <row r="30" customFormat="false" ht="15" hidden="false" customHeight="false" outlineLevel="0" collapsed="false">
      <c r="C30" s="67"/>
      <c r="F30" s="71"/>
      <c r="G30" s="71"/>
      <c r="I30" s="67"/>
      <c r="O30" s="57" t="n">
        <f aca="false">Flujos!I63</f>
        <v>0.407</v>
      </c>
      <c r="S30" s="70" t="n">
        <f aca="false">Flujos!I51</f>
        <v>0.046596</v>
      </c>
      <c r="Y30" s="68"/>
    </row>
    <row r="31" customFormat="false" ht="15" hidden="false" customHeight="false" outlineLevel="0" collapsed="false">
      <c r="C31" s="67"/>
      <c r="I31" s="67"/>
      <c r="J31" s="73" t="n">
        <f aca="false">+Utilidad!O74</f>
        <v>9517</v>
      </c>
      <c r="O31" s="76"/>
      <c r="R31" s="69" t="n">
        <f aca="false">Flujos!H52</f>
        <v>475442.55597</v>
      </c>
      <c r="S31" s="71" t="n">
        <f aca="false">S30*S29</f>
        <v>3979.30602795158</v>
      </c>
      <c r="Y31" s="68"/>
    </row>
    <row r="32" customFormat="false" ht="15" hidden="false" customHeight="false" outlineLevel="0" collapsed="false">
      <c r="C32" s="67"/>
      <c r="I32" s="67"/>
      <c r="J32" s="74" t="n">
        <f aca="false">+Utilidad!P74</f>
        <v>0.48923527985</v>
      </c>
      <c r="R32" s="70" t="n">
        <f aca="false">Flujos!I52</f>
        <v>0.45781639824</v>
      </c>
      <c r="Y32" s="68"/>
    </row>
    <row r="33" customFormat="false" ht="15" hidden="false" customHeight="false" outlineLevel="0" collapsed="false">
      <c r="C33" s="67"/>
      <c r="I33" s="67"/>
      <c r="J33" s="75" t="n">
        <f aca="false">+Utilidad!R74</f>
        <v>4656.05215833245</v>
      </c>
      <c r="M33" s="69" t="n">
        <f aca="false">+Utilidad!O76</f>
        <v>1295.91</v>
      </c>
      <c r="O33" s="13"/>
      <c r="R33" s="71" t="n">
        <f aca="false">R31*R32</f>
        <v>217665.398544205</v>
      </c>
      <c r="Y33" s="81" t="n">
        <f aca="false">U9+S14+S29+S36+U45-Y15</f>
        <v>0</v>
      </c>
    </row>
    <row r="34" customFormat="false" ht="15" hidden="false" customHeight="false" outlineLevel="0" collapsed="false">
      <c r="C34" s="67"/>
      <c r="I34" s="67"/>
      <c r="L34" s="72" t="n">
        <f aca="false">+Utilidad!O75</f>
        <v>8221.09</v>
      </c>
      <c r="M34" s="70" t="n">
        <f aca="false">+Utilidad!P76</f>
        <v>0.4802</v>
      </c>
      <c r="Y34" s="68"/>
    </row>
    <row r="35" customFormat="false" ht="15" hidden="false" customHeight="false" outlineLevel="0" collapsed="false">
      <c r="C35" s="67"/>
      <c r="I35" s="67"/>
      <c r="J35" s="13"/>
      <c r="L35" s="71" t="n">
        <f aca="false">+Utilidad!R75</f>
        <v>4033.75617636927</v>
      </c>
      <c r="M35" s="71" t="n">
        <f aca="false">+Utilidad!R76</f>
        <v>622.295982</v>
      </c>
      <c r="Y35" s="68"/>
    </row>
    <row r="36" customFormat="false" ht="15" hidden="false" customHeight="false" outlineLevel="0" collapsed="false">
      <c r="C36" s="67"/>
      <c r="D36" s="73" t="n">
        <f aca="false">Flujos!H28</f>
        <v>3933</v>
      </c>
      <c r="I36" s="67"/>
      <c r="O36" s="13"/>
      <c r="S36" s="69" t="n">
        <f aca="false">Flujos!H53</f>
        <v>117510.73964</v>
      </c>
      <c r="Y36" s="68"/>
    </row>
    <row r="37" customFormat="false" ht="15" hidden="false" customHeight="false" outlineLevel="0" collapsed="false">
      <c r="C37" s="67"/>
      <c r="D37" s="74" t="n">
        <f aca="false">Flujos!I28</f>
        <v>0.49429762728</v>
      </c>
      <c r="I37" s="67"/>
      <c r="S37" s="70" t="n">
        <f aca="false">Flujos!I53</f>
        <v>0.089365182362</v>
      </c>
      <c r="Y37" s="68"/>
    </row>
    <row r="38" customFormat="false" ht="15" hidden="false" customHeight="false" outlineLevel="0" collapsed="false">
      <c r="C38" s="67"/>
      <c r="D38" s="75" t="n">
        <f aca="false">D36*D37</f>
        <v>1944.07256809224</v>
      </c>
      <c r="G38" s="69" t="n">
        <f aca="false">Flujos!H30</f>
        <v>990</v>
      </c>
      <c r="I38" s="67"/>
      <c r="R38" s="69" t="n">
        <f aca="false">Flujos!H54</f>
        <v>357931.81634</v>
      </c>
      <c r="S38" s="71" t="n">
        <f aca="false">S36*S37</f>
        <v>10501.3686774221</v>
      </c>
      <c r="Y38" s="68"/>
    </row>
    <row r="39" customFormat="false" ht="15" hidden="false" customHeight="false" outlineLevel="0" collapsed="false">
      <c r="C39" s="67"/>
      <c r="F39" s="72" t="n">
        <f aca="false">Flujos!H29</f>
        <v>2943</v>
      </c>
      <c r="G39" s="70" t="n">
        <f aca="false">Flujos!I30</f>
        <v>0.485982</v>
      </c>
      <c r="I39" s="67"/>
      <c r="R39" s="70" t="n">
        <f aca="false">Flujos!I54</f>
        <v>0.57878070742</v>
      </c>
      <c r="Y39" s="68"/>
    </row>
    <row r="40" customFormat="false" ht="15" hidden="false" customHeight="false" outlineLevel="0" collapsed="false">
      <c r="C40" s="67"/>
      <c r="D40" s="13"/>
      <c r="F40" s="71" t="n">
        <f aca="false">Flujos!I29*Flujos!H29</f>
        <v>1462.9503881133</v>
      </c>
      <c r="G40" s="71" t="n">
        <f aca="false">G39*G38</f>
        <v>481.12218</v>
      </c>
      <c r="I40" s="67"/>
      <c r="R40" s="71" t="n">
        <f aca="false">R38*R39</f>
        <v>207164.029869391</v>
      </c>
      <c r="Y40" s="68"/>
    </row>
    <row r="41" customFormat="false" ht="15" hidden="false" customHeight="false" outlineLevel="0" collapsed="false">
      <c r="C41" s="67"/>
      <c r="I41" s="67"/>
      <c r="J41" s="73"/>
      <c r="S41" s="69" t="n">
        <f aca="false">Flujos!H55</f>
        <v>0</v>
      </c>
      <c r="Y41" s="68"/>
    </row>
    <row r="42" customFormat="false" ht="15" hidden="false" customHeight="false" outlineLevel="0" collapsed="false">
      <c r="C42" s="67"/>
      <c r="I42" s="67"/>
      <c r="J42" s="74"/>
      <c r="S42" s="70" t="n">
        <f aca="false">Flujos!I55</f>
        <v>0</v>
      </c>
      <c r="Y42" s="68"/>
    </row>
    <row r="43" customFormat="false" ht="15" hidden="false" customHeight="false" outlineLevel="0" collapsed="false">
      <c r="C43" s="67"/>
      <c r="E43" s="55" t="s">
        <v>72</v>
      </c>
      <c r="I43" s="67"/>
      <c r="J43" s="75"/>
      <c r="M43" s="69"/>
      <c r="S43" s="71" t="n">
        <f aca="false">S41*S42</f>
        <v>0</v>
      </c>
      <c r="Y43" s="68"/>
    </row>
    <row r="44" customFormat="false" ht="15" hidden="false" customHeight="false" outlineLevel="0" collapsed="false">
      <c r="C44" s="67"/>
      <c r="D44" s="73" t="n">
        <f aca="false">Flujos!H31</f>
        <v>750</v>
      </c>
      <c r="I44" s="67"/>
      <c r="L44" s="72"/>
      <c r="M44" s="70"/>
      <c r="R44" s="82" t="n">
        <f aca="false">Flujos!H56</f>
        <v>357931.81634</v>
      </c>
      <c r="Y44" s="68"/>
    </row>
    <row r="45" customFormat="false" ht="15" hidden="false" customHeight="false" outlineLevel="0" collapsed="false">
      <c r="C45" s="67"/>
      <c r="D45" s="74" t="n">
        <f aca="false">Flujos!I31</f>
        <v>0.414638</v>
      </c>
      <c r="G45" s="69" t="n">
        <f aca="false">Flujos!H33</f>
        <v>990</v>
      </c>
      <c r="I45" s="67"/>
      <c r="L45" s="71"/>
      <c r="M45" s="71"/>
      <c r="P45" s="69" t="n">
        <f aca="false">Flujos!H59</f>
        <v>1186.6604602</v>
      </c>
      <c r="R45" s="27" t="n">
        <f aca="false">Flujos!I56</f>
        <v>0.57878070742</v>
      </c>
      <c r="S45" s="71" t="n">
        <f aca="false">R44*R45</f>
        <v>207164.029869391</v>
      </c>
      <c r="U45" s="69" t="n">
        <f aca="false">Flujos!H57</f>
        <v>188804.81634</v>
      </c>
      <c r="Y45" s="68"/>
    </row>
    <row r="46" customFormat="false" ht="15" hidden="false" customHeight="false" outlineLevel="0" collapsed="false">
      <c r="C46" s="67"/>
      <c r="D46" s="75" t="n">
        <f aca="false">D44*D45</f>
        <v>310.9785</v>
      </c>
      <c r="F46" s="72" t="n">
        <f aca="false">Flujos!H32</f>
        <v>-240</v>
      </c>
      <c r="G46" s="70" t="n">
        <f aca="false">Flujos!I33</f>
        <v>0.414638</v>
      </c>
      <c r="I46" s="67"/>
      <c r="P46" s="70" t="n">
        <f aca="false">Flujos!I59</f>
        <v>0.45460800603</v>
      </c>
      <c r="U46" s="70" t="n">
        <f aca="false">Flujos!I57</f>
        <v>0.51605904</v>
      </c>
      <c r="Y46" s="68"/>
    </row>
    <row r="47" customFormat="false" ht="15" hidden="false" customHeight="false" outlineLevel="0" collapsed="false">
      <c r="C47" s="67"/>
      <c r="F47" s="71" t="n">
        <f aca="false">Flujos!I32*Flujos!H32</f>
        <v>-99.51312</v>
      </c>
      <c r="G47" s="71" t="n">
        <f aca="false">G45*G46</f>
        <v>410.49162</v>
      </c>
      <c r="I47" s="67"/>
      <c r="P47" s="71" t="n">
        <f aca="false">P45*P46</f>
        <v>539.465345646164</v>
      </c>
      <c r="U47" s="71" t="n">
        <f aca="false">U46*U45</f>
        <v>97434.4322677967</v>
      </c>
      <c r="Y47" s="68"/>
    </row>
    <row r="48" customFormat="false" ht="15" hidden="false" customHeight="false" outlineLevel="0" collapsed="false">
      <c r="C48" s="67"/>
      <c r="D48" s="13"/>
      <c r="I48" s="67"/>
      <c r="Y48" s="68"/>
    </row>
    <row r="49" customFormat="false" ht="15" hidden="false" customHeight="false" outlineLevel="0" collapsed="false">
      <c r="C49" s="67"/>
      <c r="I49" s="67"/>
      <c r="R49" s="69" t="n">
        <f aca="false">Flujos!H58</f>
        <v>170313.66046</v>
      </c>
      <c r="S49" s="70" t="n">
        <f aca="false">Flujos!I58</f>
        <v>0.64744696725</v>
      </c>
      <c r="T49" s="71" t="n">
        <f aca="false">R49*S49</f>
        <v>110269.062946073</v>
      </c>
      <c r="Y49" s="68"/>
    </row>
    <row r="50" customFormat="false" ht="15" hidden="false" customHeight="false" outlineLevel="0" collapsed="false">
      <c r="C50" s="67"/>
      <c r="E50" s="0" t="s">
        <v>73</v>
      </c>
      <c r="I50" s="67"/>
      <c r="T50" s="13"/>
      <c r="Y50" s="68"/>
    </row>
    <row r="51" customFormat="false" ht="15" hidden="false" customHeight="false" outlineLevel="0" collapsed="false">
      <c r="C51" s="67"/>
      <c r="D51" s="73" t="n">
        <f aca="false">Flujos!H34</f>
        <v>3933</v>
      </c>
      <c r="G51" s="69" t="n">
        <f aca="false">Flujos!H36</f>
        <v>990</v>
      </c>
      <c r="I51" s="67"/>
      <c r="J51" s="73" t="n">
        <f aca="false">+Utilidad!O80</f>
        <v>3933</v>
      </c>
      <c r="Y51" s="68"/>
    </row>
    <row r="52" customFormat="false" ht="15" hidden="false" customHeight="false" outlineLevel="0" collapsed="false">
      <c r="C52" s="67"/>
      <c r="D52" s="74" t="n">
        <f aca="false">Flujos!I34</f>
        <v>0.49429762728</v>
      </c>
      <c r="G52" s="70" t="n">
        <f aca="false">Flujos!I36</f>
        <v>0.485982</v>
      </c>
      <c r="I52" s="67"/>
      <c r="J52" s="74" t="n">
        <f aca="false">+Utilidad!P80</f>
        <v>0.49429762728</v>
      </c>
      <c r="Y52" s="68"/>
    </row>
    <row r="53" customFormat="false" ht="15" hidden="false" customHeight="false" outlineLevel="0" collapsed="false">
      <c r="C53" s="67"/>
      <c r="D53" s="75" t="n">
        <f aca="false">D51*D52</f>
        <v>1944.07256809224</v>
      </c>
      <c r="G53" s="71" t="n">
        <f aca="false">G51*G52</f>
        <v>481.12218</v>
      </c>
      <c r="I53" s="67"/>
      <c r="J53" s="75" t="n">
        <f aca="false">+Utilidad!R80</f>
        <v>1944.07256809224</v>
      </c>
      <c r="M53" s="69" t="n">
        <f aca="false">+Utilidad!O82</f>
        <v>990</v>
      </c>
      <c r="Y53" s="68"/>
    </row>
    <row r="54" customFormat="false" ht="15" hidden="false" customHeight="false" outlineLevel="0" collapsed="false">
      <c r="C54" s="67"/>
      <c r="F54" s="72" t="n">
        <f aca="false">Flujos!H35</f>
        <v>2943</v>
      </c>
      <c r="I54" s="67"/>
      <c r="L54" s="72" t="n">
        <f aca="false">+Utilidad!O81</f>
        <v>2943</v>
      </c>
      <c r="M54" s="70" t="n">
        <f aca="false">+Utilidad!P82</f>
        <v>0.485982</v>
      </c>
      <c r="O54" s="69" t="n">
        <f aca="false">Flujos!H42</f>
        <v>0</v>
      </c>
      <c r="Q54" s="69" t="n">
        <f aca="false">Flujos!H40</f>
        <v>0</v>
      </c>
      <c r="Y54" s="68"/>
    </row>
    <row r="55" customFormat="false" ht="15.75" hidden="false" customHeight="false" outlineLevel="0" collapsed="false">
      <c r="C55" s="67"/>
      <c r="F55" s="71" t="n">
        <f aca="false">Flujos!I35*Flujos!H35</f>
        <v>1462.9503881133</v>
      </c>
      <c r="I55" s="67"/>
      <c r="J55" s="13" t="n">
        <f aca="false">J53-L55</f>
        <v>481.12217997894</v>
      </c>
      <c r="L55" s="71" t="n">
        <f aca="false">+Utilidad!R81</f>
        <v>1462.9503881133</v>
      </c>
      <c r="M55" s="71" t="n">
        <f aca="false">+Utilidad!R82</f>
        <v>481.12218</v>
      </c>
      <c r="O55" s="70" t="n">
        <f aca="false">Flujos!I42</f>
        <v>0</v>
      </c>
      <c r="Q55" s="70" t="n">
        <f aca="false">Flujos!I40</f>
        <v>0</v>
      </c>
      <c r="Y55" s="68"/>
      <c r="AA55" s="60" t="s">
        <v>74</v>
      </c>
    </row>
    <row r="56" customFormat="false" ht="18.75" hidden="false" customHeight="false" outlineLevel="0" collapsed="false">
      <c r="C56" s="67"/>
      <c r="I56" s="67"/>
      <c r="O56" s="71" t="n">
        <f aca="false">O54*O55</f>
        <v>0</v>
      </c>
      <c r="Q56" s="71" t="n">
        <f aca="false">Q54*Q55</f>
        <v>0</v>
      </c>
      <c r="Y56" s="68"/>
      <c r="AA56" s="83" t="s">
        <v>75</v>
      </c>
      <c r="AB56" s="84"/>
      <c r="AC56" s="85" t="s">
        <v>76</v>
      </c>
      <c r="AD56" s="85"/>
      <c r="AE56" s="83" t="s">
        <v>77</v>
      </c>
      <c r="AF56" s="83"/>
    </row>
    <row r="57" customFormat="false" ht="31.5" hidden="false" customHeight="false" outlineLevel="0" collapsed="false">
      <c r="C57" s="67"/>
      <c r="E57" s="0" t="s">
        <v>78</v>
      </c>
      <c r="I57" s="67"/>
      <c r="Y57" s="68"/>
      <c r="AA57" s="86" t="s">
        <v>48</v>
      </c>
      <c r="AB57" s="87" t="n">
        <f aca="false">+R5</f>
        <v>1834605</v>
      </c>
      <c r="AC57" s="86" t="s">
        <v>5</v>
      </c>
      <c r="AD57" s="88" t="n">
        <f aca="false">+L12</f>
        <v>1763.84</v>
      </c>
      <c r="AE57" s="89" t="s">
        <v>66</v>
      </c>
      <c r="AF57" s="88" t="n">
        <f aca="false">+S60</f>
        <v>169127</v>
      </c>
    </row>
    <row r="58" customFormat="false" ht="31.5" hidden="false" customHeight="false" outlineLevel="0" collapsed="false">
      <c r="C58" s="67"/>
      <c r="D58" s="73" t="n">
        <f aca="false">Flujos!H37</f>
        <v>2413</v>
      </c>
      <c r="G58" s="69" t="n">
        <f aca="false">Flujos!H39</f>
        <v>0</v>
      </c>
      <c r="I58" s="67"/>
      <c r="K58" s="0" t="s">
        <v>79</v>
      </c>
      <c r="Y58" s="68"/>
      <c r="AA58" s="86" t="s">
        <v>4</v>
      </c>
      <c r="AB58" s="87" t="n">
        <f aca="false">+J9</f>
        <v>7094</v>
      </c>
      <c r="AC58" s="86" t="s">
        <v>8</v>
      </c>
      <c r="AD58" s="88" t="n">
        <f aca="false">+L24</f>
        <v>2776.09</v>
      </c>
      <c r="AE58" s="89" t="s">
        <v>80</v>
      </c>
      <c r="AF58" s="88" t="n">
        <f aca="false">+Y15</f>
        <v>1668294.930014</v>
      </c>
    </row>
    <row r="59" customFormat="false" ht="31.5" hidden="false" customHeight="false" outlineLevel="0" collapsed="false">
      <c r="C59" s="67"/>
      <c r="D59" s="74" t="n">
        <f aca="false">Flujos!I37</f>
        <v>0.5469</v>
      </c>
      <c r="G59" s="70" t="n">
        <f aca="false">Flujos!I39</f>
        <v>0</v>
      </c>
      <c r="I59" s="67"/>
      <c r="J59" s="73" t="n">
        <f aca="false">+Utilidad!O83</f>
        <v>750</v>
      </c>
      <c r="S59" s="0" t="s">
        <v>81</v>
      </c>
      <c r="Y59" s="68"/>
      <c r="AA59" s="86" t="s">
        <v>7</v>
      </c>
      <c r="AB59" s="87" t="n">
        <f aca="false">+J21</f>
        <v>8329</v>
      </c>
      <c r="AC59" s="0" t="s">
        <v>11</v>
      </c>
      <c r="AD59" s="88" t="n">
        <f aca="false">+L34</f>
        <v>8221.09</v>
      </c>
      <c r="AE59" s="90"/>
      <c r="AF59" s="88"/>
    </row>
    <row r="60" customFormat="false" ht="31.5" hidden="false" customHeight="false" outlineLevel="0" collapsed="false">
      <c r="C60" s="67"/>
      <c r="D60" s="75" t="n">
        <f aca="false">D58*D59</f>
        <v>1319.6697</v>
      </c>
      <c r="G60" s="71" t="n">
        <f aca="false">G58*G59</f>
        <v>0</v>
      </c>
      <c r="I60" s="67"/>
      <c r="J60" s="74" t="n">
        <f aca="false">+Utilidad!P83</f>
        <v>0.414638</v>
      </c>
      <c r="M60" s="69" t="n">
        <f aca="false">+Utilidad!O85</f>
        <v>990</v>
      </c>
      <c r="S60" s="69" t="n">
        <f aca="false">Flujos!H61</f>
        <v>169127</v>
      </c>
      <c r="Y60" s="68"/>
      <c r="AA60" s="86" t="s">
        <v>10</v>
      </c>
      <c r="AB60" s="87" t="n">
        <f aca="false">+J31</f>
        <v>9517</v>
      </c>
      <c r="AC60" s="86" t="s">
        <v>14</v>
      </c>
      <c r="AD60" s="88" t="n">
        <f aca="false">O8</f>
        <v>14312.05</v>
      </c>
      <c r="AE60" s="90"/>
      <c r="AF60" s="88"/>
    </row>
    <row r="61" customFormat="false" ht="31.5" hidden="false" customHeight="false" outlineLevel="0" collapsed="false">
      <c r="C61" s="67"/>
      <c r="F61" s="72" t="n">
        <f aca="false">Flujos!H38</f>
        <v>2413</v>
      </c>
      <c r="I61" s="67"/>
      <c r="J61" s="75" t="n">
        <f aca="false">+Utilidad!R83</f>
        <v>310.9785</v>
      </c>
      <c r="L61" s="72" t="n">
        <f aca="false">+Utilidad!O84</f>
        <v>-240</v>
      </c>
      <c r="M61" s="70" t="n">
        <f aca="false">+Utilidad!P85</f>
        <v>0.414638</v>
      </c>
      <c r="O61" s="72" t="n">
        <f aca="false">Flujos!H41</f>
        <v>0</v>
      </c>
      <c r="S61" s="70" t="n">
        <f aca="false">Flujos!I61</f>
        <v>0.6488</v>
      </c>
      <c r="Y61" s="68"/>
      <c r="AA61" s="91" t="s">
        <v>13</v>
      </c>
      <c r="AB61" s="87"/>
      <c r="AC61" s="86" t="s">
        <v>17</v>
      </c>
      <c r="AD61" s="88" t="n">
        <f aca="false">+L54</f>
        <v>2943</v>
      </c>
      <c r="AE61" s="92"/>
      <c r="AF61" s="88"/>
    </row>
    <row r="62" customFormat="false" ht="31.5" hidden="false" customHeight="false" outlineLevel="0" collapsed="false">
      <c r="C62" s="67"/>
      <c r="F62" s="71" t="n">
        <f aca="false">Flujos!I38*Flujos!H38</f>
        <v>1319.6697</v>
      </c>
      <c r="I62" s="67"/>
      <c r="L62" s="71" t="n">
        <f aca="false">+Utilidad!R84</f>
        <v>-99.51312</v>
      </c>
      <c r="M62" s="71" t="n">
        <f aca="false">+Utilidad!R85</f>
        <v>410.49162</v>
      </c>
      <c r="O62" s="71" t="n">
        <f aca="false">Flujos!I41*Flujos!J41</f>
        <v>0</v>
      </c>
      <c r="S62" s="71" t="n">
        <f aca="false">S60*S61</f>
        <v>109729.5976</v>
      </c>
      <c r="Y62" s="68"/>
      <c r="AA62" s="86" t="s">
        <v>16</v>
      </c>
      <c r="AB62" s="87" t="n">
        <f aca="false">+J51</f>
        <v>3933</v>
      </c>
      <c r="AC62" s="86" t="s">
        <v>20</v>
      </c>
      <c r="AD62" s="88" t="n">
        <f aca="false">+L61</f>
        <v>-240</v>
      </c>
      <c r="AE62" s="89"/>
      <c r="AF62" s="88"/>
    </row>
    <row r="63" customFormat="false" ht="31.5" hidden="false" customHeight="false" outlineLevel="0" collapsed="false">
      <c r="C63" s="67"/>
      <c r="I63" s="67"/>
      <c r="J63" s="13" t="n">
        <f aca="false">J61-L62</f>
        <v>410.49162</v>
      </c>
      <c r="S63" s="71"/>
      <c r="Y63" s="68"/>
      <c r="AA63" s="86" t="s">
        <v>19</v>
      </c>
      <c r="AB63" s="87" t="n">
        <f aca="false">+J59</f>
        <v>750</v>
      </c>
      <c r="AC63" s="86" t="s">
        <v>23</v>
      </c>
      <c r="AD63" s="88" t="n">
        <f aca="false">+L69</f>
        <v>0</v>
      </c>
      <c r="AE63" s="89"/>
      <c r="AF63" s="88"/>
    </row>
    <row r="64" customFormat="false" ht="31.5" hidden="false" customHeight="false" outlineLevel="0" collapsed="false">
      <c r="I64" s="67"/>
      <c r="S64" s="71"/>
      <c r="Y64" s="68"/>
      <c r="AA64" s="86" t="s">
        <v>22</v>
      </c>
      <c r="AB64" s="87" t="n">
        <f aca="false">+J66</f>
        <v>0</v>
      </c>
      <c r="AC64" s="86" t="s">
        <v>28</v>
      </c>
      <c r="AD64" s="88" t="n">
        <f aca="false">+L76</f>
        <v>2413</v>
      </c>
      <c r="AE64" s="89"/>
      <c r="AF64" s="88"/>
    </row>
    <row r="65" customFormat="false" ht="31.5" hidden="false" customHeight="false" outlineLevel="0" collapsed="false">
      <c r="I65" s="67"/>
      <c r="K65" s="0" t="s">
        <v>82</v>
      </c>
      <c r="S65" s="71"/>
      <c r="Y65" s="68"/>
      <c r="AA65" s="86" t="s">
        <v>26</v>
      </c>
      <c r="AB65" s="87" t="n">
        <f aca="false">+J73</f>
        <v>2413</v>
      </c>
      <c r="AC65" s="93" t="s">
        <v>83</v>
      </c>
      <c r="AD65" s="88"/>
      <c r="AE65" s="90"/>
      <c r="AF65" s="88"/>
    </row>
    <row r="66" customFormat="false" ht="15.75" hidden="false" customHeight="false" outlineLevel="0" collapsed="false">
      <c r="I66" s="67"/>
      <c r="J66" s="73" t="n">
        <f aca="false">+Utilidad!O86</f>
        <v>0</v>
      </c>
      <c r="M66" s="69" t="n">
        <f aca="false">+Utilidad!O88</f>
        <v>0</v>
      </c>
      <c r="S66" s="71"/>
      <c r="Y66" s="68"/>
      <c r="AA66" s="86" t="s">
        <v>84</v>
      </c>
      <c r="AB66" s="87" t="n">
        <f aca="false">D36</f>
        <v>3933</v>
      </c>
      <c r="AC66" s="86" t="s">
        <v>85</v>
      </c>
      <c r="AD66" s="88" t="n">
        <f aca="false">F39</f>
        <v>2943</v>
      </c>
      <c r="AE66" s="89"/>
      <c r="AF66" s="88"/>
    </row>
    <row r="67" customFormat="false" ht="15.75" hidden="false" customHeight="false" outlineLevel="0" collapsed="false">
      <c r="I67" s="67"/>
      <c r="J67" s="74" t="n">
        <f aca="false">+Utilidad!P86</f>
        <v>0</v>
      </c>
      <c r="M67" s="70" t="n">
        <f aca="false">+Utilidad!P88</f>
        <v>0</v>
      </c>
      <c r="S67" s="71"/>
      <c r="Y67" s="68"/>
      <c r="AA67" s="86" t="s">
        <v>72</v>
      </c>
      <c r="AB67" s="87" t="n">
        <f aca="false">D44</f>
        <v>750</v>
      </c>
      <c r="AC67" s="86" t="s">
        <v>86</v>
      </c>
      <c r="AD67" s="88" t="n">
        <f aca="false">F46</f>
        <v>-240</v>
      </c>
      <c r="AE67" s="89"/>
      <c r="AF67" s="88"/>
    </row>
    <row r="68" customFormat="false" ht="15.75" hidden="false" customHeight="false" outlineLevel="0" collapsed="false">
      <c r="I68" s="67"/>
      <c r="J68" s="75" t="n">
        <f aca="false">+Utilidad!R86</f>
        <v>0</v>
      </c>
      <c r="M68" s="71" t="n">
        <f aca="false">+Utilidad!R88</f>
        <v>0</v>
      </c>
      <c r="S68" s="71"/>
      <c r="Y68" s="68"/>
      <c r="AA68" s="86" t="s">
        <v>73</v>
      </c>
      <c r="AB68" s="87" t="n">
        <f aca="false">D51</f>
        <v>3933</v>
      </c>
      <c r="AC68" s="86" t="s">
        <v>87</v>
      </c>
      <c r="AD68" s="88" t="n">
        <f aca="false">F54</f>
        <v>2943</v>
      </c>
      <c r="AE68" s="89"/>
      <c r="AF68" s="88"/>
    </row>
    <row r="69" customFormat="false" ht="15.75" hidden="false" customHeight="false" outlineLevel="0" collapsed="false">
      <c r="I69" s="67"/>
      <c r="L69" s="72" t="n">
        <f aca="false">+Utilidad!O87</f>
        <v>0</v>
      </c>
      <c r="S69" s="71"/>
      <c r="Y69" s="68"/>
      <c r="AA69" s="86" t="s">
        <v>78</v>
      </c>
      <c r="AB69" s="87" t="n">
        <f aca="false">D58</f>
        <v>2413</v>
      </c>
      <c r="AC69" s="86" t="s">
        <v>88</v>
      </c>
      <c r="AD69" s="88" t="n">
        <f aca="false">F61</f>
        <v>2413</v>
      </c>
      <c r="AE69" s="90"/>
      <c r="AF69" s="88"/>
    </row>
    <row r="70" customFormat="false" ht="15" hidden="false" customHeight="false" outlineLevel="0" collapsed="false">
      <c r="I70" s="67"/>
      <c r="L70" s="71" t="n">
        <f aca="false">+Utilidad!R87</f>
        <v>0</v>
      </c>
      <c r="S70" s="71"/>
      <c r="Y70" s="68"/>
    </row>
    <row r="71" customFormat="false" ht="18.75" hidden="false" customHeight="false" outlineLevel="0" collapsed="false">
      <c r="I71" s="67"/>
      <c r="S71" s="71"/>
      <c r="Y71" s="68"/>
      <c r="AA71" s="94" t="s">
        <v>89</v>
      </c>
      <c r="AB71" s="95" t="n">
        <f aca="false">+SUM(AB57:AB69)</f>
        <v>1877670</v>
      </c>
      <c r="AC71" s="94" t="s">
        <v>90</v>
      </c>
      <c r="AD71" s="96" t="n">
        <f aca="false">+SUM(AD57:AD69)</f>
        <v>40248.07</v>
      </c>
      <c r="AE71" s="89"/>
      <c r="AF71" s="95" t="n">
        <f aca="false">+SUM(AF57:AF64)</f>
        <v>1837421.930014</v>
      </c>
    </row>
    <row r="72" customFormat="false" ht="15" hidden="false" customHeight="false" outlineLevel="0" collapsed="false">
      <c r="I72" s="67"/>
      <c r="K72" s="0" t="s">
        <v>91</v>
      </c>
      <c r="S72" s="71"/>
      <c r="Y72" s="68"/>
    </row>
    <row r="73" customFormat="false" ht="18.75" hidden="false" customHeight="false" outlineLevel="0" collapsed="false">
      <c r="I73" s="67"/>
      <c r="J73" s="73" t="n">
        <f aca="false">+Utilidad!O89</f>
        <v>2413</v>
      </c>
      <c r="M73" s="69" t="n">
        <f aca="false">+Utilidad!O91</f>
        <v>0</v>
      </c>
      <c r="S73" s="71"/>
      <c r="Y73" s="68"/>
      <c r="AA73" s="97" t="s">
        <v>92</v>
      </c>
      <c r="AB73" s="98"/>
      <c r="AC73" s="99"/>
      <c r="AD73" s="98"/>
      <c r="AE73" s="100" t="n">
        <f aca="false">+AB71-AD71-AF71</f>
        <v>-1.39998737722635E-005</v>
      </c>
    </row>
    <row r="74" customFormat="false" ht="15" hidden="false" customHeight="false" outlineLevel="0" collapsed="false">
      <c r="I74" s="67"/>
      <c r="J74" s="74" t="n">
        <f aca="false">+Utilidad!P89</f>
        <v>0.5469</v>
      </c>
      <c r="M74" s="70" t="n">
        <f aca="false">+Utilidad!P91</f>
        <v>0</v>
      </c>
      <c r="S74" s="71"/>
      <c r="Y74" s="68"/>
    </row>
    <row r="75" customFormat="false" ht="15" hidden="false" customHeight="false" outlineLevel="0" collapsed="false">
      <c r="I75" s="67"/>
      <c r="J75" s="75" t="n">
        <f aca="false">+Utilidad!R89</f>
        <v>1319.6697</v>
      </c>
      <c r="M75" s="71" t="n">
        <f aca="false">+Utilidad!R91</f>
        <v>0</v>
      </c>
      <c r="S75" s="71"/>
      <c r="Y75" s="68"/>
    </row>
    <row r="76" customFormat="false" ht="15" hidden="false" customHeight="false" outlineLevel="0" collapsed="false">
      <c r="I76" s="67"/>
      <c r="L76" s="72" t="n">
        <f aca="false">+Utilidad!O90</f>
        <v>2413</v>
      </c>
      <c r="S76" s="71"/>
      <c r="Y76" s="68"/>
    </row>
    <row r="77" customFormat="false" ht="15.75" hidden="false" customHeight="false" outlineLevel="0" collapsed="false">
      <c r="I77" s="67"/>
      <c r="L77" s="71" t="n">
        <f aca="false">+Utilidad!R90</f>
        <v>1319.6697</v>
      </c>
      <c r="S77" s="71"/>
      <c r="Y77" s="68"/>
      <c r="AA77" s="60" t="s">
        <v>93</v>
      </c>
    </row>
    <row r="78" customFormat="false" ht="18.75" hidden="false" customHeight="false" outlineLevel="0" collapsed="false">
      <c r="I78" s="67"/>
      <c r="S78" s="71"/>
      <c r="Y78" s="68"/>
      <c r="AA78" s="101" t="s">
        <v>75</v>
      </c>
      <c r="AB78" s="102"/>
      <c r="AC78" s="103" t="s">
        <v>76</v>
      </c>
      <c r="AD78" s="103"/>
      <c r="AE78" s="101" t="s">
        <v>77</v>
      </c>
      <c r="AF78" s="101"/>
    </row>
    <row r="79" customFormat="false" ht="31.5" hidden="false" customHeight="false" outlineLevel="0" collapsed="false">
      <c r="I79" s="67"/>
      <c r="J79" s="13"/>
      <c r="S79" s="71"/>
      <c r="Y79" s="68"/>
      <c r="AA79" s="86" t="s">
        <v>48</v>
      </c>
      <c r="AB79" s="87" t="n">
        <f aca="false">+R7</f>
        <v>294036.372793329</v>
      </c>
      <c r="AC79" s="86" t="s">
        <v>5</v>
      </c>
      <c r="AD79" s="88" t="n">
        <f aca="false">+L13</f>
        <v>1053.60174082742</v>
      </c>
      <c r="AE79" s="89" t="s">
        <v>66</v>
      </c>
      <c r="AF79" s="88" t="n">
        <f aca="false">+S62</f>
        <v>109729.5976</v>
      </c>
    </row>
    <row r="80" customFormat="false" ht="31.5" hidden="false" customHeight="false" outlineLevel="0" collapsed="false">
      <c r="I80" s="67"/>
      <c r="S80" s="71"/>
      <c r="Y80" s="68"/>
      <c r="AA80" s="86" t="s">
        <v>4</v>
      </c>
      <c r="AB80" s="87" t="n">
        <f aca="false">+J11</f>
        <v>4163.1851038968</v>
      </c>
      <c r="AC80" s="86" t="s">
        <v>8</v>
      </c>
      <c r="AD80" s="88" t="n">
        <f aca="false">+L25</f>
        <v>1202.02903606995</v>
      </c>
      <c r="AE80" s="89" t="s">
        <v>80</v>
      </c>
      <c r="AF80" s="88" t="n">
        <f aca="false">+Y17</f>
        <v>187326.774299802</v>
      </c>
    </row>
    <row r="81" customFormat="false" ht="31.5" hidden="false" customHeight="false" outlineLevel="0" collapsed="false">
      <c r="I81" s="67"/>
      <c r="S81" s="71"/>
      <c r="Y81" s="68"/>
      <c r="AA81" s="86" t="s">
        <v>7</v>
      </c>
      <c r="AB81" s="87" t="n">
        <f aca="false">+J23</f>
        <v>3549.09971738777</v>
      </c>
      <c r="AC81" s="86" t="s">
        <v>11</v>
      </c>
      <c r="AD81" s="88" t="n">
        <f aca="false">+L35</f>
        <v>4033.75617636927</v>
      </c>
      <c r="AE81" s="90"/>
      <c r="AF81" s="88"/>
    </row>
    <row r="82" customFormat="false" ht="31.5" hidden="false" customHeight="false" outlineLevel="0" collapsed="false">
      <c r="I82" s="67"/>
      <c r="S82" s="71"/>
      <c r="Y82" s="68"/>
      <c r="AA82" s="86" t="s">
        <v>10</v>
      </c>
      <c r="AB82" s="87" t="n">
        <f aca="false">+J33</f>
        <v>4656.05215833245</v>
      </c>
      <c r="AC82" s="86" t="s">
        <v>14</v>
      </c>
      <c r="AD82" s="88" t="n">
        <f aca="false">+O9</f>
        <v>5323.3006970715</v>
      </c>
      <c r="AE82" s="90"/>
      <c r="AF82" s="88"/>
    </row>
    <row r="83" customFormat="false" ht="33" hidden="false" customHeight="false" outlineLevel="0" collapsed="false">
      <c r="I83" s="104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6"/>
      <c r="AA83" s="91" t="s">
        <v>13</v>
      </c>
      <c r="AB83" s="87"/>
      <c r="AC83" s="86" t="s">
        <v>17</v>
      </c>
      <c r="AD83" s="88" t="n">
        <f aca="false">+L55</f>
        <v>1462.9503881133</v>
      </c>
      <c r="AE83" s="92"/>
      <c r="AF83" s="88"/>
    </row>
    <row r="84" customFormat="false" ht="31.5" hidden="false" customHeight="false" outlineLevel="0" collapsed="false">
      <c r="AA84" s="86" t="s">
        <v>16</v>
      </c>
      <c r="AB84" s="87" t="n">
        <f aca="false">+J53</f>
        <v>1944.07256809224</v>
      </c>
      <c r="AC84" s="86" t="s">
        <v>20</v>
      </c>
      <c r="AD84" s="88" t="n">
        <f aca="false">+L62</f>
        <v>-99.51312</v>
      </c>
      <c r="AE84" s="89"/>
      <c r="AF84" s="88"/>
    </row>
    <row r="85" customFormat="false" ht="31.5" hidden="false" customHeight="false" outlineLevel="0" collapsed="false">
      <c r="AA85" s="86" t="s">
        <v>19</v>
      </c>
      <c r="AB85" s="87" t="n">
        <f aca="false">+J61</f>
        <v>310.9785</v>
      </c>
      <c r="AC85" s="86" t="s">
        <v>23</v>
      </c>
      <c r="AD85" s="88" t="n">
        <f aca="false">+L70</f>
        <v>0</v>
      </c>
      <c r="AE85" s="89"/>
      <c r="AF85" s="88"/>
    </row>
    <row r="86" customFormat="false" ht="31.5" hidden="false" customHeight="false" outlineLevel="0" collapsed="false">
      <c r="AA86" s="86" t="s">
        <v>22</v>
      </c>
      <c r="AB86" s="87" t="n">
        <f aca="false">+J68</f>
        <v>0</v>
      </c>
      <c r="AC86" s="86" t="s">
        <v>28</v>
      </c>
      <c r="AD86" s="88" t="n">
        <f aca="false">+L77</f>
        <v>1319.6697</v>
      </c>
      <c r="AE86" s="89"/>
      <c r="AF86" s="88"/>
    </row>
    <row r="87" customFormat="false" ht="15.75" hidden="false" customHeight="false" outlineLevel="0" collapsed="false">
      <c r="AA87" s="86" t="s">
        <v>26</v>
      </c>
      <c r="AB87" s="87" t="n">
        <f aca="false">+J75</f>
        <v>1319.6697</v>
      </c>
      <c r="AC87" s="93" t="s">
        <v>83</v>
      </c>
      <c r="AD87" s="88"/>
      <c r="AE87" s="90"/>
      <c r="AF87" s="88"/>
    </row>
    <row r="88" customFormat="false" ht="15.75" hidden="false" customHeight="false" outlineLevel="0" collapsed="false">
      <c r="AA88" s="86" t="s">
        <v>84</v>
      </c>
      <c r="AB88" s="87" t="n">
        <f aca="false">D38</f>
        <v>1944.07256809224</v>
      </c>
      <c r="AC88" s="86" t="s">
        <v>85</v>
      </c>
      <c r="AD88" s="88" t="n">
        <f aca="false">F40</f>
        <v>1462.9503881133</v>
      </c>
      <c r="AE88" s="89"/>
      <c r="AF88" s="88"/>
    </row>
    <row r="89" customFormat="false" ht="15.75" hidden="false" customHeight="true" outlineLevel="0" collapsed="false">
      <c r="AA89" s="86" t="s">
        <v>72</v>
      </c>
      <c r="AB89" s="87" t="n">
        <f aca="false">D46</f>
        <v>310.9785</v>
      </c>
      <c r="AC89" s="86" t="s">
        <v>86</v>
      </c>
      <c r="AD89" s="88" t="n">
        <f aca="false">F47</f>
        <v>-99.51312</v>
      </c>
      <c r="AE89" s="89"/>
      <c r="AF89" s="88"/>
    </row>
    <row r="90" customFormat="false" ht="15.75" hidden="false" customHeight="false" outlineLevel="0" collapsed="false">
      <c r="AA90" s="86" t="s">
        <v>73</v>
      </c>
      <c r="AB90" s="87" t="n">
        <f aca="false">D53</f>
        <v>1944.07256809224</v>
      </c>
      <c r="AC90" s="86" t="s">
        <v>87</v>
      </c>
      <c r="AD90" s="88" t="n">
        <f aca="false">F55</f>
        <v>1462.9503881133</v>
      </c>
      <c r="AE90" s="89"/>
      <c r="AF90" s="88"/>
    </row>
    <row r="91" customFormat="false" ht="16.5" hidden="false" customHeight="true" outlineLevel="0" collapsed="false">
      <c r="AA91" s="86" t="s">
        <v>78</v>
      </c>
      <c r="AB91" s="87" t="n">
        <f aca="false">D60</f>
        <v>1319.6697</v>
      </c>
      <c r="AC91" s="86" t="s">
        <v>88</v>
      </c>
      <c r="AD91" s="88" t="n">
        <f aca="false">F62</f>
        <v>1319.6697</v>
      </c>
      <c r="AE91" s="90"/>
      <c r="AF91" s="88"/>
    </row>
    <row r="93" customFormat="false" ht="14.25" hidden="false" customHeight="true" outlineLevel="0" collapsed="false">
      <c r="AA93" s="94" t="s">
        <v>89</v>
      </c>
      <c r="AB93" s="95" t="n">
        <f aca="false">+SUM(AB79:AB91)</f>
        <v>315498.223877223</v>
      </c>
      <c r="AC93" s="94" t="s">
        <v>90</v>
      </c>
      <c r="AD93" s="96" t="n">
        <f aca="false">+SUM(AD79:AD91)</f>
        <v>18441.851974678</v>
      </c>
      <c r="AE93" s="89"/>
      <c r="AF93" s="95" t="n">
        <f aca="false">+SUM(AF79:AF86)</f>
        <v>297056.371899802</v>
      </c>
    </row>
    <row r="95" customFormat="false" ht="14.25" hidden="false" customHeight="true" outlineLevel="0" collapsed="false">
      <c r="AA95" s="97" t="s">
        <v>92</v>
      </c>
      <c r="AB95" s="98"/>
      <c r="AC95" s="99"/>
      <c r="AD95" s="98"/>
      <c r="AE95" s="100" t="n">
        <f aca="false">+AB93-AD93-AF93</f>
        <v>2.74309422820807E-006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39FD91F-6115-43BF-87EC-DD534EC37724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L12</xm:sqref>
        </x14:conditionalFormatting>
        <x14:conditionalFormatting xmlns:xm="http://schemas.microsoft.com/office/excel/2006/main">
          <x14:cfRule type="iconSet" priority="3" id="{D3883F54-6BD8-4E2E-B71A-BDCE3742D12B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L24</xm:sqref>
        </x14:conditionalFormatting>
        <x14:conditionalFormatting xmlns:xm="http://schemas.microsoft.com/office/excel/2006/main">
          <x14:cfRule type="iconSet" priority="4" id="{20198070-5F96-4C77-9974-626295BA4040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5" id="{8B39F651-2DAD-4E55-8777-A93325A96F8C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L44</xm:sqref>
        </x14:conditionalFormatting>
        <x14:conditionalFormatting xmlns:xm="http://schemas.microsoft.com/office/excel/2006/main">
          <x14:cfRule type="iconSet" priority="6" id="{B8C5C937-7667-4146-9130-4E7C9C90E8FE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L54</xm:sqref>
        </x14:conditionalFormatting>
        <x14:conditionalFormatting xmlns:xm="http://schemas.microsoft.com/office/excel/2006/main">
          <x14:cfRule type="iconSet" priority="7" id="{83E9B0E4-509F-4000-8E20-EDF5256089B3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AD71</xm:sqref>
        </x14:conditionalFormatting>
        <x14:conditionalFormatting xmlns:xm="http://schemas.microsoft.com/office/excel/2006/main">
          <x14:cfRule type="iconSet" priority="8" id="{8ED08029-3253-4935-A9DF-3C4150E086C5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L61</xm:sqref>
        </x14:conditionalFormatting>
        <x14:conditionalFormatting xmlns:xm="http://schemas.microsoft.com/office/excel/2006/main">
          <x14:cfRule type="iconSet" priority="9" id="{8F7414E0-6016-43F9-8B50-34D011C020B3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10" id="{9B7CE269-E58B-4145-A5FB-F29C2310C477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L70</xm:sqref>
        </x14:conditionalFormatting>
        <x14:conditionalFormatting xmlns:xm="http://schemas.microsoft.com/office/excel/2006/main">
          <x14:cfRule type="iconSet" priority="11" id="{E79BED40-8971-422D-86F5-1E978DC3424E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L62</xm:sqref>
        </x14:conditionalFormatting>
        <x14:conditionalFormatting xmlns:xm="http://schemas.microsoft.com/office/excel/2006/main">
          <x14:cfRule type="iconSet" priority="12" id="{6BDBD18D-206C-469C-B5FD-667C9744E82A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L55</xm:sqref>
        </x14:conditionalFormatting>
        <x14:conditionalFormatting xmlns:xm="http://schemas.microsoft.com/office/excel/2006/main">
          <x14:cfRule type="iconSet" priority="13" id="{98A89BB4-149A-4DBF-8DD2-707E57505FE2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L45</xm:sqref>
        </x14:conditionalFormatting>
        <x14:conditionalFormatting xmlns:xm="http://schemas.microsoft.com/office/excel/2006/main">
          <x14:cfRule type="iconSet" priority="14" id="{754AD3E7-24EE-4689-BBCC-35B861E096A7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15" id="{34F863DB-D898-492C-8E80-AD60704AC3A1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L25</xm:sqref>
        </x14:conditionalFormatting>
        <x14:conditionalFormatting xmlns:xm="http://schemas.microsoft.com/office/excel/2006/main">
          <x14:cfRule type="iconSet" priority="16" id="{A6C04F3E-F35E-4FED-B655-CFBA4BC96419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L76</xm:sqref>
        </x14:conditionalFormatting>
        <x14:conditionalFormatting xmlns:xm="http://schemas.microsoft.com/office/excel/2006/main">
          <x14:cfRule type="iconSet" priority="17" id="{946D10A7-F87A-4E25-8DA8-10DB8187FBF9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L77</xm:sqref>
        </x14:conditionalFormatting>
        <x14:conditionalFormatting xmlns:xm="http://schemas.microsoft.com/office/excel/2006/main">
          <x14:cfRule type="iconSet" priority="18" id="{6AE85F4B-44D7-46B6-B135-8E4F7C4AAF32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O61</xm:sqref>
        </x14:conditionalFormatting>
        <x14:conditionalFormatting xmlns:xm="http://schemas.microsoft.com/office/excel/2006/main">
          <x14:cfRule type="iconSet" priority="19" id="{FD144962-CA1A-431F-8BBC-908FBB33EBB2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O62</xm:sqref>
        </x14:conditionalFormatting>
        <x14:conditionalFormatting xmlns:xm="http://schemas.microsoft.com/office/excel/2006/main">
          <x14:cfRule type="iconSet" priority="20" id="{6E674EBC-41ED-4A18-A052-CD9F415A1562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AD93</xm:sqref>
        </x14:conditionalFormatting>
        <x14:conditionalFormatting xmlns:xm="http://schemas.microsoft.com/office/excel/2006/main">
          <x14:cfRule type="iconSet" priority="21" id="{84F3904D-52A2-47E6-96D2-D8A95A3AB930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</xm:sqref>
        </x14:conditionalFormatting>
        <x14:conditionalFormatting xmlns:xm="http://schemas.microsoft.com/office/excel/2006/main">
          <x14:cfRule type="iconSet" priority="22" id="{83498520-8BFC-4272-B050-9AE6EEC9E09E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23" id="{5B30A0BB-E11A-4833-81E4-2DC523589581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O9</xm:sqref>
        </x14:conditionalFormatting>
        <x14:conditionalFormatting xmlns:xm="http://schemas.microsoft.com/office/excel/2006/main">
          <x14:cfRule type="iconSet" priority="24" id="{A316B6AF-F017-48C4-A393-7A6CC787816F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25" id="{234C4012-F217-40F5-B4D0-8DF118247BB7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F39</xm:sqref>
        </x14:conditionalFormatting>
        <x14:conditionalFormatting xmlns:xm="http://schemas.microsoft.com/office/excel/2006/main">
          <x14:cfRule type="iconSet" priority="26" id="{139227B3-BA32-4481-9346-1349D5E464A1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F46</xm:sqref>
        </x14:conditionalFormatting>
        <x14:conditionalFormatting xmlns:xm="http://schemas.microsoft.com/office/excel/2006/main">
          <x14:cfRule type="iconSet" priority="27" id="{F960D68C-B8FC-4548-B689-F781B48B7577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F54</xm:sqref>
        </x14:conditionalFormatting>
        <x14:conditionalFormatting xmlns:xm="http://schemas.microsoft.com/office/excel/2006/main">
          <x14:cfRule type="iconSet" priority="28" id="{79E2C0C3-D03D-4B4A-B2B1-332060E0401E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F55</xm:sqref>
        </x14:conditionalFormatting>
        <x14:conditionalFormatting xmlns:xm="http://schemas.microsoft.com/office/excel/2006/main">
          <x14:cfRule type="iconSet" priority="29" id="{E03B7A45-6574-4EFA-A74C-7E7D60D87957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F47</xm:sqref>
        </x14:conditionalFormatting>
        <x14:conditionalFormatting xmlns:xm="http://schemas.microsoft.com/office/excel/2006/main">
          <x14:cfRule type="iconSet" priority="30" id="{FB8E1BF5-D1C4-4136-843D-56C95B7CF534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F40</xm:sqref>
        </x14:conditionalFormatting>
        <x14:conditionalFormatting xmlns:xm="http://schemas.microsoft.com/office/excel/2006/main">
          <x14:cfRule type="iconSet" priority="31" id="{A900B2B0-6ED2-475D-B9BE-4599CDA19716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F30</xm:sqref>
        </x14:conditionalFormatting>
        <x14:conditionalFormatting xmlns:xm="http://schemas.microsoft.com/office/excel/2006/main">
          <x14:cfRule type="iconSet" priority="32" id="{436A556A-AE64-4D57-8786-8AC1D090D7E2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F61</xm:sqref>
        </x14:conditionalFormatting>
        <x14:conditionalFormatting xmlns:xm="http://schemas.microsoft.com/office/excel/2006/main">
          <x14:cfRule type="iconSet" priority="33" id="{7DBB6880-77E9-4F31-BA74-E0844110B71A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82"/>
  <sheetViews>
    <sheetView showFormulas="false" showGridLines="true" showRowColHeaders="true" showZeros="true" rightToLeft="false" tabSelected="false" showOutlineSymbols="true" defaultGridColor="true" view="pageBreakPreview" topLeftCell="F1" colorId="64" zoomScale="100" zoomScaleNormal="65" zoomScalePageLayoutView="100" workbookViewId="0">
      <selection pane="topLeft" activeCell="G8" activeCellId="0" sqref="G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30.33"/>
    <col collapsed="false" customWidth="true" hidden="false" outlineLevel="0" max="4" min="3" style="0" width="13.16"/>
    <col collapsed="false" customWidth="true" hidden="false" outlineLevel="0" max="5" min="5" style="0" width="13.34"/>
    <col collapsed="false" customWidth="true" hidden="false" outlineLevel="0" max="6" min="6" style="0" width="12"/>
    <col collapsed="false" customWidth="true" hidden="false" outlineLevel="0" max="7" min="7" style="0" width="30.51"/>
    <col collapsed="false" customWidth="true" hidden="false" outlineLevel="0" max="8" min="8" style="0" width="15.51"/>
    <col collapsed="false" customWidth="true" hidden="false" outlineLevel="0" max="9" min="9" style="0" width="13.5"/>
    <col collapsed="false" customWidth="true" hidden="false" outlineLevel="0" max="10" min="10" style="0" width="12.33"/>
    <col collapsed="false" customWidth="true" hidden="false" outlineLevel="0" max="11" min="11" style="0" width="5"/>
    <col collapsed="false" customWidth="true" hidden="false" outlineLevel="0" max="12" min="12" style="0" width="11.5"/>
    <col collapsed="false" customWidth="true" hidden="false" outlineLevel="0" max="14" min="13" style="0" width="14.16"/>
    <col collapsed="false" customWidth="true" hidden="false" outlineLevel="0" max="15" min="15" style="0" width="5.83"/>
    <col collapsed="false" customWidth="true" hidden="false" outlineLevel="0" max="16" min="16" style="0" width="15.16"/>
    <col collapsed="false" customWidth="true" hidden="false" outlineLevel="0" max="17" min="17" style="0" width="15.51"/>
    <col collapsed="false" customWidth="true" hidden="false" outlineLevel="0" max="18" min="18" style="0" width="19.16"/>
    <col collapsed="false" customWidth="true" hidden="false" outlineLevel="0" max="19" min="19" style="0" width="5.83"/>
    <col collapsed="false" customWidth="true" hidden="false" outlineLevel="0" max="20" min="20" style="0" width="16.33"/>
  </cols>
  <sheetData>
    <row r="2" customFormat="false" ht="19.5" hidden="false" customHeight="true" outlineLevel="0" collapsed="false">
      <c r="B2" s="107" t="s">
        <v>94</v>
      </c>
      <c r="C2" s="107"/>
      <c r="D2" s="107"/>
      <c r="E2" s="107"/>
      <c r="G2" s="107" t="s">
        <v>95</v>
      </c>
      <c r="H2" s="107"/>
      <c r="I2" s="107"/>
      <c r="J2" s="107"/>
      <c r="L2" s="108" t="s">
        <v>96</v>
      </c>
      <c r="M2" s="108"/>
      <c r="N2" s="108"/>
      <c r="P2" s="109" t="s">
        <v>97</v>
      </c>
      <c r="Q2" s="110" t="s">
        <v>98</v>
      </c>
      <c r="R2" s="110" t="s">
        <v>99</v>
      </c>
      <c r="T2" s="111" t="s">
        <v>100</v>
      </c>
    </row>
    <row r="3" customFormat="false" ht="18.75" hidden="false" customHeight="false" outlineLevel="0" collapsed="false">
      <c r="B3" s="112" t="s">
        <v>101</v>
      </c>
      <c r="C3" s="112" t="s">
        <v>1</v>
      </c>
      <c r="D3" s="112" t="s">
        <v>102</v>
      </c>
      <c r="E3" s="112" t="s">
        <v>103</v>
      </c>
      <c r="G3" s="112" t="s">
        <v>101</v>
      </c>
      <c r="H3" s="112" t="s">
        <v>1</v>
      </c>
      <c r="I3" s="112" t="s">
        <v>102</v>
      </c>
      <c r="J3" s="112" t="s">
        <v>103</v>
      </c>
      <c r="L3" s="113" t="s">
        <v>104</v>
      </c>
      <c r="M3" s="113" t="s">
        <v>105</v>
      </c>
      <c r="N3" s="113" t="s">
        <v>106</v>
      </c>
      <c r="P3" s="114"/>
      <c r="Q3" s="114"/>
      <c r="R3" s="114"/>
      <c r="T3" s="114"/>
    </row>
    <row r="4" customFormat="false" ht="21" hidden="false" customHeight="false" outlineLevel="0" collapsed="false">
      <c r="B4" s="115" t="s">
        <v>4</v>
      </c>
      <c r="C4" s="116" t="n">
        <f aca="false">Utilidad!A1</f>
        <v>7094</v>
      </c>
      <c r="D4" s="117" t="n">
        <f aca="false">IF(Utilidad!C$46&gt;1,Utilidad!C1/100,Utilidad!C1)</f>
        <v>0.5953</v>
      </c>
      <c r="E4" s="117" t="n">
        <f aca="false">IF(Utilidad!$E$46&gt;1,Utilidad!E1/100,Utilidad!E1)</f>
        <v>0.586</v>
      </c>
      <c r="G4" s="115" t="s">
        <v>4</v>
      </c>
      <c r="H4" s="116" t="n">
        <f aca="false">Utilidad!B1</f>
        <v>7094</v>
      </c>
      <c r="I4" s="117" t="n">
        <f aca="false">IF(Utilidad!$D$46&gt;1,Utilidad!D1/100,Utilidad!D1)</f>
        <v>0.5868600372</v>
      </c>
      <c r="J4" s="117" t="n">
        <f aca="false">IF(Utilidad!$F$46&gt;1,Utilidad!F1/100,Utilidad!F1)</f>
        <v>0.57769188953</v>
      </c>
      <c r="L4" s="118" t="n">
        <f aca="false">+IF(C4&lt;&gt;0,(H4-C4)/C4,ABS(H4-C4))</f>
        <v>0</v>
      </c>
      <c r="M4" s="118" t="n">
        <f aca="false">+IF(D4&lt;&gt;0,(I4-D4)/D4,0)</f>
        <v>-0.0141776630270452</v>
      </c>
      <c r="N4" s="118" t="n">
        <f aca="false">+IF(E4&lt;&gt;0,(J4-E4)/E4,0)</f>
        <v>-0.0141776629180888</v>
      </c>
      <c r="P4" s="117" t="n">
        <f aca="false">+IF(L4&lt;&gt;"",ABS(L4),0)</f>
        <v>0</v>
      </c>
      <c r="Q4" s="117" t="n">
        <f aca="false">+IF(L4&lt;&gt;"",ABS(M4),0)</f>
        <v>0.0141776630270452</v>
      </c>
      <c r="R4" s="117" t="n">
        <f aca="false">+IF(M4&lt;&gt;"",ABS(N4),0)</f>
        <v>0.0141776629180888</v>
      </c>
      <c r="T4" s="119" t="str">
        <f aca="false">IF(J4&lt;=I4,"SI","NO")</f>
        <v>SI</v>
      </c>
    </row>
    <row r="5" customFormat="false" ht="21" hidden="false" customHeight="false" outlineLevel="0" collapsed="false">
      <c r="B5" s="115" t="s">
        <v>5</v>
      </c>
      <c r="C5" s="116" t="n">
        <f aca="false">Utilidad!A2</f>
        <v>1710</v>
      </c>
      <c r="D5" s="117" t="n">
        <f aca="false">IF(Utilidad!C$46&gt;1,Utilidad!C2/100,Utilidad!C2)</f>
        <v>0.5953</v>
      </c>
      <c r="E5" s="117" t="n">
        <f aca="false">IF(Utilidad!$E$46&gt;1,Utilidad!E2/100,Utilidad!E2)</f>
        <v>0.586</v>
      </c>
      <c r="G5" s="115" t="s">
        <v>5</v>
      </c>
      <c r="H5" s="116" t="n">
        <f aca="false">Utilidad!B2</f>
        <v>1763.84</v>
      </c>
      <c r="I5" s="117" t="n">
        <f aca="false">IF(Utilidad!$D$46&gt;1,Utilidad!D2/100,Utilidad!D2)</f>
        <v>0.59733407839</v>
      </c>
      <c r="J5" s="117" t="n">
        <f aca="false">IF(Utilidad!$F$46&gt;1,Utilidad!F2/100,Utilidad!F2)</f>
        <v>0.58800230152</v>
      </c>
      <c r="L5" s="118" t="n">
        <f aca="false">+IF(C5&lt;&gt;0,(H5-C5)/C5,ABS(H5-C5))</f>
        <v>0.031485380116959</v>
      </c>
      <c r="M5" s="118" t="n">
        <f aca="false">+IF(D5&lt;&gt;0,(I5-D5)/D5,0)</f>
        <v>0.00341689633798071</v>
      </c>
      <c r="N5" s="118" t="n">
        <f aca="false">+IF(E5&lt;&gt;0,(J5-E5)/E5,0)</f>
        <v>0.00341689679180892</v>
      </c>
      <c r="P5" s="117" t="n">
        <f aca="false">+IF(L5&lt;&gt;"",ABS(L5),0)</f>
        <v>0.031485380116959</v>
      </c>
      <c r="Q5" s="117" t="n">
        <f aca="false">+IF(L5&lt;&gt;"",ABS(M5),0)</f>
        <v>0.00341689633798071</v>
      </c>
      <c r="R5" s="117" t="n">
        <f aca="false">+IF(M5&lt;&gt;"",ABS(N5),0)</f>
        <v>0.00341689679180892</v>
      </c>
      <c r="T5" s="119" t="str">
        <f aca="false">IF(J5&lt;=I5,"SI","NO")</f>
        <v>SI</v>
      </c>
    </row>
    <row r="6" customFormat="false" ht="21" hidden="false" customHeight="false" outlineLevel="0" collapsed="false">
      <c r="B6" s="115" t="s">
        <v>6</v>
      </c>
      <c r="C6" s="116" t="n">
        <f aca="false">Utilidad!A3</f>
        <v>5384</v>
      </c>
      <c r="D6" s="117" t="n">
        <f aca="false">IF(Utilidad!C$46&gt;1,Utilidad!C3/100,Utilidad!C3)</f>
        <v>0.5953</v>
      </c>
      <c r="E6" s="117" t="n">
        <f aca="false">IF(Utilidad!$E$46&gt;1,Utilidad!E3/100,Utilidad!E3)</f>
        <v>0.586</v>
      </c>
      <c r="G6" s="115" t="s">
        <v>6</v>
      </c>
      <c r="H6" s="116" t="n">
        <f aca="false">Utilidad!B3</f>
        <v>5330.16</v>
      </c>
      <c r="I6" s="117" t="n">
        <f aca="false">IF(Utilidad!$D$46&gt;1,Utilidad!D3/100,Utilidad!D3)</f>
        <v>0.583394</v>
      </c>
      <c r="J6" s="117" t="n">
        <f aca="false">IF(Utilidad!$F$46&gt;1,Utilidad!F3/100,Utilidad!F3)</f>
        <v>0.57428</v>
      </c>
      <c r="L6" s="118" t="n">
        <f aca="false">+IF(C6&lt;&gt;0,(H6-C6)/C6,ABS(H6-C6))</f>
        <v>-0.01</v>
      </c>
      <c r="M6" s="118" t="n">
        <f aca="false">+IF(D6&lt;&gt;0,(I6-D6)/D6,0)</f>
        <v>-0.0200000000000001</v>
      </c>
      <c r="N6" s="118" t="n">
        <f aca="false">+IF(E6&lt;&gt;0,(J6-E6)/E6,0)</f>
        <v>-0.0199999999999999</v>
      </c>
      <c r="P6" s="117" t="n">
        <f aca="false">+IF(L6&lt;&gt;"",ABS(L6),0)</f>
        <v>0.01</v>
      </c>
      <c r="Q6" s="117" t="n">
        <f aca="false">+IF(L6&lt;&gt;"",ABS(M6),0)</f>
        <v>0.0200000000000001</v>
      </c>
      <c r="R6" s="117" t="n">
        <f aca="false">+IF(M6&lt;&gt;"",ABS(N6),0)</f>
        <v>0.0199999999999999</v>
      </c>
      <c r="T6" s="119" t="str">
        <f aca="false">IF(J6&lt;=I6,"SI","NO")</f>
        <v>SI</v>
      </c>
    </row>
    <row r="7" customFormat="false" ht="21" hidden="false" customHeight="false" outlineLevel="0" collapsed="false">
      <c r="B7" s="115" t="s">
        <v>7</v>
      </c>
      <c r="C7" s="116" t="n">
        <f aca="false">Utilidad!A4</f>
        <v>8329</v>
      </c>
      <c r="D7" s="117" t="n">
        <f aca="false">IF(Utilidad!C$46&gt;1,Utilidad!C4/100,Utilidad!C4)</f>
        <v>0.4313</v>
      </c>
      <c r="E7" s="117" t="n">
        <f aca="false">IF(Utilidad!$E$46&gt;1,Utilidad!E4/100,Utilidad!E4)</f>
        <v>0.4081</v>
      </c>
      <c r="G7" s="115" t="s">
        <v>7</v>
      </c>
      <c r="H7" s="116" t="n">
        <f aca="false">Utilidad!B4</f>
        <v>8329</v>
      </c>
      <c r="I7" s="117" t="n">
        <f aca="false">IF(Utilidad!$D$46&gt;1,Utilidad!D4/100,Utilidad!D4)</f>
        <v>0.42611354513</v>
      </c>
      <c r="J7" s="117" t="n">
        <f aca="false">IF(Utilidad!$F$46&gt;1,Utilidad!F4/100,Utilidad!F4)</f>
        <v>0.40319905361</v>
      </c>
      <c r="L7" s="118" t="n">
        <f aca="false">+IF(C7&lt;&gt;0,(H7-C7)/C7,ABS(H7-C7))</f>
        <v>0</v>
      </c>
      <c r="M7" s="118" t="n">
        <f aca="false">+IF(D7&lt;&gt;0,(I7-D7)/D7,0)</f>
        <v>-0.0120251677950383</v>
      </c>
      <c r="N7" s="118" t="n">
        <f aca="false">+IF(E7&lt;&gt;0,(J7-E7)/E7,0)</f>
        <v>-0.0120091800784123</v>
      </c>
      <c r="P7" s="117" t="n">
        <f aca="false">+IF(L7&lt;&gt;"",ABS(L7),0)</f>
        <v>0</v>
      </c>
      <c r="Q7" s="117" t="n">
        <f aca="false">+IF(L7&lt;&gt;"",ABS(M7),0)</f>
        <v>0.0120251677950383</v>
      </c>
      <c r="R7" s="117" t="n">
        <f aca="false">+IF(M7&lt;&gt;"",ABS(N7),0)</f>
        <v>0.0120091800784123</v>
      </c>
      <c r="T7" s="119" t="str">
        <f aca="false">IF(J7&lt;=I7,"SI","NO")</f>
        <v>SI</v>
      </c>
    </row>
    <row r="8" customFormat="false" ht="21" hidden="false" customHeight="false" outlineLevel="0" collapsed="false">
      <c r="B8" s="115" t="s">
        <v>8</v>
      </c>
      <c r="C8" s="116" t="n">
        <f aca="false">Utilidad!A5</f>
        <v>2720</v>
      </c>
      <c r="D8" s="117" t="n">
        <f aca="false">IF(Utilidad!C$46&gt;1,Utilidad!C5/100,Utilidad!C5)</f>
        <v>0.4313</v>
      </c>
      <c r="E8" s="117" t="n">
        <f aca="false">IF(Utilidad!$E$46&gt;1,Utilidad!E5/100,Utilidad!E5)</f>
        <v>0.4081</v>
      </c>
      <c r="G8" s="115" t="s">
        <v>8</v>
      </c>
      <c r="H8" s="116" t="n">
        <f aca="false">Utilidad!B5</f>
        <v>2776.09</v>
      </c>
      <c r="I8" s="117" t="n">
        <f aca="false">IF(Utilidad!$D$46&gt;1,Utilidad!D5/100,Utilidad!D5)</f>
        <v>0.43299353986</v>
      </c>
      <c r="J8" s="117" t="n">
        <f aca="false">IF(Utilidad!$F$46&gt;1,Utilidad!F5/100,Utilidad!F5)</f>
        <v>0.40972201837</v>
      </c>
      <c r="L8" s="118" t="n">
        <f aca="false">+IF(C8&lt;&gt;0,(H8-C8)/C8,ABS(H8-C8))</f>
        <v>0.0206213235294118</v>
      </c>
      <c r="M8" s="118" t="n">
        <f aca="false">+IF(D8&lt;&gt;0,(I8-D8)/D8,0)</f>
        <v>0.00392659369348477</v>
      </c>
      <c r="N8" s="118" t="n">
        <f aca="false">+IF(E8&lt;&gt;0,(J8-E8)/E8,0)</f>
        <v>0.00397456106346478</v>
      </c>
      <c r="P8" s="117" t="n">
        <f aca="false">+IF(L8&lt;&gt;"",ABS(L8),0)</f>
        <v>0.0206213235294118</v>
      </c>
      <c r="Q8" s="117" t="n">
        <f aca="false">+IF(L8&lt;&gt;"",ABS(M8),0)</f>
        <v>0.00392659369348477</v>
      </c>
      <c r="R8" s="117" t="n">
        <f aca="false">+IF(M8&lt;&gt;"",ABS(N8),0)</f>
        <v>0.00397456106346478</v>
      </c>
      <c r="T8" s="119" t="str">
        <f aca="false">IF(J8&lt;=I8,"SI","NO")</f>
        <v>SI</v>
      </c>
    </row>
    <row r="9" customFormat="false" ht="21" hidden="false" customHeight="false" outlineLevel="0" collapsed="false">
      <c r="B9" s="115" t="s">
        <v>9</v>
      </c>
      <c r="C9" s="116" t="n">
        <f aca="false">Utilidad!A6</f>
        <v>5609</v>
      </c>
      <c r="D9" s="117" t="n">
        <f aca="false">IF(Utilidad!C$46&gt;1,Utilidad!C6/100,Utilidad!C6)</f>
        <v>0.4313</v>
      </c>
      <c r="E9" s="117" t="n">
        <f aca="false">IF(Utilidad!$E$46&gt;1,Utilidad!E6/100,Utilidad!E6)</f>
        <v>0.4081</v>
      </c>
      <c r="G9" s="115" t="s">
        <v>9</v>
      </c>
      <c r="H9" s="116" t="n">
        <f aca="false">Utilidad!B6</f>
        <v>5552.91</v>
      </c>
      <c r="I9" s="117" t="n">
        <f aca="false">IF(Utilidad!$D$46&gt;1,Utilidad!D6/100,Utilidad!D6)</f>
        <v>0.422674</v>
      </c>
      <c r="J9" s="117" t="n">
        <f aca="false">IF(Utilidad!$F$46&gt;1,Utilidad!F6/100,Utilidad!F6)</f>
        <v>0.399938</v>
      </c>
      <c r="L9" s="118" t="n">
        <f aca="false">+IF(C9&lt;&gt;0,(H9-C9)/C9,ABS(H9-C9))</f>
        <v>-0.01</v>
      </c>
      <c r="M9" s="118" t="n">
        <f aca="false">+IF(D9&lt;&gt;0,(I9-D9)/D9,0)</f>
        <v>-0.0200000000000001</v>
      </c>
      <c r="N9" s="118" t="n">
        <f aca="false">+IF(E9&lt;&gt;0,(J9-E9)/E9,0)</f>
        <v>-0.02</v>
      </c>
      <c r="P9" s="117" t="n">
        <f aca="false">+IF(L9&lt;&gt;"",ABS(L9),0)</f>
        <v>0.01</v>
      </c>
      <c r="Q9" s="117" t="n">
        <f aca="false">+IF(L9&lt;&gt;"",ABS(M9),0)</f>
        <v>0.0200000000000001</v>
      </c>
      <c r="R9" s="117" t="n">
        <f aca="false">+IF(M9&lt;&gt;"",ABS(N9),0)</f>
        <v>0.02</v>
      </c>
      <c r="T9" s="119" t="str">
        <f aca="false">IF(J9&lt;=I9,"SI","NO")</f>
        <v>SI</v>
      </c>
    </row>
    <row r="10" customFormat="false" ht="21" hidden="false" customHeight="false" outlineLevel="0" collapsed="false">
      <c r="B10" s="115" t="s">
        <v>10</v>
      </c>
      <c r="C10" s="116" t="n">
        <f aca="false">Utilidad!A7</f>
        <v>9517</v>
      </c>
      <c r="D10" s="117" t="n">
        <f aca="false">IF(Utilidad!C$46&gt;1,Utilidad!C7/100,Utilidad!C7)</f>
        <v>0.49</v>
      </c>
      <c r="E10" s="117" t="n">
        <f aca="false">IF(Utilidad!$E$46&gt;1,Utilidad!E7/100,Utilidad!E7)</f>
        <v>0.4735</v>
      </c>
      <c r="G10" s="115" t="s">
        <v>10</v>
      </c>
      <c r="H10" s="116" t="n">
        <f aca="false">Utilidad!B7</f>
        <v>9517</v>
      </c>
      <c r="I10" s="117" t="n">
        <f aca="false">IF(Utilidad!$D$46&gt;1,Utilidad!D7/100,Utilidad!D7)</f>
        <v>0.48923527985</v>
      </c>
      <c r="J10" s="117" t="n">
        <f aca="false">IF(Utilidad!$F$46&gt;1,Utilidad!F7/100,Utilidad!F7)</f>
        <v>0.47276103064</v>
      </c>
      <c r="L10" s="118" t="n">
        <f aca="false">+IF(C10&lt;&gt;0,(H10-C10)/C10,ABS(H10-C10))</f>
        <v>0</v>
      </c>
      <c r="M10" s="118" t="n">
        <f aca="false">+IF(D10&lt;&gt;0,(I10-D10)/D10,0)</f>
        <v>-0.00156065336734696</v>
      </c>
      <c r="N10" s="118" t="n">
        <f aca="false">+IF(E10&lt;&gt;0,(J10-E10)/E10,0)</f>
        <v>-0.00156065334741302</v>
      </c>
      <c r="P10" s="117" t="n">
        <f aca="false">+IF(L10&lt;&gt;"",ABS(L10),0)</f>
        <v>0</v>
      </c>
      <c r="Q10" s="117" t="n">
        <f aca="false">+IF(L10&lt;&gt;"",ABS(M10),0)</f>
        <v>0.00156065336734696</v>
      </c>
      <c r="R10" s="117" t="n">
        <f aca="false">+IF(M10&lt;&gt;"",ABS(N10),0)</f>
        <v>0.00156065334741302</v>
      </c>
      <c r="T10" s="119" t="str">
        <f aca="false">IF(J10&lt;=I10,"SI","NO")</f>
        <v>SI</v>
      </c>
    </row>
    <row r="11" customFormat="false" ht="21" hidden="false" customHeight="false" outlineLevel="0" collapsed="false">
      <c r="B11" s="115" t="s">
        <v>11</v>
      </c>
      <c r="C11" s="116" t="n">
        <f aca="false">Utilidad!A8</f>
        <v>8208</v>
      </c>
      <c r="D11" s="117" t="n">
        <f aca="false">IF(Utilidad!C$46&gt;1,Utilidad!C8/100,Utilidad!C8)</f>
        <v>0.49</v>
      </c>
      <c r="E11" s="117" t="n">
        <f aca="false">IF(Utilidad!$E$46&gt;1,Utilidad!E8/100,Utilidad!E8)</f>
        <v>0.4735</v>
      </c>
      <c r="G11" s="115" t="s">
        <v>11</v>
      </c>
      <c r="H11" s="116" t="n">
        <f aca="false">Utilidad!B8</f>
        <v>8221.09</v>
      </c>
      <c r="I11" s="117" t="n">
        <f aca="false">IF(Utilidad!$D$46&gt;1,Utilidad!D8/100,Utilidad!D8)</f>
        <v>0.49065953254</v>
      </c>
      <c r="J11" s="117" t="n">
        <f aca="false">IF(Utilidad!$F$46&gt;1,Utilidad!F8/100,Utilidad!F8)</f>
        <v>0.4741373238</v>
      </c>
      <c r="L11" s="118" t="n">
        <f aca="false">+IF(C11&lt;&gt;0,(H11-C11)/C11,ABS(H11-C11))</f>
        <v>0.00159478557504875</v>
      </c>
      <c r="M11" s="118" t="n">
        <f aca="false">+IF(D11&lt;&gt;0,(I11-D11)/D11,0)</f>
        <v>0.00134598477551022</v>
      </c>
      <c r="N11" s="118" t="n">
        <f aca="false">+IF(E11&lt;&gt;0,(J11-E11)/E11,0)</f>
        <v>0.00134598479408654</v>
      </c>
      <c r="P11" s="117" t="n">
        <f aca="false">+IF(L11&lt;&gt;"",ABS(L11),0)</f>
        <v>0.00159478557504875</v>
      </c>
      <c r="Q11" s="117" t="n">
        <f aca="false">+IF(L11&lt;&gt;"",ABS(M11),0)</f>
        <v>0.00134598477551022</v>
      </c>
      <c r="R11" s="117" t="n">
        <f aca="false">+IF(M11&lt;&gt;"",ABS(N11),0)</f>
        <v>0.00134598479408654</v>
      </c>
      <c r="T11" s="119" t="str">
        <f aca="false">IF(J11&lt;=I11,"SI","NO")</f>
        <v>SI</v>
      </c>
    </row>
    <row r="12" customFormat="false" ht="21" hidden="false" customHeight="false" outlineLevel="0" collapsed="false">
      <c r="B12" s="115" t="s">
        <v>12</v>
      </c>
      <c r="C12" s="116" t="n">
        <f aca="false">Utilidad!A9</f>
        <v>1309</v>
      </c>
      <c r="D12" s="117" t="n">
        <f aca="false">IF(Utilidad!C$46&gt;1,Utilidad!C9/100,Utilidad!C9)</f>
        <v>0.49</v>
      </c>
      <c r="E12" s="117" t="n">
        <f aca="false">IF(Utilidad!$E$46&gt;1,Utilidad!E9/100,Utilidad!E9)</f>
        <v>0.4735</v>
      </c>
      <c r="G12" s="115" t="s">
        <v>12</v>
      </c>
      <c r="H12" s="116" t="n">
        <f aca="false">Utilidad!B9</f>
        <v>1295.91</v>
      </c>
      <c r="I12" s="117" t="n">
        <f aca="false">IF(Utilidad!$D$46&gt;1,Utilidad!D9/100,Utilidad!D9)</f>
        <v>0.4802</v>
      </c>
      <c r="J12" s="117" t="n">
        <f aca="false">IF(Utilidad!$F$46&gt;1,Utilidad!F9/100,Utilidad!F9)</f>
        <v>0.46403</v>
      </c>
      <c r="L12" s="118" t="n">
        <f aca="false">+IF(C12&lt;&gt;0,(H12-C12)/C12,ABS(H12-C12))</f>
        <v>-0.00999999999999994</v>
      </c>
      <c r="M12" s="118" t="n">
        <f aca="false">+IF(D12&lt;&gt;0,(I12-D12)/D12,0)</f>
        <v>-0.02</v>
      </c>
      <c r="N12" s="118" t="n">
        <f aca="false">+IF(E12&lt;&gt;0,(J12-E12)/E12,0)</f>
        <v>-0.0200000000000001</v>
      </c>
      <c r="P12" s="117" t="n">
        <f aca="false">+IF(L12&lt;&gt;"",ABS(L12),0)</f>
        <v>0.00999999999999994</v>
      </c>
      <c r="Q12" s="117" t="n">
        <f aca="false">+IF(L12&lt;&gt;"",ABS(M12),0)</f>
        <v>0.02</v>
      </c>
      <c r="R12" s="117" t="n">
        <f aca="false">+IF(M12&lt;&gt;"",ABS(N12),0)</f>
        <v>0.0200000000000001</v>
      </c>
      <c r="T12" s="119" t="str">
        <f aca="false">IF(J12&lt;=I12,"SI","NO")</f>
        <v>SI</v>
      </c>
    </row>
    <row r="13" customFormat="false" ht="21" hidden="false" customHeight="false" outlineLevel="0" collapsed="false">
      <c r="B13" s="115" t="s">
        <v>13</v>
      </c>
      <c r="C13" s="116" t="n">
        <f aca="false">Utilidad!A10</f>
        <v>18376</v>
      </c>
      <c r="D13" s="117" t="n">
        <f aca="false">IF(Utilidad!C$46&gt;1,Utilidad!C10/100,Utilidad!C10)</f>
        <v>0.37</v>
      </c>
      <c r="E13" s="117" t="n">
        <f aca="false">IF(Utilidad!$E$46&gt;1,Utilidad!E10/100,Utilidad!E10)</f>
        <v>0.3525</v>
      </c>
      <c r="G13" s="115" t="s">
        <v>13</v>
      </c>
      <c r="H13" s="116" t="n">
        <f aca="false">Utilidad!B10</f>
        <v>18376</v>
      </c>
      <c r="I13" s="117" t="n">
        <f aca="false">IF(Utilidad!$D$46&gt;1,Utilidad!D10/100,Utilidad!D10)</f>
        <v>0.367928</v>
      </c>
      <c r="J13" s="117" t="n">
        <f aca="false">IF(Utilidad!$F$46&gt;1,Utilidad!F10/100,Utilidad!F10)</f>
        <v>0.35955</v>
      </c>
      <c r="L13" s="118" t="n">
        <f aca="false">+IF(C13&lt;&gt;0,(H13-C13)/C13,ABS(H13-C13))</f>
        <v>0</v>
      </c>
      <c r="M13" s="118" t="n">
        <f aca="false">+IF(D13&lt;&gt;0,(I13-D13)/D13,0)</f>
        <v>-0.00560000000000005</v>
      </c>
      <c r="N13" s="118" t="n">
        <f aca="false">+IF(E13&lt;&gt;0,(J13-E13)/E13,0)</f>
        <v>0.02</v>
      </c>
      <c r="P13" s="117" t="n">
        <f aca="false">+IF(L13&lt;&gt;"",ABS(L13),0)</f>
        <v>0</v>
      </c>
      <c r="Q13" s="117" t="n">
        <f aca="false">+IF(L13&lt;&gt;"",ABS(M13),0)</f>
        <v>0.00560000000000005</v>
      </c>
      <c r="R13" s="117" t="n">
        <f aca="false">+IF(M13&lt;&gt;"",ABS(N13),0)</f>
        <v>0.02</v>
      </c>
      <c r="T13" s="119" t="str">
        <f aca="false">IF(J13&lt;=I13,"SI","NO")</f>
        <v>SI</v>
      </c>
    </row>
    <row r="14" customFormat="false" ht="21" hidden="false" customHeight="false" outlineLevel="0" collapsed="false">
      <c r="B14" s="115" t="s">
        <v>14</v>
      </c>
      <c r="C14" s="116" t="n">
        <f aca="false">Utilidad!A11</f>
        <v>14271</v>
      </c>
      <c r="D14" s="117" t="n">
        <f aca="false">IF(Utilidad!C$46&gt;1,Utilidad!C11/100,Utilidad!C11)</f>
        <v>0.37</v>
      </c>
      <c r="E14" s="117" t="n">
        <f aca="false">IF(Utilidad!$E$46&gt;1,Utilidad!E11/100,Utilidad!E11)</f>
        <v>0.3525</v>
      </c>
      <c r="G14" s="115" t="s">
        <v>14</v>
      </c>
      <c r="H14" s="116" t="n">
        <f aca="false">Utilidad!B11</f>
        <v>14312.05</v>
      </c>
      <c r="I14" s="117" t="n">
        <f aca="false">IF(Utilidad!$D$46&gt;1,Utilidad!D11/100,Utilidad!D11)</f>
        <v>0.37194536751</v>
      </c>
      <c r="J14" s="117" t="n">
        <f aca="false">IF(Utilidad!$F$46&gt;1,Utilidad!F11/100,Utilidad!F11)</f>
        <v>0.36647561446</v>
      </c>
      <c r="L14" s="118" t="n">
        <f aca="false">+IF(C14&lt;&gt;0,(H14-C14)/C14,ABS(H14-C14))</f>
        <v>0.00287646275663929</v>
      </c>
      <c r="M14" s="118" t="n">
        <f aca="false">+IF(D14&lt;&gt;0,(I14-D14)/D14,0)</f>
        <v>0.00525775002702708</v>
      </c>
      <c r="N14" s="118" t="n">
        <f aca="false">+IF(E14&lt;&gt;0,(J14-E14)/E14,0)</f>
        <v>0.0396471332198582</v>
      </c>
      <c r="P14" s="117" t="n">
        <f aca="false">+IF(L14&lt;&gt;"",ABS(L14),0)</f>
        <v>0.00287646275663929</v>
      </c>
      <c r="Q14" s="117" t="n">
        <f aca="false">+IF(L14&lt;&gt;"",ABS(M14),0)</f>
        <v>0.00525775002702708</v>
      </c>
      <c r="R14" s="117" t="n">
        <f aca="false">+IF(M14&lt;&gt;"",ABS(N14),0)</f>
        <v>0.0396471332198582</v>
      </c>
      <c r="T14" s="119" t="str">
        <f aca="false">IF(J14&lt;=I14,"SI","NO")</f>
        <v>SI</v>
      </c>
    </row>
    <row r="15" customFormat="false" ht="21" hidden="false" customHeight="false" outlineLevel="0" collapsed="false">
      <c r="B15" s="115" t="s">
        <v>15</v>
      </c>
      <c r="C15" s="116" t="n">
        <f aca="false">Utilidad!A12</f>
        <v>4105</v>
      </c>
      <c r="D15" s="117" t="n">
        <f aca="false">IF(Utilidad!C$46&gt;1,Utilidad!C12/100,Utilidad!C12)</f>
        <v>0.361</v>
      </c>
      <c r="E15" s="117" t="n">
        <f aca="false">IF(Utilidad!$E$46&gt;1,Utilidad!E12/100,Utilidad!E12)</f>
        <v>0.342</v>
      </c>
      <c r="G15" s="115" t="s">
        <v>15</v>
      </c>
      <c r="H15" s="116" t="n">
        <f aca="false">Utilidad!B12</f>
        <v>4063.95</v>
      </c>
      <c r="I15" s="117" t="n">
        <f aca="false">IF(Utilidad!$D$46&gt;1,Utilidad!D12/100,Utilidad!D12)</f>
        <v>0.35378</v>
      </c>
      <c r="J15" s="117" t="n">
        <f aca="false">IF(Utilidad!$F$46&gt;1,Utilidad!F12/100,Utilidad!F12)</f>
        <v>0.33516</v>
      </c>
      <c r="L15" s="118" t="n">
        <f aca="false">+IF(C15&lt;&gt;0,(H15-C15)/C15,ABS(H15-C15))</f>
        <v>-0.01</v>
      </c>
      <c r="M15" s="118" t="n">
        <f aca="false">+IF(D15&lt;&gt;0,(I15-D15)/D15,0)</f>
        <v>-0.02</v>
      </c>
      <c r="N15" s="118" t="n">
        <f aca="false">+IF(E15&lt;&gt;0,(J15-E15)/E15,0)</f>
        <v>-0.0200000000000002</v>
      </c>
      <c r="P15" s="117" t="n">
        <f aca="false">+IF(L15&lt;&gt;"",ABS(L15),0)</f>
        <v>0.01</v>
      </c>
      <c r="Q15" s="117" t="n">
        <f aca="false">+IF(L15&lt;&gt;"",ABS(M15),0)</f>
        <v>0.02</v>
      </c>
      <c r="R15" s="117" t="n">
        <f aca="false">+IF(M15&lt;&gt;"",ABS(N15),0)</f>
        <v>0.0200000000000002</v>
      </c>
      <c r="T15" s="119" t="str">
        <f aca="false">IF(J15&lt;=I15,"SI","NO")</f>
        <v>SI</v>
      </c>
    </row>
    <row r="16" customFormat="false" ht="21" hidden="false" customHeight="false" outlineLevel="0" collapsed="false">
      <c r="B16" s="115" t="s">
        <v>16</v>
      </c>
      <c r="C16" s="116" t="n">
        <f aca="false">Utilidad!A13</f>
        <v>3933</v>
      </c>
      <c r="D16" s="117" t="n">
        <f aca="false">IF(Utilidad!C$46&gt;1,Utilidad!C13/100,Utilidad!C13)</f>
        <v>0.4959</v>
      </c>
      <c r="E16" s="117" t="n">
        <f aca="false">IF(Utilidad!$E$46&gt;1,Utilidad!E13/100,Utilidad!E13)</f>
        <v>0.4513</v>
      </c>
      <c r="G16" s="115" t="s">
        <v>16</v>
      </c>
      <c r="H16" s="116" t="n">
        <f aca="false">Utilidad!B13</f>
        <v>3933</v>
      </c>
      <c r="I16" s="117" t="n">
        <f aca="false">IF(Utilidad!$D$46&gt;1,Utilidad!D13/100,Utilidad!D13)</f>
        <v>0.49429762728</v>
      </c>
      <c r="J16" s="117" t="n">
        <f aca="false">IF(Utilidad!$F$46&gt;1,Utilidad!F13/100,Utilidad!F13)</f>
        <v>0.44984174073</v>
      </c>
      <c r="L16" s="118" t="n">
        <f aca="false">+IF(C16&lt;&gt;0,(H16-C16)/C16,ABS(H16-C16))</f>
        <v>0</v>
      </c>
      <c r="M16" s="118" t="n">
        <f aca="false">+IF(D16&lt;&gt;0,(I16-D16)/D16,0)</f>
        <v>-0.00323124162129466</v>
      </c>
      <c r="N16" s="118" t="n">
        <f aca="false">+IF(E16&lt;&gt;0,(J16-E16)/E16,0)</f>
        <v>-0.00323124145801028</v>
      </c>
      <c r="P16" s="117" t="n">
        <f aca="false">+IF(L16&lt;&gt;"",ABS(L16),0)</f>
        <v>0</v>
      </c>
      <c r="Q16" s="117" t="n">
        <f aca="false">+IF(L16&lt;&gt;"",ABS(M16),0)</f>
        <v>0.00323124162129466</v>
      </c>
      <c r="R16" s="117" t="n">
        <f aca="false">+IF(M16&lt;&gt;"",ABS(N16),0)</f>
        <v>0.00323124145801028</v>
      </c>
      <c r="T16" s="119" t="str">
        <f aca="false">IF(J16&lt;=I16,"SI","NO")</f>
        <v>SI</v>
      </c>
    </row>
    <row r="17" customFormat="false" ht="21" hidden="false" customHeight="false" outlineLevel="0" collapsed="false">
      <c r="B17" s="115" t="s">
        <v>17</v>
      </c>
      <c r="C17" s="116" t="n">
        <f aca="false">Utilidad!A14</f>
        <v>2933</v>
      </c>
      <c r="D17" s="117" t="n">
        <f aca="false">IF(Utilidad!C$46&gt;1,Utilidad!C14/100,Utilidad!C14)</f>
        <v>0.4959</v>
      </c>
      <c r="E17" s="117" t="n">
        <f aca="false">IF(Utilidad!$E$46&gt;1,Utilidad!E14/100,Utilidad!E14)</f>
        <v>0.4513</v>
      </c>
      <c r="G17" s="115" t="s">
        <v>17</v>
      </c>
      <c r="H17" s="116" t="n">
        <f aca="false">Utilidad!B14</f>
        <v>2943</v>
      </c>
      <c r="I17" s="117" t="n">
        <f aca="false">IF(Utilidad!$D$46&gt;1,Utilidad!D14/100,Utilidad!D14)</f>
        <v>0.4970949331</v>
      </c>
      <c r="J17" s="117" t="n">
        <f aca="false">IF(Utilidad!$F$46&gt;1,Utilidad!F14/100,Utilidad!F14)</f>
        <v>0.45238746392</v>
      </c>
      <c r="L17" s="118" t="n">
        <f aca="false">+IF(C17&lt;&gt;0,(H17-C17)/C17,ABS(H17-C17))</f>
        <v>0.00340947834981248</v>
      </c>
      <c r="M17" s="118" t="n">
        <f aca="false">+IF(D17&lt;&gt;0,(I17-D17)/D17,0)</f>
        <v>0.0024096251260334</v>
      </c>
      <c r="N17" s="118" t="n">
        <f aca="false">+IF(E17&lt;&gt;0,(J17-E17)/E17,0)</f>
        <v>0.00240962534899175</v>
      </c>
      <c r="P17" s="117" t="n">
        <f aca="false">+IF(L17&lt;&gt;"",ABS(L17),0)</f>
        <v>0.00340947834981248</v>
      </c>
      <c r="Q17" s="117" t="n">
        <f aca="false">+IF(L17&lt;&gt;"",ABS(M17),0)</f>
        <v>0.0024096251260334</v>
      </c>
      <c r="R17" s="117" t="n">
        <f aca="false">+IF(M17&lt;&gt;"",ABS(N17),0)</f>
        <v>0.00240962534899175</v>
      </c>
      <c r="T17" s="119" t="str">
        <f aca="false">IF(J17&lt;=I17,"SI","NO")</f>
        <v>SI</v>
      </c>
    </row>
    <row r="18" customFormat="false" ht="21" hidden="false" customHeight="false" outlineLevel="0" collapsed="false">
      <c r="B18" s="115" t="s">
        <v>18</v>
      </c>
      <c r="C18" s="116" t="n">
        <f aca="false">Utilidad!A15</f>
        <v>1000</v>
      </c>
      <c r="D18" s="117" t="n">
        <f aca="false">IF(Utilidad!C$46&gt;1,Utilidad!C15/100,Utilidad!C15)</f>
        <v>0.4959</v>
      </c>
      <c r="E18" s="117" t="n">
        <f aca="false">IF(Utilidad!$E$46&gt;1,Utilidad!E15/100,Utilidad!E15)</f>
        <v>0.4513</v>
      </c>
      <c r="G18" s="115" t="s">
        <v>18</v>
      </c>
      <c r="H18" s="116" t="n">
        <f aca="false">Utilidad!B15</f>
        <v>990</v>
      </c>
      <c r="I18" s="117" t="n">
        <f aca="false">IF(Utilidad!$D$46&gt;1,Utilidad!D15/100,Utilidad!D15)</f>
        <v>0.485982</v>
      </c>
      <c r="J18" s="117" t="n">
        <f aca="false">IF(Utilidad!$F$46&gt;1,Utilidad!F15/100,Utilidad!F15)</f>
        <v>0.442274</v>
      </c>
      <c r="L18" s="118" t="n">
        <f aca="false">+IF(C18&lt;&gt;0,(H18-C18)/C18,ABS(H18-C18))</f>
        <v>-0.01</v>
      </c>
      <c r="M18" s="118" t="n">
        <f aca="false">+IF(D18&lt;&gt;0,(I18-D18)/D18,0)</f>
        <v>-0.0200000000000001</v>
      </c>
      <c r="N18" s="118" t="n">
        <f aca="false">+IF(E18&lt;&gt;0,(J18-E18)/E18,0)</f>
        <v>-0.02</v>
      </c>
      <c r="P18" s="117" t="n">
        <f aca="false">+IF(L18&lt;&gt;"",ABS(L18),0)</f>
        <v>0.01</v>
      </c>
      <c r="Q18" s="117" t="n">
        <f aca="false">+IF(L18&lt;&gt;"",ABS(M18),0)</f>
        <v>0.0200000000000001</v>
      </c>
      <c r="R18" s="117" t="n">
        <f aca="false">+IF(M18&lt;&gt;"",ABS(N18),0)</f>
        <v>0.02</v>
      </c>
      <c r="T18" s="119" t="str">
        <f aca="false">IF(J18&lt;=I18,"SI","NO")</f>
        <v>SI</v>
      </c>
    </row>
    <row r="19" customFormat="false" ht="21" hidden="false" customHeight="false" outlineLevel="0" collapsed="false">
      <c r="B19" s="115" t="s">
        <v>19</v>
      </c>
      <c r="C19" s="116" t="n">
        <f aca="false">Utilidad!A16</f>
        <v>750</v>
      </c>
      <c r="D19" s="117" t="n">
        <f aca="false">IF(Utilidad!C$46&gt;1,Utilidad!C16/100,Utilidad!C16)</f>
        <v>0.4231</v>
      </c>
      <c r="E19" s="117" t="n">
        <f aca="false">IF(Utilidad!$E$46&gt;1,Utilidad!E16/100,Utilidad!E16)</f>
        <v>0.3796</v>
      </c>
      <c r="G19" s="115" t="s">
        <v>19</v>
      </c>
      <c r="H19" s="116" t="n">
        <f aca="false">Utilidad!B16</f>
        <v>750</v>
      </c>
      <c r="I19" s="117" t="n">
        <f aca="false">IF(Utilidad!$D$46&gt;1,Utilidad!D16/100,Utilidad!D16)</f>
        <v>0.414638</v>
      </c>
      <c r="J19" s="117" t="n">
        <f aca="false">IF(Utilidad!$F$46&gt;1,Utilidad!F16/100,Utilidad!F16)</f>
        <v>0.372008</v>
      </c>
      <c r="L19" s="118" t="n">
        <f aca="false">+IF(C19&lt;&gt;0,(H19-C19)/C19,ABS(H19-C19))</f>
        <v>0</v>
      </c>
      <c r="M19" s="118" t="n">
        <f aca="false">+IF(D19&lt;&gt;0,(I19-D19)/D19,0)</f>
        <v>-0.0200000000000001</v>
      </c>
      <c r="N19" s="118" t="n">
        <f aca="false">+IF(E19&lt;&gt;0,(J19-E19)/E19,0)</f>
        <v>-0.02</v>
      </c>
      <c r="P19" s="117" t="n">
        <f aca="false">+IF(L19&lt;&gt;"",ABS(L19),0)</f>
        <v>0</v>
      </c>
      <c r="Q19" s="117" t="n">
        <f aca="false">+IF(L19&lt;&gt;"",ABS(M19),0)</f>
        <v>0.0200000000000001</v>
      </c>
      <c r="R19" s="117" t="n">
        <f aca="false">+IF(M19&lt;&gt;"",ABS(N19),0)</f>
        <v>0.02</v>
      </c>
      <c r="T19" s="119" t="str">
        <f aca="false">IF(J19&lt;=I19,"SI","NO")</f>
        <v>SI</v>
      </c>
    </row>
    <row r="20" customFormat="false" ht="21" hidden="false" customHeight="false" outlineLevel="0" collapsed="false">
      <c r="B20" s="115" t="s">
        <v>20</v>
      </c>
      <c r="C20" s="116" t="n">
        <f aca="false">Utilidad!A17</f>
        <v>-250</v>
      </c>
      <c r="D20" s="117" t="n">
        <f aca="false">IF(Utilidad!C$46&gt;1,Utilidad!C17/100,Utilidad!C17)</f>
        <v>0.4231</v>
      </c>
      <c r="E20" s="117" t="n">
        <f aca="false">IF(Utilidad!$E$46&gt;1,Utilidad!E17/100,Utilidad!E17)</f>
        <v>0.3796</v>
      </c>
      <c r="G20" s="115" t="s">
        <v>20</v>
      </c>
      <c r="H20" s="116" t="n">
        <f aca="false">Utilidad!B17</f>
        <v>-240</v>
      </c>
      <c r="I20" s="117" t="n">
        <f aca="false">IF(Utilidad!$D$46&gt;1,Utilidad!D17/100,Utilidad!D17)</f>
        <v>0.414638</v>
      </c>
      <c r="J20" s="117" t="n">
        <f aca="false">IF(Utilidad!$F$46&gt;1,Utilidad!F17/100,Utilidad!F17)</f>
        <v>0.372008</v>
      </c>
      <c r="L20" s="118" t="n">
        <f aca="false">+IF(C20&lt;&gt;0,(H20-C20)/C20,ABS(H20-C20))</f>
        <v>-0.04</v>
      </c>
      <c r="M20" s="118" t="n">
        <f aca="false">+IF(D20&lt;&gt;0,(I20-D20)/D20,0)</f>
        <v>-0.0200000000000001</v>
      </c>
      <c r="N20" s="118" t="n">
        <f aca="false">+IF(E20&lt;&gt;0,(J20-E20)/E20,0)</f>
        <v>-0.02</v>
      </c>
      <c r="P20" s="117" t="n">
        <f aca="false">+IF(L20&lt;&gt;"",ABS(L20),0)</f>
        <v>0.04</v>
      </c>
      <c r="Q20" s="117" t="n">
        <f aca="false">+IF(L20&lt;&gt;"",ABS(M20),0)</f>
        <v>0.0200000000000001</v>
      </c>
      <c r="R20" s="117" t="n">
        <f aca="false">+IF(M20&lt;&gt;"",ABS(N20),0)</f>
        <v>0.02</v>
      </c>
      <c r="T20" s="119" t="str">
        <f aca="false">IF(J20&lt;=I20,"SI","NO")</f>
        <v>SI</v>
      </c>
    </row>
    <row r="21" customFormat="false" ht="21" hidden="false" customHeight="false" outlineLevel="0" collapsed="false">
      <c r="B21" s="115" t="s">
        <v>21</v>
      </c>
      <c r="C21" s="116" t="n">
        <f aca="false">Utilidad!A18</f>
        <v>1000</v>
      </c>
      <c r="D21" s="117" t="n">
        <f aca="false">IF(Utilidad!C$46&gt;1,Utilidad!C18/100,Utilidad!C18)</f>
        <v>0.4231</v>
      </c>
      <c r="E21" s="117" t="n">
        <f aca="false">IF(Utilidad!$E$46&gt;1,Utilidad!E18/100,Utilidad!E18)</f>
        <v>0.3796</v>
      </c>
      <c r="G21" s="115" t="s">
        <v>21</v>
      </c>
      <c r="H21" s="116" t="n">
        <f aca="false">Utilidad!B18</f>
        <v>990</v>
      </c>
      <c r="I21" s="117" t="n">
        <f aca="false">IF(Utilidad!$D$46&gt;1,Utilidad!D18/100,Utilidad!D18)</f>
        <v>0.414638</v>
      </c>
      <c r="J21" s="117" t="n">
        <f aca="false">IF(Utilidad!$F$46&gt;1,Utilidad!F18/100,Utilidad!F18)</f>
        <v>0.372008</v>
      </c>
      <c r="L21" s="118" t="n">
        <f aca="false">+IF(C21&lt;&gt;0,(H21-C21)/C21,ABS(H21-C21))</f>
        <v>-0.01</v>
      </c>
      <c r="M21" s="118" t="n">
        <f aca="false">+IF(D21&lt;&gt;0,(I21-D21)/D21,0)</f>
        <v>-0.0200000000000001</v>
      </c>
      <c r="N21" s="118" t="n">
        <f aca="false">+IF(E21&lt;&gt;0,(J21-E21)/E21,0)</f>
        <v>-0.02</v>
      </c>
      <c r="P21" s="117" t="n">
        <f aca="false">+IF(L21&lt;&gt;"",ABS(L21),0)</f>
        <v>0.01</v>
      </c>
      <c r="Q21" s="117" t="n">
        <f aca="false">+IF(L21&lt;&gt;"",ABS(M21),0)</f>
        <v>0.0200000000000001</v>
      </c>
      <c r="R21" s="117" t="n">
        <f aca="false">+IF(M21&lt;&gt;"",ABS(N21),0)</f>
        <v>0.02</v>
      </c>
      <c r="T21" s="119" t="str">
        <f aca="false">IF(J21&lt;=I21,"SI","NO")</f>
        <v>SI</v>
      </c>
    </row>
    <row r="22" customFormat="false" ht="21" hidden="false" customHeight="false" outlineLevel="0" collapsed="false">
      <c r="B22" s="115" t="s">
        <v>22</v>
      </c>
      <c r="C22" s="116" t="n">
        <f aca="false">Utilidad!A19</f>
        <v>0</v>
      </c>
      <c r="D22" s="117" t="n">
        <f aca="false">IF(Utilidad!C$46&gt;1,Utilidad!C19/100,Utilidad!C19)</f>
        <v>0</v>
      </c>
      <c r="E22" s="117" t="n">
        <f aca="false">IF(Utilidad!$E$46&gt;1,Utilidad!E19/100,Utilidad!E19)</f>
        <v>0</v>
      </c>
      <c r="G22" s="115" t="s">
        <v>22</v>
      </c>
      <c r="H22" s="116" t="n">
        <f aca="false">Utilidad!B19</f>
        <v>0</v>
      </c>
      <c r="I22" s="117" t="n">
        <f aca="false">IF(Utilidad!$D$46&gt;1,Utilidad!D19/100,Utilidad!D19)</f>
        <v>0</v>
      </c>
      <c r="J22" s="117" t="n">
        <f aca="false">IF(Utilidad!$F$46&gt;1,Utilidad!F19/100,Utilidad!F19)</f>
        <v>0</v>
      </c>
      <c r="L22" s="118" t="n">
        <f aca="false">+IF(C22&lt;&gt;0,(H22-C22)/C22,ABS(H22-C22))</f>
        <v>0</v>
      </c>
      <c r="M22" s="118" t="n">
        <f aca="false">+IF(D22&lt;&gt;0,(I22-D22)/D22,0)</f>
        <v>0</v>
      </c>
      <c r="N22" s="118" t="n">
        <f aca="false">+IF(E22&lt;&gt;0,(J22-E22)/E22,0)</f>
        <v>0</v>
      </c>
      <c r="P22" s="117" t="n">
        <f aca="false">+IF(L22&lt;&gt;"",ABS(L22),0)</f>
        <v>0</v>
      </c>
      <c r="Q22" s="117" t="n">
        <f aca="false">+IF(L22&lt;&gt;"",ABS(M22),0)</f>
        <v>0</v>
      </c>
      <c r="R22" s="117" t="n">
        <f aca="false">+IF(M22&lt;&gt;"",ABS(N22),0)</f>
        <v>0</v>
      </c>
      <c r="T22" s="119" t="str">
        <f aca="false">IF(J22&lt;=I22,"SI","NO")</f>
        <v>SI</v>
      </c>
    </row>
    <row r="23" customFormat="false" ht="21" hidden="false" customHeight="false" outlineLevel="0" collapsed="false">
      <c r="B23" s="115" t="s">
        <v>23</v>
      </c>
      <c r="C23" s="116" t="n">
        <f aca="false">Utilidad!A20</f>
        <v>0</v>
      </c>
      <c r="D23" s="117" t="n">
        <f aca="false">IF(Utilidad!C$46&gt;1,Utilidad!C20/100,Utilidad!C20)</f>
        <v>0</v>
      </c>
      <c r="E23" s="117" t="n">
        <f aca="false">IF(Utilidad!$E$46&gt;1,Utilidad!E20/100,Utilidad!E20)</f>
        <v>0</v>
      </c>
      <c r="G23" s="115" t="s">
        <v>23</v>
      </c>
      <c r="H23" s="116" t="n">
        <f aca="false">Utilidad!B20</f>
        <v>0</v>
      </c>
      <c r="I23" s="117" t="n">
        <f aca="false">IF(Utilidad!$D$46&gt;1,Utilidad!D20/100,Utilidad!D20)</f>
        <v>0</v>
      </c>
      <c r="J23" s="117" t="n">
        <f aca="false">IF(Utilidad!$F$46&gt;1,Utilidad!F20/100,Utilidad!F20)</f>
        <v>0</v>
      </c>
      <c r="L23" s="118" t="n">
        <f aca="false">+IF(C23&lt;&gt;0,(H23-C23)/C23,ABS(H23-C23))</f>
        <v>0</v>
      </c>
      <c r="M23" s="118" t="n">
        <f aca="false">+IF(D23&lt;&gt;0,(I23-D23)/D23,0)</f>
        <v>0</v>
      </c>
      <c r="N23" s="118" t="n">
        <f aca="false">+IF(E23&lt;&gt;0,(J23-E23)/E23,0)</f>
        <v>0</v>
      </c>
      <c r="P23" s="117" t="n">
        <f aca="false">+IF(L23&lt;&gt;"",ABS(L23),0)</f>
        <v>0</v>
      </c>
      <c r="Q23" s="117" t="n">
        <f aca="false">+IF(L23&lt;&gt;"",ABS(M23),0)</f>
        <v>0</v>
      </c>
      <c r="R23" s="117" t="n">
        <f aca="false">+IF(M23&lt;&gt;"",ABS(N23),0)</f>
        <v>0</v>
      </c>
      <c r="T23" s="119" t="str">
        <f aca="false">IF(J23&lt;=I23,"SI","NO")</f>
        <v>SI</v>
      </c>
    </row>
    <row r="24" customFormat="false" ht="21" hidden="false" customHeight="false" outlineLevel="0" collapsed="false">
      <c r="B24" s="115" t="s">
        <v>24</v>
      </c>
      <c r="C24" s="116" t="n">
        <f aca="false">Utilidad!A21</f>
        <v>0</v>
      </c>
      <c r="D24" s="117" t="n">
        <f aca="false">IF(Utilidad!C$46&gt;1,Utilidad!C21/100,Utilidad!C21)</f>
        <v>0</v>
      </c>
      <c r="E24" s="117" t="n">
        <f aca="false">IF(Utilidad!$E$46&gt;1,Utilidad!E21/100,Utilidad!E21)</f>
        <v>0</v>
      </c>
      <c r="G24" s="115" t="s">
        <v>24</v>
      </c>
      <c r="H24" s="116" t="n">
        <f aca="false">Utilidad!B21</f>
        <v>0</v>
      </c>
      <c r="I24" s="117" t="n">
        <f aca="false">IF(Utilidad!$D$46&gt;1,Utilidad!D21/100,Utilidad!D21)</f>
        <v>0</v>
      </c>
      <c r="J24" s="117" t="n">
        <f aca="false">IF(Utilidad!$F$46&gt;1,Utilidad!F21/100,Utilidad!F21)</f>
        <v>0</v>
      </c>
      <c r="L24" s="118" t="n">
        <f aca="false">+IF(C24&lt;&gt;0,(H24-C24)/C24,ABS(H24-C24))</f>
        <v>0</v>
      </c>
      <c r="M24" s="118" t="n">
        <f aca="false">+IF(D24&lt;&gt;0,(I24-D24)/D24,0)</f>
        <v>0</v>
      </c>
      <c r="N24" s="118" t="n">
        <f aca="false">+IF(E24&lt;&gt;0,(J24-E24)/E24,0)</f>
        <v>0</v>
      </c>
      <c r="P24" s="117" t="n">
        <f aca="false">+IF(L24&lt;&gt;"",ABS(L24),0)</f>
        <v>0</v>
      </c>
      <c r="Q24" s="117" t="n">
        <f aca="false">+IF(L24&lt;&gt;"",ABS(M24),0)</f>
        <v>0</v>
      </c>
      <c r="R24" s="117" t="n">
        <f aca="false">+IF(M24&lt;&gt;"",ABS(N24),0)</f>
        <v>0</v>
      </c>
      <c r="T24" s="119" t="str">
        <f aca="false">IF(J24&lt;=I24,"SI","NO")</f>
        <v>SI</v>
      </c>
    </row>
    <row r="25" customFormat="false" ht="21" hidden="false" customHeight="false" outlineLevel="0" collapsed="false">
      <c r="B25" s="115" t="s">
        <v>26</v>
      </c>
      <c r="C25" s="116" t="n">
        <f aca="false">Utilidad!A22</f>
        <v>2413</v>
      </c>
      <c r="D25" s="117" t="n">
        <f aca="false">IF(Utilidad!C$46&gt;1,Utilidad!C22/100,Utilidad!C22)</f>
        <v>0.5469</v>
      </c>
      <c r="E25" s="117" t="n">
        <f aca="false">IF(Utilidad!$E$46&gt;1,Utilidad!E22/100,Utilidad!E22)</f>
        <v>0.5214</v>
      </c>
      <c r="G25" s="115" t="s">
        <v>26</v>
      </c>
      <c r="H25" s="116" t="n">
        <f aca="false">Utilidad!B22</f>
        <v>2413</v>
      </c>
      <c r="I25" s="117" t="n">
        <f aca="false">IF(Utilidad!$D$46&gt;1,Utilidad!D22/100,Utilidad!D22)</f>
        <v>0.5469</v>
      </c>
      <c r="J25" s="117" t="n">
        <f aca="false">IF(Utilidad!$F$46&gt;1,Utilidad!F22/100,Utilidad!F22)</f>
        <v>0.5214</v>
      </c>
      <c r="L25" s="118" t="n">
        <f aca="false">+IF(C25&lt;&gt;0,(H25-C25)/C25,ABS(H25-C25))</f>
        <v>0</v>
      </c>
      <c r="M25" s="118" t="n">
        <f aca="false">+IF(D25&lt;&gt;0,(I25-D25)/D25,0)</f>
        <v>0</v>
      </c>
      <c r="N25" s="118" t="n">
        <f aca="false">+IF(E25&lt;&gt;0,(J25-E25)/E25,0)</f>
        <v>0</v>
      </c>
      <c r="P25" s="117" t="n">
        <f aca="false">+IF(L25&lt;&gt;"",ABS(L25),0)</f>
        <v>0</v>
      </c>
      <c r="Q25" s="117" t="n">
        <f aca="false">+IF(L25&lt;&gt;"",ABS(M25),0)</f>
        <v>0</v>
      </c>
      <c r="R25" s="117" t="n">
        <f aca="false">+IF(M25&lt;&gt;"",ABS(N25),0)</f>
        <v>0</v>
      </c>
      <c r="T25" s="119" t="str">
        <f aca="false">IF(J25&lt;=I25,"SI","NO")</f>
        <v>SI</v>
      </c>
    </row>
    <row r="26" customFormat="false" ht="21" hidden="false" customHeight="false" outlineLevel="0" collapsed="false">
      <c r="B26" s="115" t="s">
        <v>28</v>
      </c>
      <c r="C26" s="116" t="n">
        <f aca="false">Utilidad!A23</f>
        <v>2413</v>
      </c>
      <c r="D26" s="117" t="n">
        <f aca="false">IF(Utilidad!C$46&gt;1,Utilidad!C23/100,Utilidad!C23)</f>
        <v>0.5469</v>
      </c>
      <c r="E26" s="117" t="n">
        <f aca="false">IF(Utilidad!$E$46&gt;1,Utilidad!E23/100,Utilidad!E23)</f>
        <v>0.5214</v>
      </c>
      <c r="G26" s="115" t="s">
        <v>28</v>
      </c>
      <c r="H26" s="116" t="n">
        <f aca="false">Utilidad!B23</f>
        <v>2413</v>
      </c>
      <c r="I26" s="117" t="n">
        <f aca="false">IF(Utilidad!$D$46&gt;1,Utilidad!D23/100,Utilidad!D23)</f>
        <v>0.5469</v>
      </c>
      <c r="J26" s="117" t="n">
        <f aca="false">IF(Utilidad!$F$46&gt;1,Utilidad!F23/100,Utilidad!F23)</f>
        <v>0.5214</v>
      </c>
      <c r="L26" s="118" t="n">
        <f aca="false">+IF(C26&lt;&gt;0,(H26-C26)/C26,ABS(H26-C26))</f>
        <v>0</v>
      </c>
      <c r="M26" s="118" t="n">
        <f aca="false">+IF(D26&lt;&gt;0,(I26-D26)/D26,0)</f>
        <v>0</v>
      </c>
      <c r="N26" s="118" t="n">
        <f aca="false">+IF(E26&lt;&gt;0,(J26-E26)/E26,0)</f>
        <v>0</v>
      </c>
      <c r="P26" s="117" t="n">
        <f aca="false">+IF(L26&lt;&gt;"",ABS(L26),0)</f>
        <v>0</v>
      </c>
      <c r="Q26" s="117" t="n">
        <f aca="false">+IF(L26&lt;&gt;"",ABS(M26),0)</f>
        <v>0</v>
      </c>
      <c r="R26" s="117" t="n">
        <f aca="false">+IF(M26&lt;&gt;"",ABS(N26),0)</f>
        <v>0</v>
      </c>
      <c r="T26" s="119" t="str">
        <f aca="false">IF(J26&lt;=I26,"SI","NO")</f>
        <v>SI</v>
      </c>
    </row>
    <row r="27" customFormat="false" ht="21" hidden="false" customHeight="false" outlineLevel="0" collapsed="false">
      <c r="B27" s="115" t="s">
        <v>30</v>
      </c>
      <c r="C27" s="116" t="n">
        <f aca="false">Utilidad!A24</f>
        <v>0</v>
      </c>
      <c r="D27" s="117" t="n">
        <f aca="false">IF(Utilidad!C$46&gt;1,Utilidad!C24/100,Utilidad!C24)</f>
        <v>0</v>
      </c>
      <c r="E27" s="117" t="n">
        <f aca="false">IF(Utilidad!$E$46&gt;1,Utilidad!E24/100,Utilidad!E24)</f>
        <v>0</v>
      </c>
      <c r="G27" s="115" t="s">
        <v>30</v>
      </c>
      <c r="H27" s="116" t="n">
        <f aca="false">Utilidad!B24</f>
        <v>0</v>
      </c>
      <c r="I27" s="117" t="n">
        <f aca="false">IF(Utilidad!$D$46&gt;1,Utilidad!D24/100,Utilidad!D24)</f>
        <v>0</v>
      </c>
      <c r="J27" s="117" t="n">
        <f aca="false">IF(Utilidad!$F$46&gt;1,Utilidad!F24/100,Utilidad!F24)</f>
        <v>0</v>
      </c>
      <c r="L27" s="118" t="n">
        <f aca="false">+IF(C27&lt;&gt;0,(H27-C27)/C27,ABS(H27-C27))</f>
        <v>0</v>
      </c>
      <c r="M27" s="118" t="n">
        <f aca="false">+IF(D27&lt;&gt;0,(I27-D27)/D27,0)</f>
        <v>0</v>
      </c>
      <c r="N27" s="118" t="n">
        <f aca="false">+IF(E27&lt;&gt;0,(J27-E27)/E27,0)</f>
        <v>0</v>
      </c>
      <c r="P27" s="117" t="n">
        <f aca="false">+IF(L27&lt;&gt;"",ABS(L27),0)</f>
        <v>0</v>
      </c>
      <c r="Q27" s="117" t="n">
        <f aca="false">+IF(L27&lt;&gt;"",ABS(M27),0)</f>
        <v>0</v>
      </c>
      <c r="R27" s="117" t="n">
        <f aca="false">+IF(M27&lt;&gt;"",ABS(N27),0)</f>
        <v>0</v>
      </c>
      <c r="T27" s="119" t="str">
        <f aca="false">IF(J27&lt;=I27,"SI","NO")</f>
        <v>SI</v>
      </c>
    </row>
    <row r="28" customFormat="false" ht="21" hidden="false" customHeight="false" outlineLevel="0" collapsed="false">
      <c r="B28" s="115" t="s">
        <v>31</v>
      </c>
      <c r="C28" s="116" t="n">
        <f aca="false">Utilidad!A25</f>
        <v>3933</v>
      </c>
      <c r="D28" s="117" t="n">
        <f aca="false">IF(Utilidad!C$46&gt;1,Utilidad!C25/100,Utilidad!C25)</f>
        <v>0.4959</v>
      </c>
      <c r="E28" s="117" t="n">
        <f aca="false">IF(Utilidad!$E$46&gt;1,Utilidad!E25/100,Utilidad!E25)</f>
        <v>0.4513</v>
      </c>
      <c r="G28" s="115" t="s">
        <v>31</v>
      </c>
      <c r="H28" s="116" t="n">
        <f aca="false">Utilidad!B25</f>
        <v>3933</v>
      </c>
      <c r="I28" s="117" t="n">
        <f aca="false">IF(Utilidad!$D$46&gt;1,Utilidad!D25/100,Utilidad!D25)</f>
        <v>0.49429762728</v>
      </c>
      <c r="J28" s="117" t="n">
        <f aca="false">IF(Utilidad!$F$46&gt;1,Utilidad!F25/100,Utilidad!F25)</f>
        <v>0.44984174073</v>
      </c>
      <c r="L28" s="118" t="n">
        <f aca="false">+IF(C28&lt;&gt;0,(H28-C28)/C28,ABS(H28-C28))</f>
        <v>0</v>
      </c>
      <c r="M28" s="118" t="n">
        <f aca="false">+IF(D28&lt;&gt;0,(I28-D28)/D28,0)</f>
        <v>-0.00323124162129466</v>
      </c>
      <c r="N28" s="118" t="n">
        <f aca="false">+IF(E28&lt;&gt;0,(J28-E28)/E28,0)</f>
        <v>-0.00323124145801028</v>
      </c>
      <c r="P28" s="117" t="n">
        <f aca="false">+IF(L28&lt;&gt;"",ABS(L28),0)</f>
        <v>0</v>
      </c>
      <c r="Q28" s="117" t="n">
        <f aca="false">+IF(L28&lt;&gt;"",ABS(M28),0)</f>
        <v>0.00323124162129466</v>
      </c>
      <c r="R28" s="117" t="n">
        <f aca="false">+IF(M28&lt;&gt;"",ABS(N28),0)</f>
        <v>0.00323124145801028</v>
      </c>
      <c r="T28" s="119" t="str">
        <f aca="false">IF(J28&lt;=I28,"SI","NO")</f>
        <v>SI</v>
      </c>
    </row>
    <row r="29" customFormat="false" ht="21" hidden="false" customHeight="false" outlineLevel="0" collapsed="false">
      <c r="B29" s="115" t="s">
        <v>32</v>
      </c>
      <c r="C29" s="116" t="n">
        <f aca="false">Utilidad!A26</f>
        <v>2933</v>
      </c>
      <c r="D29" s="117" t="n">
        <f aca="false">IF(Utilidad!C$46&gt;1,Utilidad!C26/100,Utilidad!C26)</f>
        <v>0.4959</v>
      </c>
      <c r="E29" s="117" t="n">
        <f aca="false">IF(Utilidad!$E$46&gt;1,Utilidad!E26/100,Utilidad!E26)</f>
        <v>0.4513</v>
      </c>
      <c r="G29" s="115" t="s">
        <v>32</v>
      </c>
      <c r="H29" s="116" t="n">
        <f aca="false">Utilidad!B26</f>
        <v>2943</v>
      </c>
      <c r="I29" s="117" t="n">
        <f aca="false">IF(Utilidad!$D$46&gt;1,Utilidad!D26/100,Utilidad!D26)</f>
        <v>0.4970949331</v>
      </c>
      <c r="J29" s="117" t="n">
        <f aca="false">IF(Utilidad!$F$46&gt;1,Utilidad!F26/100,Utilidad!F26)</f>
        <v>0.45238746392</v>
      </c>
      <c r="L29" s="118" t="n">
        <f aca="false">+IF(C29&lt;&gt;0,(H29-C29)/C29,ABS(H29-C29))</f>
        <v>0.00340947834981248</v>
      </c>
      <c r="M29" s="118" t="n">
        <f aca="false">+IF(D29&lt;&gt;0,(I29-D29)/D29,0)</f>
        <v>0.0024096251260334</v>
      </c>
      <c r="N29" s="118" t="n">
        <f aca="false">+IF(E29&lt;&gt;0,(J29-E29)/E29,0)</f>
        <v>0.00240962534899175</v>
      </c>
      <c r="P29" s="117" t="n">
        <f aca="false">+IF(L29&lt;&gt;"",ABS(L29),0)</f>
        <v>0.00340947834981248</v>
      </c>
      <c r="Q29" s="117" t="n">
        <f aca="false">+IF(L29&lt;&gt;"",ABS(M29),0)</f>
        <v>0.0024096251260334</v>
      </c>
      <c r="R29" s="117" t="n">
        <f aca="false">+IF(M29&lt;&gt;"",ABS(N29),0)</f>
        <v>0.00240962534899175</v>
      </c>
      <c r="T29" s="119" t="str">
        <f aca="false">IF(J29&lt;=I29,"SI","NO")</f>
        <v>SI</v>
      </c>
    </row>
    <row r="30" customFormat="false" ht="21" hidden="false" customHeight="false" outlineLevel="0" collapsed="false">
      <c r="B30" s="115" t="s">
        <v>34</v>
      </c>
      <c r="C30" s="116" t="n">
        <f aca="false">Utilidad!A27</f>
        <v>1000</v>
      </c>
      <c r="D30" s="117" t="n">
        <f aca="false">IF(Utilidad!C$46&gt;1,Utilidad!C27/100,Utilidad!C27)</f>
        <v>0.4959</v>
      </c>
      <c r="E30" s="117" t="n">
        <f aca="false">IF(Utilidad!$E$46&gt;1,Utilidad!E27/100,Utilidad!E27)</f>
        <v>0.4513</v>
      </c>
      <c r="G30" s="115" t="s">
        <v>34</v>
      </c>
      <c r="H30" s="116" t="n">
        <f aca="false">Utilidad!B27</f>
        <v>990</v>
      </c>
      <c r="I30" s="117" t="n">
        <f aca="false">IF(Utilidad!$D$46&gt;1,Utilidad!D27/100,Utilidad!D27)</f>
        <v>0.485982</v>
      </c>
      <c r="J30" s="117" t="n">
        <f aca="false">IF(Utilidad!$F$46&gt;1,Utilidad!F27/100,Utilidad!F27)</f>
        <v>0.442274</v>
      </c>
      <c r="L30" s="118" t="n">
        <f aca="false">+IF(C30&lt;&gt;0,(H30-C30)/C30,ABS(H30-C30))</f>
        <v>-0.01</v>
      </c>
      <c r="M30" s="118" t="n">
        <f aca="false">+IF(D30&lt;&gt;0,(I30-D30)/D30,0)</f>
        <v>-0.0200000000000001</v>
      </c>
      <c r="N30" s="118" t="n">
        <f aca="false">+IF(E30&lt;&gt;0,(J30-E30)/E30,0)</f>
        <v>-0.02</v>
      </c>
      <c r="P30" s="117" t="n">
        <f aca="false">+IF(L30&lt;&gt;"",ABS(L30),0)</f>
        <v>0.01</v>
      </c>
      <c r="Q30" s="117" t="n">
        <f aca="false">+IF(L30&lt;&gt;"",ABS(M30),0)</f>
        <v>0.0200000000000001</v>
      </c>
      <c r="R30" s="117" t="n">
        <f aca="false">+IF(M30&lt;&gt;"",ABS(N30),0)</f>
        <v>0.02</v>
      </c>
      <c r="T30" s="119" t="str">
        <f aca="false">IF(J30&lt;=I30,"SI","NO")</f>
        <v>SI</v>
      </c>
    </row>
    <row r="31" customFormat="false" ht="21" hidden="false" customHeight="false" outlineLevel="0" collapsed="false">
      <c r="B31" s="115" t="s">
        <v>35</v>
      </c>
      <c r="C31" s="116" t="n">
        <f aca="false">Utilidad!A28</f>
        <v>750</v>
      </c>
      <c r="D31" s="117" t="n">
        <f aca="false">IF(Utilidad!C$46&gt;1,Utilidad!C28/100,Utilidad!C28)</f>
        <v>0.4231</v>
      </c>
      <c r="E31" s="117" t="n">
        <f aca="false">IF(Utilidad!$E$46&gt;1,Utilidad!E28/100,Utilidad!E28)</f>
        <v>0.3796</v>
      </c>
      <c r="G31" s="115" t="s">
        <v>35</v>
      </c>
      <c r="H31" s="116" t="n">
        <f aca="false">Utilidad!B28</f>
        <v>750</v>
      </c>
      <c r="I31" s="117" t="n">
        <f aca="false">IF(Utilidad!$D$46&gt;1,Utilidad!D28/100,Utilidad!D28)</f>
        <v>0.414638</v>
      </c>
      <c r="J31" s="117" t="n">
        <f aca="false">IF(Utilidad!$F$46&gt;1,Utilidad!F28/100,Utilidad!F28)</f>
        <v>0.372008</v>
      </c>
      <c r="L31" s="118" t="n">
        <f aca="false">+IF(C31&lt;&gt;0,(H31-C31)/C31,ABS(H31-C31))</f>
        <v>0</v>
      </c>
      <c r="M31" s="118" t="n">
        <f aca="false">+IF(D31&lt;&gt;0,(I31-D31)/D31,0)</f>
        <v>-0.0200000000000001</v>
      </c>
      <c r="N31" s="118" t="n">
        <f aca="false">+IF(E31&lt;&gt;0,(J31-E31)/E31,0)</f>
        <v>-0.02</v>
      </c>
      <c r="P31" s="117" t="n">
        <f aca="false">+IF(L31&lt;&gt;"",ABS(L31),0)</f>
        <v>0</v>
      </c>
      <c r="Q31" s="117" t="n">
        <f aca="false">+IF(L31&lt;&gt;"",ABS(M31),0)</f>
        <v>0.0200000000000001</v>
      </c>
      <c r="R31" s="117" t="n">
        <f aca="false">+IF(M31&lt;&gt;"",ABS(N31),0)</f>
        <v>0.02</v>
      </c>
      <c r="T31" s="119" t="str">
        <f aca="false">IF(J31&lt;=I31,"SI","NO")</f>
        <v>SI</v>
      </c>
    </row>
    <row r="32" customFormat="false" ht="21" hidden="false" customHeight="false" outlineLevel="0" collapsed="false">
      <c r="B32" s="115" t="s">
        <v>36</v>
      </c>
      <c r="C32" s="116" t="n">
        <f aca="false">Utilidad!A29</f>
        <v>-250</v>
      </c>
      <c r="D32" s="117" t="n">
        <f aca="false">IF(Utilidad!C$46&gt;1,Utilidad!C29/100,Utilidad!C29)</f>
        <v>0.4231</v>
      </c>
      <c r="E32" s="117" t="n">
        <f aca="false">IF(Utilidad!$E$46&gt;1,Utilidad!E29/100,Utilidad!E29)</f>
        <v>0.3796</v>
      </c>
      <c r="G32" s="115" t="s">
        <v>36</v>
      </c>
      <c r="H32" s="116" t="n">
        <f aca="false">Utilidad!B29</f>
        <v>-240</v>
      </c>
      <c r="I32" s="117" t="n">
        <f aca="false">IF(Utilidad!$D$46&gt;1,Utilidad!D29/100,Utilidad!D29)</f>
        <v>0.414638</v>
      </c>
      <c r="J32" s="117" t="n">
        <f aca="false">IF(Utilidad!$F$46&gt;1,Utilidad!F29/100,Utilidad!F29)</f>
        <v>0.372008</v>
      </c>
      <c r="L32" s="118" t="n">
        <f aca="false">+IF(C32&lt;&gt;0,(H32-C32)/C32,ABS(H32-C32))</f>
        <v>-0.04</v>
      </c>
      <c r="M32" s="118" t="n">
        <f aca="false">+IF(D32&lt;&gt;0,(I32-D32)/D32,0)</f>
        <v>-0.0200000000000001</v>
      </c>
      <c r="N32" s="118" t="n">
        <f aca="false">+IF(E32&lt;&gt;0,(J32-E32)/E32,0)</f>
        <v>-0.02</v>
      </c>
      <c r="P32" s="117" t="n">
        <f aca="false">+IF(L32&lt;&gt;"",ABS(L32),0)</f>
        <v>0.04</v>
      </c>
      <c r="Q32" s="117" t="n">
        <f aca="false">+IF(L32&lt;&gt;"",ABS(M32),0)</f>
        <v>0.0200000000000001</v>
      </c>
      <c r="R32" s="117" t="n">
        <f aca="false">+IF(M32&lt;&gt;"",ABS(N32),0)</f>
        <v>0.02</v>
      </c>
      <c r="T32" s="119" t="str">
        <f aca="false">IF(J32&lt;=I32,"SI","NO")</f>
        <v>SI</v>
      </c>
    </row>
    <row r="33" customFormat="false" ht="21" hidden="false" customHeight="false" outlineLevel="0" collapsed="false">
      <c r="B33" s="115" t="s">
        <v>37</v>
      </c>
      <c r="C33" s="116" t="n">
        <f aca="false">Utilidad!A30</f>
        <v>1000</v>
      </c>
      <c r="D33" s="117" t="n">
        <f aca="false">IF(Utilidad!C$46&gt;1,Utilidad!C30/100,Utilidad!C30)</f>
        <v>0.4231</v>
      </c>
      <c r="E33" s="117" t="n">
        <f aca="false">IF(Utilidad!$E$46&gt;1,Utilidad!E30/100,Utilidad!E30)</f>
        <v>0.3796</v>
      </c>
      <c r="G33" s="115" t="s">
        <v>37</v>
      </c>
      <c r="H33" s="116" t="n">
        <f aca="false">Utilidad!B30</f>
        <v>990</v>
      </c>
      <c r="I33" s="117" t="n">
        <f aca="false">IF(Utilidad!$D$46&gt;1,Utilidad!D30/100,Utilidad!D30)</f>
        <v>0.414638</v>
      </c>
      <c r="J33" s="117" t="n">
        <f aca="false">IF(Utilidad!$F$46&gt;1,Utilidad!F30/100,Utilidad!F30)</f>
        <v>0.372008</v>
      </c>
      <c r="L33" s="118" t="n">
        <f aca="false">+IF(C33&lt;&gt;0,(H33-C33)/C33,ABS(H33-C33))</f>
        <v>-0.01</v>
      </c>
      <c r="M33" s="118" t="n">
        <f aca="false">+IF(D33&lt;&gt;0,(I33-D33)/D33,0)</f>
        <v>-0.0200000000000001</v>
      </c>
      <c r="N33" s="118" t="n">
        <f aca="false">+IF(E33&lt;&gt;0,(J33-E33)/E33,0)</f>
        <v>-0.02</v>
      </c>
      <c r="P33" s="117" t="n">
        <f aca="false">+IF(L33&lt;&gt;"",ABS(L33),0)</f>
        <v>0.01</v>
      </c>
      <c r="Q33" s="117" t="n">
        <f aca="false">+IF(L33&lt;&gt;"",ABS(M33),0)</f>
        <v>0.0200000000000001</v>
      </c>
      <c r="R33" s="117" t="n">
        <f aca="false">+IF(M33&lt;&gt;"",ABS(N33),0)</f>
        <v>0.02</v>
      </c>
      <c r="T33" s="119" t="str">
        <f aca="false">IF(J33&lt;=I33,"SI","NO")</f>
        <v>SI</v>
      </c>
    </row>
    <row r="34" customFormat="false" ht="21" hidden="false" customHeight="false" outlineLevel="0" collapsed="false">
      <c r="B34" s="115" t="s">
        <v>38</v>
      </c>
      <c r="C34" s="116" t="n">
        <f aca="false">Utilidad!A31</f>
        <v>3933</v>
      </c>
      <c r="D34" s="117" t="n">
        <f aca="false">IF(Utilidad!C$46&gt;1,Utilidad!C31/100,Utilidad!C31)</f>
        <v>0.4959</v>
      </c>
      <c r="E34" s="117" t="n">
        <f aca="false">IF(Utilidad!$E$46&gt;1,Utilidad!E31/100,Utilidad!E31)</f>
        <v>0.4513</v>
      </c>
      <c r="G34" s="115" t="s">
        <v>38</v>
      </c>
      <c r="H34" s="116" t="n">
        <f aca="false">Utilidad!B31</f>
        <v>3933</v>
      </c>
      <c r="I34" s="117" t="n">
        <f aca="false">IF(Utilidad!$D$46&gt;1,Utilidad!D31/100,Utilidad!D31)</f>
        <v>0.49429762728</v>
      </c>
      <c r="J34" s="117" t="n">
        <f aca="false">IF(Utilidad!$F$46&gt;1,Utilidad!F31/100,Utilidad!F31)</f>
        <v>0.44984174073</v>
      </c>
      <c r="L34" s="118" t="n">
        <f aca="false">+IF(C34&lt;&gt;0,(H34-C34)/C34,ABS(H34-C34))</f>
        <v>0</v>
      </c>
      <c r="M34" s="118" t="n">
        <f aca="false">+IF(D34&lt;&gt;0,(I34-D34)/D34,0)</f>
        <v>-0.00323124162129466</v>
      </c>
      <c r="N34" s="118" t="n">
        <f aca="false">+IF(E34&lt;&gt;0,(J34-E34)/E34,0)</f>
        <v>-0.00323124145801028</v>
      </c>
      <c r="P34" s="117" t="n">
        <f aca="false">+IF(L34&lt;&gt;"",ABS(L34),0)</f>
        <v>0</v>
      </c>
      <c r="Q34" s="117" t="n">
        <f aca="false">+IF(L34&lt;&gt;"",ABS(M34),0)</f>
        <v>0.00323124162129466</v>
      </c>
      <c r="R34" s="117" t="n">
        <f aca="false">+IF(M34&lt;&gt;"",ABS(N34),0)</f>
        <v>0.00323124145801028</v>
      </c>
      <c r="T34" s="119" t="str">
        <f aca="false">IF(J34&lt;=I34,"SI","NO")</f>
        <v>SI</v>
      </c>
    </row>
    <row r="35" customFormat="false" ht="21" hidden="false" customHeight="false" outlineLevel="0" collapsed="false">
      <c r="B35" s="115" t="s">
        <v>39</v>
      </c>
      <c r="C35" s="116" t="n">
        <f aca="false">Utilidad!A32</f>
        <v>2933</v>
      </c>
      <c r="D35" s="117" t="n">
        <f aca="false">IF(Utilidad!C$46&gt;1,Utilidad!C32/100,Utilidad!C32)</f>
        <v>0.4959</v>
      </c>
      <c r="E35" s="117" t="n">
        <f aca="false">IF(Utilidad!$E$46&gt;1,Utilidad!E32/100,Utilidad!E32)</f>
        <v>0.4513</v>
      </c>
      <c r="G35" s="115" t="s">
        <v>39</v>
      </c>
      <c r="H35" s="116" t="n">
        <f aca="false">Utilidad!B32</f>
        <v>2943</v>
      </c>
      <c r="I35" s="117" t="n">
        <f aca="false">IF(Utilidad!$D$46&gt;1,Utilidad!D32/100,Utilidad!D32)</f>
        <v>0.4970949331</v>
      </c>
      <c r="J35" s="117" t="n">
        <f aca="false">IF(Utilidad!$F$46&gt;1,Utilidad!F32/100,Utilidad!F32)</f>
        <v>0.45238746392</v>
      </c>
      <c r="L35" s="118" t="n">
        <f aca="false">+IF(C35&lt;&gt;0,(H35-C35)/C35,ABS(H35-C35))</f>
        <v>0.00340947834981248</v>
      </c>
      <c r="M35" s="118" t="n">
        <f aca="false">+IF(D35&lt;&gt;0,(I35-D35)/D35,0)</f>
        <v>0.0024096251260334</v>
      </c>
      <c r="N35" s="118" t="n">
        <f aca="false">+IF(E35&lt;&gt;0,(J35-E35)/E35,0)</f>
        <v>0.00240962534899175</v>
      </c>
      <c r="P35" s="117" t="n">
        <f aca="false">+IF(L35&lt;&gt;"",ABS(L35),0)</f>
        <v>0.00340947834981248</v>
      </c>
      <c r="Q35" s="117" t="n">
        <f aca="false">+IF(L35&lt;&gt;"",ABS(M35),0)</f>
        <v>0.0024096251260334</v>
      </c>
      <c r="R35" s="117" t="n">
        <f aca="false">+IF(M35&lt;&gt;"",ABS(N35),0)</f>
        <v>0.00240962534899175</v>
      </c>
      <c r="T35" s="119" t="str">
        <f aca="false">IF(J35&lt;=I35,"SI","NO")</f>
        <v>SI</v>
      </c>
    </row>
    <row r="36" customFormat="false" ht="21" hidden="false" customHeight="false" outlineLevel="0" collapsed="false">
      <c r="B36" s="115" t="s">
        <v>40</v>
      </c>
      <c r="C36" s="116" t="n">
        <f aca="false">Utilidad!A33</f>
        <v>1000</v>
      </c>
      <c r="D36" s="117" t="n">
        <f aca="false">IF(Utilidad!C$46&gt;1,Utilidad!C33/100,Utilidad!C33)</f>
        <v>0.4959</v>
      </c>
      <c r="E36" s="117" t="n">
        <f aca="false">IF(Utilidad!$E$46&gt;1,Utilidad!E33/100,Utilidad!E33)</f>
        <v>0.4513</v>
      </c>
      <c r="G36" s="115" t="s">
        <v>40</v>
      </c>
      <c r="H36" s="116" t="n">
        <f aca="false">Utilidad!B33</f>
        <v>990</v>
      </c>
      <c r="I36" s="117" t="n">
        <f aca="false">IF(Utilidad!$D$46&gt;1,Utilidad!D33/100,Utilidad!D33)</f>
        <v>0.485982</v>
      </c>
      <c r="J36" s="117" t="n">
        <f aca="false">IF(Utilidad!$F$46&gt;1,Utilidad!F33/100,Utilidad!F33)</f>
        <v>0.442274</v>
      </c>
      <c r="L36" s="118" t="n">
        <f aca="false">+IF(C36&lt;&gt;0,(H36-C36)/C36,ABS(H36-C36))</f>
        <v>-0.01</v>
      </c>
      <c r="M36" s="118" t="n">
        <f aca="false">+IF(D36&lt;&gt;0,(I36-D36)/D36,0)</f>
        <v>-0.0200000000000001</v>
      </c>
      <c r="N36" s="118" t="n">
        <f aca="false">+IF(E36&lt;&gt;0,(J36-E36)/E36,0)</f>
        <v>-0.02</v>
      </c>
      <c r="P36" s="117" t="n">
        <f aca="false">+IF(L36&lt;&gt;"",ABS(L36),0)</f>
        <v>0.01</v>
      </c>
      <c r="Q36" s="117" t="n">
        <f aca="false">+IF(L36&lt;&gt;"",ABS(M36),0)</f>
        <v>0.0200000000000001</v>
      </c>
      <c r="R36" s="117" t="n">
        <f aca="false">+IF(M36&lt;&gt;"",ABS(N36),0)</f>
        <v>0.02</v>
      </c>
      <c r="T36" s="119" t="str">
        <f aca="false">IF(J36&lt;=I36,"SI","NO")</f>
        <v>SI</v>
      </c>
    </row>
    <row r="37" customFormat="false" ht="21" hidden="false" customHeight="false" outlineLevel="0" collapsed="false">
      <c r="B37" s="115" t="s">
        <v>41</v>
      </c>
      <c r="C37" s="116" t="n">
        <f aca="false">Utilidad!A34</f>
        <v>2413</v>
      </c>
      <c r="D37" s="117" t="n">
        <f aca="false">IF(Utilidad!C$46&gt;1,Utilidad!C34/100,Utilidad!C34)</f>
        <v>0.5469</v>
      </c>
      <c r="E37" s="117" t="n">
        <f aca="false">IF(Utilidad!$E$46&gt;1,Utilidad!E34/100,Utilidad!E34)</f>
        <v>0.5214</v>
      </c>
      <c r="G37" s="115" t="s">
        <v>41</v>
      </c>
      <c r="H37" s="116" t="n">
        <f aca="false">Utilidad!B34</f>
        <v>2413</v>
      </c>
      <c r="I37" s="117" t="n">
        <f aca="false">IF(Utilidad!$D$46&gt;1,Utilidad!D34/100,Utilidad!D34)</f>
        <v>0.5469</v>
      </c>
      <c r="J37" s="117" t="n">
        <f aca="false">IF(Utilidad!$F$46&gt;1,Utilidad!F34/100,Utilidad!F34)</f>
        <v>0.5214</v>
      </c>
      <c r="L37" s="118" t="n">
        <f aca="false">+IF(C37&lt;&gt;0,(H37-C37)/C37,ABS(H37-C37))</f>
        <v>0</v>
      </c>
      <c r="M37" s="118" t="n">
        <f aca="false">+IF(D37&lt;&gt;0,(I37-D37)/D37,0)</f>
        <v>0</v>
      </c>
      <c r="N37" s="118" t="n">
        <f aca="false">+IF(E37&lt;&gt;0,(J37-E37)/E37,0)</f>
        <v>0</v>
      </c>
      <c r="P37" s="117" t="n">
        <f aca="false">+IF(L37&lt;&gt;"",ABS(L37),0)</f>
        <v>0</v>
      </c>
      <c r="Q37" s="117" t="n">
        <f aca="false">+IF(L37&lt;&gt;"",ABS(M37),0)</f>
        <v>0</v>
      </c>
      <c r="R37" s="117" t="n">
        <f aca="false">+IF(M37&lt;&gt;"",ABS(N37),0)</f>
        <v>0</v>
      </c>
      <c r="T37" s="119" t="str">
        <f aca="false">IF(J37&lt;=I37,"SI","NO")</f>
        <v>SI</v>
      </c>
    </row>
    <row r="38" customFormat="false" ht="21" hidden="false" customHeight="false" outlineLevel="0" collapsed="false">
      <c r="B38" s="115" t="s">
        <v>42</v>
      </c>
      <c r="C38" s="116" t="n">
        <f aca="false">Utilidad!A35</f>
        <v>2413</v>
      </c>
      <c r="D38" s="117" t="n">
        <f aca="false">IF(Utilidad!C$46&gt;1,Utilidad!C35/100,Utilidad!C35)</f>
        <v>0.5469</v>
      </c>
      <c r="E38" s="117" t="n">
        <f aca="false">IF(Utilidad!$E$46&gt;1,Utilidad!E35/100,Utilidad!E35)</f>
        <v>0.5214</v>
      </c>
      <c r="G38" s="115" t="s">
        <v>42</v>
      </c>
      <c r="H38" s="116" t="n">
        <f aca="false">Utilidad!B35</f>
        <v>2413</v>
      </c>
      <c r="I38" s="117" t="n">
        <f aca="false">IF(Utilidad!$D$46&gt;1,Utilidad!D35/100,Utilidad!D35)</f>
        <v>0.5469</v>
      </c>
      <c r="J38" s="117" t="n">
        <f aca="false">IF(Utilidad!$F$46&gt;1,Utilidad!F35/100,Utilidad!F35)</f>
        <v>0.5214</v>
      </c>
      <c r="L38" s="118" t="n">
        <f aca="false">+IF(C38&lt;&gt;0,(H38-C38)/C38,ABS(H38-C38))</f>
        <v>0</v>
      </c>
      <c r="M38" s="118" t="n">
        <f aca="false">+IF(D38&lt;&gt;0,(I38-D38)/D38,0)</f>
        <v>0</v>
      </c>
      <c r="N38" s="118" t="n">
        <f aca="false">+IF(E38&lt;&gt;0,(J38-E38)/E38,0)</f>
        <v>0</v>
      </c>
      <c r="P38" s="117" t="n">
        <f aca="false">+IF(L38&lt;&gt;"",ABS(L38),0)</f>
        <v>0</v>
      </c>
      <c r="Q38" s="117" t="n">
        <f aca="false">+IF(L38&lt;&gt;"",ABS(M38),0)</f>
        <v>0</v>
      </c>
      <c r="R38" s="117" t="n">
        <f aca="false">+IF(M38&lt;&gt;"",ABS(N38),0)</f>
        <v>0</v>
      </c>
      <c r="T38" s="119" t="str">
        <f aca="false">IF(J38&lt;=I38,"SI","NO")</f>
        <v>SI</v>
      </c>
    </row>
    <row r="39" customFormat="false" ht="21" hidden="false" customHeight="false" outlineLevel="0" collapsed="false">
      <c r="B39" s="115" t="s">
        <v>43</v>
      </c>
      <c r="C39" s="116" t="n">
        <f aca="false">Utilidad!A36</f>
        <v>0</v>
      </c>
      <c r="D39" s="117" t="n">
        <f aca="false">IF(Utilidad!C$46&gt;1,Utilidad!C36/100,Utilidad!C36)</f>
        <v>0</v>
      </c>
      <c r="E39" s="117" t="n">
        <f aca="false">IF(Utilidad!$E$46&gt;1,Utilidad!E36/100,Utilidad!E36)</f>
        <v>0</v>
      </c>
      <c r="G39" s="115" t="s">
        <v>43</v>
      </c>
      <c r="H39" s="116" t="n">
        <f aca="false">Utilidad!B36</f>
        <v>0</v>
      </c>
      <c r="I39" s="117" t="n">
        <f aca="false">IF(Utilidad!$D$46&gt;1,Utilidad!D36/100,Utilidad!D36)</f>
        <v>0</v>
      </c>
      <c r="J39" s="117" t="n">
        <f aca="false">IF(Utilidad!$F$46&gt;1,Utilidad!F36/100,Utilidad!F36)</f>
        <v>0</v>
      </c>
      <c r="L39" s="118" t="n">
        <f aca="false">+IF(C39&lt;&gt;0,(H39-C39)/C39,ABS(H39-C39))</f>
        <v>0</v>
      </c>
      <c r="M39" s="118" t="n">
        <f aca="false">+IF(D39&lt;&gt;0,(I39-D39)/D39,0)</f>
        <v>0</v>
      </c>
      <c r="N39" s="118" t="n">
        <f aca="false">+IF(E39&lt;&gt;0,(J39-E39)/E39,0)</f>
        <v>0</v>
      </c>
      <c r="P39" s="117" t="n">
        <f aca="false">+IF(L39&lt;&gt;"",ABS(L39),0)</f>
        <v>0</v>
      </c>
      <c r="Q39" s="117" t="n">
        <f aca="false">+IF(L39&lt;&gt;"",ABS(M39),0)</f>
        <v>0</v>
      </c>
      <c r="R39" s="117" t="n">
        <f aca="false">+IF(M39&lt;&gt;"",ABS(N39),0)</f>
        <v>0</v>
      </c>
      <c r="T39" s="119" t="str">
        <f aca="false">IF(J39&lt;=I39,"SI","NO")</f>
        <v>SI</v>
      </c>
    </row>
    <row r="40" customFormat="false" ht="21" hidden="false" customHeight="false" outlineLevel="0" collapsed="false">
      <c r="B40" s="115" t="s">
        <v>44</v>
      </c>
      <c r="C40" s="116" t="n">
        <f aca="false">Utilidad!A37</f>
        <v>0</v>
      </c>
      <c r="D40" s="117" t="n">
        <f aca="false">IF(Utilidad!C$46&gt;1,Utilidad!C37/100,Utilidad!C37)</f>
        <v>0</v>
      </c>
      <c r="E40" s="117" t="n">
        <f aca="false">IF(Utilidad!$E$46&gt;1,Utilidad!E37/100,Utilidad!E37)</f>
        <v>0</v>
      </c>
      <c r="G40" s="115" t="s">
        <v>44</v>
      </c>
      <c r="H40" s="116" t="n">
        <f aca="false">Utilidad!B37</f>
        <v>0</v>
      </c>
      <c r="I40" s="117" t="n">
        <f aca="false">IF(Utilidad!$D$46&gt;1,Utilidad!D37/100,Utilidad!D37)</f>
        <v>0</v>
      </c>
      <c r="J40" s="117" t="n">
        <f aca="false">IF(Utilidad!$F$46&gt;1,Utilidad!F37/100,Utilidad!F37)</f>
        <v>0</v>
      </c>
      <c r="L40" s="118" t="n">
        <f aca="false">+IF(C40&lt;&gt;0,(H40-C40)/C40,ABS(H40-C40))</f>
        <v>0</v>
      </c>
      <c r="M40" s="118" t="n">
        <f aca="false">+IF(D40&lt;&gt;0,(I40-D40)/D40,0)</f>
        <v>0</v>
      </c>
      <c r="N40" s="118" t="n">
        <f aca="false">+IF(E40&lt;&gt;0,(J40-E40)/E40,0)</f>
        <v>0</v>
      </c>
      <c r="P40" s="117" t="n">
        <f aca="false">+IF(L40&lt;&gt;"",ABS(L40),0)</f>
        <v>0</v>
      </c>
      <c r="Q40" s="117" t="n">
        <f aca="false">+IF(L40&lt;&gt;"",ABS(M40),0)</f>
        <v>0</v>
      </c>
      <c r="R40" s="117" t="n">
        <f aca="false">+IF(M40&lt;&gt;"",ABS(N40),0)</f>
        <v>0</v>
      </c>
      <c r="T40" s="119" t="str">
        <f aca="false">IF(J40&lt;=I40,"SI","NO")</f>
        <v>SI</v>
      </c>
    </row>
    <row r="41" customFormat="false" ht="21" hidden="false" customHeight="false" outlineLevel="0" collapsed="false">
      <c r="B41" s="115" t="s">
        <v>46</v>
      </c>
      <c r="C41" s="116" t="n">
        <f aca="false">Utilidad!A38</f>
        <v>0</v>
      </c>
      <c r="D41" s="117" t="n">
        <f aca="false">IF(Utilidad!C$46&gt;1,Utilidad!C38/100,Utilidad!C38)</f>
        <v>0</v>
      </c>
      <c r="E41" s="117" t="n">
        <f aca="false">IF(Utilidad!$E$46&gt;1,Utilidad!E38/100,Utilidad!E38)</f>
        <v>0</v>
      </c>
      <c r="G41" s="115" t="s">
        <v>46</v>
      </c>
      <c r="H41" s="116" t="n">
        <f aca="false">Utilidad!B38</f>
        <v>0</v>
      </c>
      <c r="I41" s="117" t="n">
        <f aca="false">IF(Utilidad!$D$46&gt;1,Utilidad!D38/100,Utilidad!D38)</f>
        <v>0</v>
      </c>
      <c r="J41" s="117" t="n">
        <f aca="false">IF(Utilidad!$F$46&gt;1,Utilidad!F38/100,Utilidad!F38)</f>
        <v>0</v>
      </c>
      <c r="L41" s="118" t="n">
        <f aca="false">+IF(C41&lt;&gt;0,(H41-C41)/C41,ABS(H41-C41))</f>
        <v>0</v>
      </c>
      <c r="M41" s="118" t="n">
        <f aca="false">+IF(D41&lt;&gt;0,(I41-D41)/D41,0)</f>
        <v>0</v>
      </c>
      <c r="N41" s="118" t="n">
        <f aca="false">+IF(E41&lt;&gt;0,(J41-E41)/E41,0)</f>
        <v>0</v>
      </c>
      <c r="P41" s="117" t="n">
        <f aca="false">+IF(L41&lt;&gt;"",ABS(L41),0)</f>
        <v>0</v>
      </c>
      <c r="Q41" s="117" t="n">
        <f aca="false">+IF(L41&lt;&gt;"",ABS(M41),0)</f>
        <v>0</v>
      </c>
      <c r="R41" s="117" t="n">
        <f aca="false">+IF(M41&lt;&gt;"",ABS(N41),0)</f>
        <v>0</v>
      </c>
      <c r="T41" s="119" t="str">
        <f aca="false">IF(J41&lt;=I41,"SI","NO")</f>
        <v>SI</v>
      </c>
    </row>
    <row r="42" customFormat="false" ht="21" hidden="false" customHeight="false" outlineLevel="0" collapsed="false">
      <c r="B42" s="115" t="s">
        <v>47</v>
      </c>
      <c r="C42" s="116" t="n">
        <f aca="false">Utilidad!A39</f>
        <v>0</v>
      </c>
      <c r="D42" s="117" t="n">
        <f aca="false">IF(Utilidad!C$46&gt;1,Utilidad!C39/100,Utilidad!C39)</f>
        <v>0</v>
      </c>
      <c r="E42" s="117" t="n">
        <f aca="false">IF(Utilidad!$E$46&gt;1,Utilidad!E39/100,Utilidad!E39)</f>
        <v>0</v>
      </c>
      <c r="G42" s="115" t="s">
        <v>47</v>
      </c>
      <c r="H42" s="116" t="n">
        <f aca="false">Utilidad!B39</f>
        <v>0</v>
      </c>
      <c r="I42" s="117" t="n">
        <f aca="false">IF(Utilidad!$D$46&gt;1,Utilidad!D39/100,Utilidad!D39)</f>
        <v>0</v>
      </c>
      <c r="J42" s="117" t="n">
        <f aca="false">IF(Utilidad!$F$46&gt;1,Utilidad!F39/100,Utilidad!F39)</f>
        <v>0</v>
      </c>
      <c r="L42" s="118" t="n">
        <f aca="false">+IF(C42&lt;&gt;0,(H42-C42)/C42,ABS(H42-C42))</f>
        <v>0</v>
      </c>
      <c r="M42" s="118" t="n">
        <f aca="false">+IF(D42&lt;&gt;0,(I42-D42)/D42,0)</f>
        <v>0</v>
      </c>
      <c r="N42" s="118" t="n">
        <f aca="false">+IF(E42&lt;&gt;0,(J42-E42)/E42,0)</f>
        <v>0</v>
      </c>
      <c r="P42" s="117" t="n">
        <f aca="false">+IF(L42&lt;&gt;"",ABS(L42),0)</f>
        <v>0</v>
      </c>
      <c r="Q42" s="117" t="n">
        <f aca="false">+IF(L42&lt;&gt;"",ABS(M42),0)</f>
        <v>0</v>
      </c>
      <c r="R42" s="117" t="n">
        <f aca="false">+IF(M42&lt;&gt;"",ABS(N42),0)</f>
        <v>0</v>
      </c>
      <c r="T42" s="119" t="str">
        <f aca="false">IF(J42&lt;=I42,"SI","NO")</f>
        <v>SI</v>
      </c>
    </row>
    <row r="43" customFormat="false" ht="21" hidden="false" customHeight="false" outlineLevel="0" collapsed="false">
      <c r="B43" s="115" t="s">
        <v>48</v>
      </c>
      <c r="C43" s="116" t="n">
        <f aca="false">Utilidad!A40</f>
        <v>1834605</v>
      </c>
      <c r="D43" s="117" t="n">
        <f aca="false">IF(Utilidad!C$46&gt;1,Utilidad!C40/100,Utilidad!C40)</f>
        <v>0.1597</v>
      </c>
      <c r="E43" s="117" t="n">
        <f aca="false">IF(Utilidad!$E$46&gt;1,Utilidad!E40/100,Utilidad!E40)</f>
        <v>0.1187</v>
      </c>
      <c r="G43" s="115" t="s">
        <v>48</v>
      </c>
      <c r="H43" s="116" t="n">
        <f aca="false">Utilidad!B40</f>
        <v>1834605</v>
      </c>
      <c r="I43" s="117" t="n">
        <f aca="false">IF(Utilidad!$D$46&gt;1,Utilidad!D40/100,Utilidad!D40)</f>
        <v>0.16027230537</v>
      </c>
      <c r="J43" s="117" t="n">
        <f aca="false">IF(Utilidad!$F$46&gt;1,Utilidad!F40/100,Utilidad!F40)</f>
        <v>0.115139</v>
      </c>
      <c r="L43" s="118" t="n">
        <f aca="false">+IF(C43&lt;&gt;0,(H43-C43)/C43,ABS(H43-C43))</f>
        <v>0</v>
      </c>
      <c r="M43" s="118" t="n">
        <f aca="false">+IF(D43&lt;&gt;0,(I43-D43)/D43,0)</f>
        <v>0.00358362786474639</v>
      </c>
      <c r="N43" s="118" t="n">
        <f aca="false">+IF(E43&lt;&gt;0,(J43-E43)/E43,0)</f>
        <v>-0.03</v>
      </c>
      <c r="P43" s="117" t="n">
        <f aca="false">+IF(L43&lt;&gt;"",ABS(L43),0)</f>
        <v>0</v>
      </c>
      <c r="Q43" s="117" t="n">
        <f aca="false">+IF(L43&lt;&gt;"",ABS(M43),0)</f>
        <v>0.00358362786474639</v>
      </c>
      <c r="R43" s="117" t="n">
        <f aca="false">+IF(M43&lt;&gt;"",ABS(N43),0)</f>
        <v>0.03</v>
      </c>
      <c r="T43" s="119" t="str">
        <f aca="false">IF(J43&lt;=I43,"SI","NO")</f>
        <v>SI</v>
      </c>
    </row>
    <row r="44" customFormat="false" ht="21" hidden="false" customHeight="false" outlineLevel="0" collapsed="false">
      <c r="B44" s="115" t="s">
        <v>49</v>
      </c>
      <c r="C44" s="116" t="n">
        <f aca="false">Utilidad!A41</f>
        <v>1061403.52317296</v>
      </c>
      <c r="D44" s="117" t="n">
        <f aca="false">IF(Utilidad!C$46&gt;1,Utilidad!C41/100,Utilidad!C41)</f>
        <v>0.052833</v>
      </c>
      <c r="E44" s="117" t="n">
        <f aca="false">IF(Utilidad!$E$46&gt;1,Utilidad!E41/100,Utilidad!E41)</f>
        <v>0.003333</v>
      </c>
      <c r="G44" s="115" t="s">
        <v>49</v>
      </c>
      <c r="H44" s="116" t="n">
        <f aca="false">Utilidad!B41</f>
        <v>1072808.2403</v>
      </c>
      <c r="I44" s="117" t="n">
        <f aca="false">IF(Utilidad!$D$46&gt;1,Utilidad!D41/100,Utilidad!D41)</f>
        <v>0.0581163</v>
      </c>
      <c r="J44" s="117" t="n">
        <f aca="false">IF(Utilidad!$F$46&gt;1,Utilidad!F41/100,Utilidad!F41)</f>
        <v>0.0029997</v>
      </c>
      <c r="L44" s="118" t="n">
        <f aca="false">+IF(C44&lt;&gt;0,(H44-C44)/C44,ABS(H44-C44))</f>
        <v>0.0107449399573726</v>
      </c>
      <c r="M44" s="118" t="n">
        <f aca="false">+IF(D44&lt;&gt;0,(I44-D44)/D44,0)</f>
        <v>0.1</v>
      </c>
      <c r="N44" s="118" t="n">
        <f aca="false">+IF(E44&lt;&gt;0,(J44-E44)/E44,0)</f>
        <v>-0.1</v>
      </c>
      <c r="P44" s="117" t="n">
        <f aca="false">+IF(L44&lt;&gt;"",ABS(L44),0)</f>
        <v>0.0107449399573726</v>
      </c>
      <c r="Q44" s="117" t="n">
        <f aca="false">+IF(L44&lt;&gt;"",ABS(M44),0)</f>
        <v>0.1</v>
      </c>
      <c r="R44" s="117" t="n">
        <f aca="false">+IF(M44&lt;&gt;"",ABS(N44),0)</f>
        <v>0.1</v>
      </c>
      <c r="T44" s="119" t="str">
        <f aca="false">IF(J44&lt;=I44,"SI","NO")</f>
        <v>SI</v>
      </c>
    </row>
    <row r="45" customFormat="false" ht="21" hidden="false" customHeight="false" outlineLevel="0" collapsed="false">
      <c r="B45" s="115" t="s">
        <v>50</v>
      </c>
      <c r="C45" s="116" t="n">
        <f aca="false">Utilidad!A42</f>
        <v>773201.476827037</v>
      </c>
      <c r="D45" s="117" t="n">
        <f aca="false">IF(Utilidad!C$46&gt;1,Utilidad!C42/100,Utilidad!C42)</f>
        <v>0.3064</v>
      </c>
      <c r="E45" s="117" t="n">
        <f aca="false">IF(Utilidad!$E$46&gt;1,Utilidad!E42/100,Utilidad!E42)</f>
        <v>0.278633</v>
      </c>
      <c r="G45" s="115" t="s">
        <v>50</v>
      </c>
      <c r="H45" s="116" t="n">
        <f aca="false">Utilidad!B42</f>
        <v>761796.75971</v>
      </c>
      <c r="I45" s="117" t="n">
        <f aca="false">IF(Utilidad!$D$46&gt;1,Utilidad!D42/100,Utilidad!D42)</f>
        <v>0.30413456647</v>
      </c>
      <c r="J45" s="117" t="n">
        <f aca="false">IF(Utilidad!$F$46&gt;1,Utilidad!F42/100,Utilidad!F42)</f>
        <v>0.27306034</v>
      </c>
      <c r="L45" s="118" t="n">
        <f aca="false">+IF(C45&lt;&gt;0,(H45-C45)/C45,ABS(H45-C45))</f>
        <v>-0.0147499939651415</v>
      </c>
      <c r="M45" s="118" t="n">
        <f aca="false">+IF(D45&lt;&gt;0,(I45-D45)/D45,0)</f>
        <v>-0.00739371256527424</v>
      </c>
      <c r="N45" s="118" t="n">
        <f aca="false">+IF(E45&lt;&gt;0,(J45-E45)/E45,0)</f>
        <v>-0.0199999999999998</v>
      </c>
      <c r="P45" s="117" t="n">
        <f aca="false">+IF(L45&lt;&gt;"",ABS(L45),0)</f>
        <v>0.0147499939651415</v>
      </c>
      <c r="Q45" s="117" t="n">
        <f aca="false">+IF(L45&lt;&gt;"",ABS(M45),0)</f>
        <v>0.00739371256527424</v>
      </c>
      <c r="R45" s="117" t="n">
        <f aca="false">+IF(M45&lt;&gt;"",ABS(N45),0)</f>
        <v>0.0199999999999998</v>
      </c>
      <c r="T45" s="119" t="str">
        <f aca="false">IF(J45&lt;=I45,"SI","NO")</f>
        <v>SI</v>
      </c>
    </row>
    <row r="46" customFormat="false" ht="21" hidden="false" customHeight="false" outlineLevel="0" collapsed="false">
      <c r="B46" s="115" t="s">
        <v>51</v>
      </c>
      <c r="C46" s="116" t="n">
        <f aca="false">Utilidad!A43</f>
        <v>211423.472272677</v>
      </c>
      <c r="D46" s="117" t="n">
        <f aca="false">IF(Utilidad!C$46&gt;1,Utilidad!C43/100,Utilidad!C43)</f>
        <v>0.058283</v>
      </c>
      <c r="E46" s="117" t="n">
        <f aca="false">IF(Utilidad!$E$46&gt;1,Utilidad!E43/100,Utilidad!E43)</f>
        <v>0.00285</v>
      </c>
      <c r="G46" s="115" t="s">
        <v>51</v>
      </c>
      <c r="H46" s="116" t="n">
        <f aca="false">Utilidad!B43</f>
        <v>203770.97003</v>
      </c>
      <c r="I46" s="117" t="n">
        <f aca="false">IF(Utilidad!$D$46&gt;1,Utilidad!D43/100,Utilidad!D43)</f>
        <v>0.0641113</v>
      </c>
      <c r="J46" s="117" t="n">
        <f aca="false">IF(Utilidad!$F$46&gt;1,Utilidad!F43/100,Utilidad!F43)</f>
        <v>0.002565</v>
      </c>
      <c r="L46" s="118" t="n">
        <f aca="false">+IF(C46&lt;&gt;0,(H46-C46)/C46,ABS(H46-C46))</f>
        <v>-0.0361951403049844</v>
      </c>
      <c r="M46" s="118" t="n">
        <f aca="false">+IF(D46&lt;&gt;0,(I46-D46)/D46,0)</f>
        <v>0.1</v>
      </c>
      <c r="N46" s="118" t="n">
        <f aca="false">+IF(E46&lt;&gt;0,(J46-E46)/E46,0)</f>
        <v>-0.0999999999999999</v>
      </c>
      <c r="P46" s="117" t="n">
        <f aca="false">+IF(L46&lt;&gt;"",ABS(L46),0)</f>
        <v>0.0361951403049844</v>
      </c>
      <c r="Q46" s="117" t="n">
        <f aca="false">+IF(L46&lt;&gt;"",ABS(M46),0)</f>
        <v>0.1</v>
      </c>
      <c r="R46" s="117" t="n">
        <f aca="false">+IF(M46&lt;&gt;"",ABS(N46),0)</f>
        <v>0.0999999999999999</v>
      </c>
      <c r="T46" s="119" t="str">
        <f aca="false">IF(J46&lt;=I46,"SI","NO")</f>
        <v>SI</v>
      </c>
    </row>
    <row r="47" customFormat="false" ht="21" hidden="false" customHeight="false" outlineLevel="0" collapsed="false">
      <c r="B47" s="115" t="s">
        <v>52</v>
      </c>
      <c r="C47" s="116" t="n">
        <f aca="false">Utilidad!A44</f>
        <v>561778.004554361</v>
      </c>
      <c r="D47" s="117" t="n">
        <f aca="false">IF(Utilidad!C$46&gt;1,Utilidad!C44/100,Utilidad!C44)</f>
        <v>0.399778</v>
      </c>
      <c r="E47" s="117" t="n">
        <f aca="false">IF(Utilidad!$E$46&gt;1,Utilidad!E44/100,Utilidad!E44)</f>
        <v>0.379424</v>
      </c>
      <c r="G47" s="115" t="s">
        <v>52</v>
      </c>
      <c r="H47" s="116" t="n">
        <f aca="false">Utilidad!B44</f>
        <v>558025.78968</v>
      </c>
      <c r="I47" s="117" t="n">
        <f aca="false">IF(Utilidad!$D$46&gt;1,Utilidad!D44/100,Utilidad!D44)</f>
        <v>0.39178244</v>
      </c>
      <c r="J47" s="117" t="n">
        <f aca="false">IF(Utilidad!$F$46&gt;1,Utilidad!F44/100,Utilidad!F44)</f>
        <v>0.37183552</v>
      </c>
      <c r="L47" s="118" t="n">
        <f aca="false">+IF(C47&lt;&gt;0,(H47-C47)/C47,ABS(H47-C47))</f>
        <v>-0.0066791772620881</v>
      </c>
      <c r="M47" s="118" t="n">
        <f aca="false">+IF(D47&lt;&gt;0,(I47-D47)/D47,0)</f>
        <v>-0.02</v>
      </c>
      <c r="N47" s="118" t="n">
        <f aca="false">+IF(E47&lt;&gt;0,(J47-E47)/E47,0)</f>
        <v>-0.02</v>
      </c>
      <c r="P47" s="117" t="n">
        <f aca="false">+IF(L47&lt;&gt;"",ABS(L47),0)</f>
        <v>0.0066791772620881</v>
      </c>
      <c r="Q47" s="117" t="n">
        <f aca="false">+IF(L47&lt;&gt;"",ABS(M47),0)</f>
        <v>0.02</v>
      </c>
      <c r="R47" s="117" t="n">
        <f aca="false">+IF(M47&lt;&gt;"",ABS(N47),0)</f>
        <v>0.02</v>
      </c>
      <c r="T47" s="119" t="str">
        <f aca="false">IF(J47&lt;=I47,"SI","NO")</f>
        <v>SI</v>
      </c>
    </row>
    <row r="48" customFormat="false" ht="21" hidden="false" customHeight="false" outlineLevel="0" collapsed="false">
      <c r="B48" s="115" t="s">
        <v>53</v>
      </c>
      <c r="C48" s="116" t="n">
        <f aca="false">Utilidad!A45</f>
        <v>0</v>
      </c>
      <c r="D48" s="117" t="n">
        <f aca="false">IF(Utilidad!C$46&gt;1,Utilidad!C45/100,Utilidad!C45)</f>
        <v>0</v>
      </c>
      <c r="E48" s="117" t="n">
        <f aca="false">IF(Utilidad!$E$46&gt;1,Utilidad!E45/100,Utilidad!E45)</f>
        <v>0</v>
      </c>
      <c r="G48" s="115" t="s">
        <v>53</v>
      </c>
      <c r="H48" s="116" t="n">
        <f aca="false">Utilidad!B45</f>
        <v>0</v>
      </c>
      <c r="I48" s="117" t="n">
        <f aca="false">IF(Utilidad!$D$46&gt;1,Utilidad!D45/100,Utilidad!D45)</f>
        <v>0</v>
      </c>
      <c r="J48" s="117" t="n">
        <f aca="false">IF(Utilidad!$F$46&gt;1,Utilidad!F45/100,Utilidad!F45)</f>
        <v>0</v>
      </c>
      <c r="L48" s="118" t="n">
        <f aca="false">+IF(C48&lt;&gt;0,(H48-C48)/C48,ABS(H48-C48))</f>
        <v>0</v>
      </c>
      <c r="M48" s="118" t="n">
        <f aca="false">+IF(D48&lt;&gt;0,(I48-D48)/D48,0)</f>
        <v>0</v>
      </c>
      <c r="N48" s="118" t="n">
        <f aca="false">+IF(E48&lt;&gt;0,(J48-E48)/E48,0)</f>
        <v>0</v>
      </c>
      <c r="P48" s="117" t="n">
        <f aca="false">+IF(L48&lt;&gt;"",ABS(L48),0)</f>
        <v>0</v>
      </c>
      <c r="Q48" s="117" t="n">
        <f aca="false">+IF(L48&lt;&gt;"",ABS(M48),0)</f>
        <v>0</v>
      </c>
      <c r="R48" s="117" t="n">
        <f aca="false">+IF(M48&lt;&gt;"",ABS(N48),0)</f>
        <v>0</v>
      </c>
      <c r="T48" s="119" t="str">
        <f aca="false">IF(J48&lt;=I48,"SI","NO")</f>
        <v>SI</v>
      </c>
    </row>
    <row r="49" customFormat="false" ht="21" hidden="false" customHeight="false" outlineLevel="0" collapsed="false">
      <c r="B49" s="115" t="s">
        <v>54</v>
      </c>
      <c r="C49" s="116" t="n">
        <f aca="false">Utilidad!A46</f>
        <v>18407</v>
      </c>
      <c r="D49" s="117" t="n">
        <f aca="false">IF(Utilidad!C$46&gt;1,Utilidad!C46/100,Utilidad!C46)</f>
        <v>0.47083</v>
      </c>
      <c r="E49" s="117" t="n">
        <f aca="false">IF(Utilidad!$E$46&gt;1,Utilidad!E46/100,Utilidad!E46)</f>
        <v>0.450844</v>
      </c>
      <c r="G49" s="115" t="s">
        <v>54</v>
      </c>
      <c r="H49" s="116" t="n">
        <f aca="false">Utilidad!B46</f>
        <v>21192.93</v>
      </c>
      <c r="I49" s="117" t="n">
        <f aca="false">IF(Utilidad!$D$46&gt;1,Utilidad!D46/100,Utilidad!D46)</f>
        <v>0.46152391564</v>
      </c>
      <c r="J49" s="117" t="n">
        <f aca="false">IF(Utilidad!$F$46&gt;1,Utilidad!F46/100,Utilidad!F46)</f>
        <v>0.43860703658</v>
      </c>
      <c r="L49" s="118" t="n">
        <f aca="false">+IF(C49&lt;&gt;0,(H49-C49)/C49,ABS(H49-C49))</f>
        <v>0.151351659694681</v>
      </c>
      <c r="M49" s="118" t="n">
        <f aca="false">+IF(D49&lt;&gt;0,(I49-D49)/D49,0)</f>
        <v>-0.0197652748550432</v>
      </c>
      <c r="N49" s="118" t="n">
        <f aca="false">+IF(E49&lt;&gt;0,(J49-E49)/E49,0)</f>
        <v>-0.0271423450683607</v>
      </c>
      <c r="P49" s="117" t="n">
        <f aca="false">+IF(L49&lt;&gt;"",ABS(L49),0)</f>
        <v>0.151351659694681</v>
      </c>
      <c r="Q49" s="117" t="n">
        <f aca="false">+IF(L49&lt;&gt;"",ABS(M49),0)</f>
        <v>0.0197652748550432</v>
      </c>
      <c r="R49" s="117" t="n">
        <f aca="false">+IF(M49&lt;&gt;"",ABS(N49),0)</f>
        <v>0.0271423450683607</v>
      </c>
      <c r="T49" s="119" t="str">
        <f aca="false">IF(J49&lt;=I49,"SI","NO")</f>
        <v>SI</v>
      </c>
    </row>
    <row r="50" customFormat="false" ht="21" hidden="false" customHeight="false" outlineLevel="0" collapsed="false">
      <c r="B50" s="115" t="s">
        <v>55</v>
      </c>
      <c r="C50" s="116" t="n">
        <f aca="false">Utilidad!A47</f>
        <v>565914.004554361</v>
      </c>
      <c r="D50" s="117" t="n">
        <f aca="false">IF(Utilidad!C$46&gt;1,Utilidad!C47/100,Utilidad!C47)</f>
        <v>0.36315</v>
      </c>
      <c r="E50" s="117" t="n">
        <f aca="false">IF(Utilidad!$E$46&gt;1,Utilidad!E47/100,Utilidad!E47)</f>
        <v>0.342683</v>
      </c>
      <c r="G50" s="115" t="s">
        <v>55</v>
      </c>
      <c r="H50" s="116" t="n">
        <f aca="false">Utilidad!B47</f>
        <v>554962.39968</v>
      </c>
      <c r="I50" s="117" t="n">
        <f aca="false">IF(Utilidad!$D$46&gt;1,Utilidad!D47/100,Utilidad!D47)</f>
        <v>0.39507435902</v>
      </c>
      <c r="J50" s="117" t="n">
        <f aca="false">IF(Utilidad!$F$46&gt;1,Utilidad!F47/100,Utilidad!F47)</f>
        <v>0.37492236982</v>
      </c>
      <c r="L50" s="118" t="n">
        <f aca="false">+IF(C50&lt;&gt;0,(H50-C50)/C50,ABS(H50-C50))</f>
        <v>-0.0193520654838446</v>
      </c>
      <c r="M50" s="118" t="n">
        <f aca="false">+IF(D50&lt;&gt;0,(I50-D50)/D50,0)</f>
        <v>0.0879095663499932</v>
      </c>
      <c r="N50" s="118" t="n">
        <f aca="false">+IF(E50&lt;&gt;0,(J50-E50)/E50,0)</f>
        <v>0.0940792797425025</v>
      </c>
      <c r="P50" s="117" t="n">
        <f aca="false">+IF(L50&lt;&gt;"",ABS(L50),0)</f>
        <v>0.0193520654838446</v>
      </c>
      <c r="Q50" s="117" t="n">
        <f aca="false">+IF(L50&lt;&gt;"",ABS(M50),0)</f>
        <v>0.0879095663499932</v>
      </c>
      <c r="R50" s="117" t="n">
        <f aca="false">+IF(M50&lt;&gt;"",ABS(N50),0)</f>
        <v>0.0940792797425025</v>
      </c>
      <c r="T50" s="119" t="str">
        <f aca="false">IF(J50&lt;=I50,"SI","NO")</f>
        <v>SI</v>
      </c>
    </row>
    <row r="51" customFormat="false" ht="21" hidden="false" customHeight="false" outlineLevel="0" collapsed="false">
      <c r="B51" s="115" t="s">
        <v>56</v>
      </c>
      <c r="C51" s="116" t="n">
        <f aca="false">Utilidad!A48</f>
        <v>139295.212168219</v>
      </c>
      <c r="D51" s="117" t="n">
        <f aca="false">IF(Utilidad!C$46&gt;1,Utilidad!C48/100,Utilidad!C48)</f>
        <v>0.05295</v>
      </c>
      <c r="E51" s="117" t="n">
        <f aca="false">IF(Utilidad!$E$46&gt;1,Utilidad!E48/100,Utilidad!E48)</f>
        <v>0.006</v>
      </c>
      <c r="G51" s="115" t="s">
        <v>56</v>
      </c>
      <c r="H51" s="116" t="n">
        <f aca="false">Utilidad!B48</f>
        <v>85400.163704</v>
      </c>
      <c r="I51" s="117" t="n">
        <f aca="false">IF(Utilidad!$D$46&gt;1,Utilidad!D48/100,Utilidad!D48)</f>
        <v>0.046596</v>
      </c>
      <c r="J51" s="117" t="n">
        <f aca="false">IF(Utilidad!$F$46&gt;1,Utilidad!F48/100,Utilidad!F48)</f>
        <v>0.00672</v>
      </c>
      <c r="L51" s="118" t="n">
        <f aca="false">+IF(C51&lt;&gt;0,(H51-C51)/C51,ABS(H51-C51))</f>
        <v>-0.386912425957131</v>
      </c>
      <c r="M51" s="118" t="n">
        <f aca="false">+IF(D51&lt;&gt;0,(I51-D51)/D51,0)</f>
        <v>-0.12</v>
      </c>
      <c r="N51" s="118" t="n">
        <f aca="false">+IF(E51&lt;&gt;0,(J51-E51)/E51,0)</f>
        <v>0.12</v>
      </c>
      <c r="P51" s="117" t="n">
        <f aca="false">+IF(L51&lt;&gt;"",ABS(L51),0)</f>
        <v>0.386912425957131</v>
      </c>
      <c r="Q51" s="117" t="n">
        <f aca="false">+IF(L51&lt;&gt;"",ABS(M51),0)</f>
        <v>0.12</v>
      </c>
      <c r="R51" s="117" t="n">
        <f aca="false">+IF(M51&lt;&gt;"",ABS(N51),0)</f>
        <v>0.12</v>
      </c>
      <c r="T51" s="119" t="str">
        <f aca="false">IF(J51&lt;=I51,"SI","NO")</f>
        <v>SI</v>
      </c>
    </row>
    <row r="52" customFormat="false" ht="21" hidden="false" customHeight="false" outlineLevel="0" collapsed="false">
      <c r="B52" s="115" t="s">
        <v>57</v>
      </c>
      <c r="C52" s="116" t="n">
        <f aca="false">Utilidad!A49</f>
        <v>426618.792386142</v>
      </c>
      <c r="D52" s="117" t="n">
        <f aca="false">IF(Utilidad!C$46&gt;1,Utilidad!C49/100,Utilidad!C49)</f>
        <v>0.464433</v>
      </c>
      <c r="E52" s="117" t="n">
        <f aca="false">IF(Utilidad!$E$46&gt;1,Utilidad!E49/100,Utilidad!E49)</f>
        <v>0.449867</v>
      </c>
      <c r="G52" s="115" t="s">
        <v>57</v>
      </c>
      <c r="H52" s="116" t="n">
        <f aca="false">Utilidad!B49</f>
        <v>475442.55597</v>
      </c>
      <c r="I52" s="117" t="n">
        <f aca="false">IF(Utilidad!$D$46&gt;1,Utilidad!D49/100,Utilidad!D49)</f>
        <v>0.45781639824</v>
      </c>
      <c r="J52" s="117" t="n">
        <f aca="false">IF(Utilidad!$F$46&gt;1,Utilidad!F49/100,Utilidad!F49)</f>
        <v>0.44086966</v>
      </c>
      <c r="L52" s="118" t="n">
        <f aca="false">+IF(C52&lt;&gt;0,(H52-C52)/C52,ABS(H52-C52))</f>
        <v>0.114443537076225</v>
      </c>
      <c r="M52" s="118" t="n">
        <f aca="false">+IF(D52&lt;&gt;0,(I52-D52)/D52,0)</f>
        <v>-0.0142466227852025</v>
      </c>
      <c r="N52" s="118" t="n">
        <f aca="false">+IF(E52&lt;&gt;0,(J52-E52)/E52,0)</f>
        <v>-0.0200000000000002</v>
      </c>
      <c r="P52" s="117" t="n">
        <f aca="false">+IF(L52&lt;&gt;"",ABS(L52),0)</f>
        <v>0.114443537076225</v>
      </c>
      <c r="Q52" s="117" t="n">
        <f aca="false">+IF(L52&lt;&gt;"",ABS(M52),0)</f>
        <v>0.0142466227852025</v>
      </c>
      <c r="R52" s="117" t="n">
        <f aca="false">+IF(M52&lt;&gt;"",ABS(N52),0)</f>
        <v>0.0200000000000002</v>
      </c>
      <c r="T52" s="119" t="str">
        <f aca="false">IF(J52&lt;=I52,"SI","NO")</f>
        <v>SI</v>
      </c>
    </row>
    <row r="53" customFormat="false" ht="21" hidden="false" customHeight="false" outlineLevel="0" collapsed="false">
      <c r="B53" s="115" t="s">
        <v>58</v>
      </c>
      <c r="C53" s="116" t="n">
        <f aca="false">Utilidad!A50</f>
        <v>104563.42624306</v>
      </c>
      <c r="D53" s="117" t="n">
        <f aca="false">IF(Utilidad!C$46&gt;1,Utilidad!C50/100,Utilidad!C50)</f>
        <v>0.096117</v>
      </c>
      <c r="E53" s="117" t="n">
        <f aca="false">IF(Utilidad!$E$46&gt;1,Utilidad!E50/100,Utilidad!E50)</f>
        <v>0.059017</v>
      </c>
      <c r="G53" s="115" t="s">
        <v>58</v>
      </c>
      <c r="H53" s="116" t="n">
        <f aca="false">Utilidad!B50</f>
        <v>117510.73964</v>
      </c>
      <c r="I53" s="117" t="n">
        <f aca="false">IF(Utilidad!$D$46&gt;1,Utilidad!D50/100,Utilidad!D50)</f>
        <v>0.089365182362</v>
      </c>
      <c r="J53" s="117" t="n">
        <f aca="false">IF(Utilidad!$F$46&gt;1,Utilidad!F50/100,Utilidad!F50)</f>
        <v>0.06609904</v>
      </c>
      <c r="L53" s="118" t="n">
        <f aca="false">+IF(C53&lt;&gt;0,(H53-C53)/C53,ABS(H53-C53))</f>
        <v>0.123822581777725</v>
      </c>
      <c r="M53" s="118" t="n">
        <f aca="false">+IF(D53&lt;&gt;0,(I53-D53)/D53,0)</f>
        <v>-0.0702458216340502</v>
      </c>
      <c r="N53" s="118" t="n">
        <f aca="false">+IF(E53&lt;&gt;0,(J53-E53)/E53,0)</f>
        <v>0.12</v>
      </c>
      <c r="P53" s="117" t="n">
        <f aca="false">+IF(L53&lt;&gt;"",ABS(L53),0)</f>
        <v>0.123822581777725</v>
      </c>
      <c r="Q53" s="117" t="n">
        <f aca="false">+IF(L53&lt;&gt;"",ABS(M53),0)</f>
        <v>0.0702458216340502</v>
      </c>
      <c r="R53" s="117" t="n">
        <f aca="false">+IF(M53&lt;&gt;"",ABS(N53),0)</f>
        <v>0.12</v>
      </c>
      <c r="T53" s="119" t="str">
        <f aca="false">IF(J53&lt;=I53,"SI","NO")</f>
        <v>SI</v>
      </c>
    </row>
    <row r="54" customFormat="false" ht="21" hidden="false" customHeight="false" outlineLevel="0" collapsed="false">
      <c r="B54" s="115" t="s">
        <v>59</v>
      </c>
      <c r="C54" s="116" t="n">
        <f aca="false">Utilidad!A51</f>
        <v>322055.366143082</v>
      </c>
      <c r="D54" s="117" t="n">
        <f aca="false">IF(Utilidad!C$46&gt;1,Utilidad!C51/100,Utilidad!C51)</f>
        <v>0.584017</v>
      </c>
      <c r="E54" s="117" t="n">
        <f aca="false">IF(Utilidad!$E$46&gt;1,Utilidad!E51/100,Utilidad!E51)</f>
        <v>0.575417</v>
      </c>
      <c r="G54" s="115" t="s">
        <v>59</v>
      </c>
      <c r="H54" s="116" t="n">
        <f aca="false">Utilidad!B51</f>
        <v>357931.81634</v>
      </c>
      <c r="I54" s="117" t="n">
        <f aca="false">IF(Utilidad!$D$46&gt;1,Utilidad!D51/100,Utilidad!D51)</f>
        <v>0.57878070742</v>
      </c>
      <c r="J54" s="117" t="n">
        <f aca="false">IF(Utilidad!$F$46&gt;1,Utilidad!F51/100,Utilidad!F51)</f>
        <v>0.56390866</v>
      </c>
      <c r="L54" s="118" t="n">
        <f aca="false">+IF(C54&lt;&gt;0,(H54-C54)/C54,ABS(H54-C54))</f>
        <v>0.111398392849565</v>
      </c>
      <c r="M54" s="118" t="n">
        <f aca="false">+IF(D54&lt;&gt;0,(I54-D54)/D54,0)</f>
        <v>-0.00896599342142442</v>
      </c>
      <c r="N54" s="118" t="n">
        <f aca="false">+IF(E54&lt;&gt;0,(J54-E54)/E54,0)</f>
        <v>-0.0199999999999998</v>
      </c>
      <c r="O54" s="120"/>
      <c r="P54" s="117" t="n">
        <f aca="false">+IF(L54&lt;&gt;"",ABS(L54),0)</f>
        <v>0.111398392849565</v>
      </c>
      <c r="Q54" s="117" t="n">
        <f aca="false">+IF(L54&lt;&gt;"",ABS(M54),0)</f>
        <v>0.00896599342142442</v>
      </c>
      <c r="R54" s="117" t="n">
        <f aca="false">+IF(M54&lt;&gt;"",ABS(N54),0)</f>
        <v>0.0199999999999998</v>
      </c>
      <c r="T54" s="119" t="str">
        <f aca="false">IF(J54&lt;=I54,"SI","NO")</f>
        <v>SI</v>
      </c>
    </row>
    <row r="55" customFormat="false" ht="21" hidden="false" customHeight="false" outlineLevel="0" collapsed="false">
      <c r="B55" s="115" t="s">
        <v>60</v>
      </c>
      <c r="C55" s="116" t="n">
        <f aca="false">Utilidad!A52</f>
        <v>0</v>
      </c>
      <c r="D55" s="117" t="n">
        <f aca="false">IF(Utilidad!C$46&gt;1,Utilidad!C52/100,Utilidad!C52)</f>
        <v>0</v>
      </c>
      <c r="E55" s="117" t="n">
        <f aca="false">IF(Utilidad!$E$46&gt;1,Utilidad!E52/100,Utilidad!E52)</f>
        <v>0</v>
      </c>
      <c r="G55" s="115" t="s">
        <v>60</v>
      </c>
      <c r="H55" s="116" t="n">
        <f aca="false">Utilidad!B52</f>
        <v>0</v>
      </c>
      <c r="I55" s="117" t="n">
        <f aca="false">IF(Utilidad!$D$46&gt;1,Utilidad!D52/100,Utilidad!D52)</f>
        <v>0</v>
      </c>
      <c r="J55" s="117" t="n">
        <f aca="false">IF(Utilidad!$F$46&gt;1,Utilidad!F52/100,Utilidad!F52)</f>
        <v>0</v>
      </c>
      <c r="L55" s="118" t="n">
        <f aca="false">+IF(C55&lt;&gt;0,(H55-C55)/C55,ABS(H55-C55))</f>
        <v>0</v>
      </c>
      <c r="M55" s="118" t="n">
        <f aca="false">+IF(D55&lt;&gt;0,(I55-D55)/D55,0)</f>
        <v>0</v>
      </c>
      <c r="N55" s="118" t="n">
        <f aca="false">+IF(E55&lt;&gt;0,(J55-E55)/E55,0)</f>
        <v>0</v>
      </c>
      <c r="O55" s="27"/>
      <c r="P55" s="117" t="n">
        <f aca="false">+IF(L55&lt;&gt;"",ABS(L55),0)</f>
        <v>0</v>
      </c>
      <c r="Q55" s="117" t="n">
        <f aca="false">+IF(L55&lt;&gt;"",ABS(M55),0)</f>
        <v>0</v>
      </c>
      <c r="R55" s="117" t="n">
        <f aca="false">+IF(M55&lt;&gt;"",ABS(N55),0)</f>
        <v>0</v>
      </c>
      <c r="T55" s="119" t="str">
        <f aca="false">IF(J55&lt;=I55,"SI","NO")</f>
        <v>SI</v>
      </c>
    </row>
    <row r="56" customFormat="false" ht="21" hidden="false" customHeight="false" outlineLevel="0" collapsed="false">
      <c r="B56" s="115" t="s">
        <v>61</v>
      </c>
      <c r="C56" s="116" t="n">
        <f aca="false">Utilidad!A53</f>
        <v>322055.366143082</v>
      </c>
      <c r="D56" s="117" t="n">
        <f aca="false">IF(Utilidad!C$46&gt;1,Utilidad!C53/100,Utilidad!C53)</f>
        <v>0.584017</v>
      </c>
      <c r="E56" s="117" t="n">
        <f aca="false">IF(Utilidad!$E$46&gt;1,Utilidad!E53/100,Utilidad!E53)</f>
        <v>0.575417</v>
      </c>
      <c r="G56" s="115" t="s">
        <v>61</v>
      </c>
      <c r="H56" s="116" t="n">
        <f aca="false">Utilidad!B53</f>
        <v>357931.81634</v>
      </c>
      <c r="I56" s="117" t="n">
        <f aca="false">IF(Utilidad!$D$46&gt;1,Utilidad!D53/100,Utilidad!D53)</f>
        <v>0.57878070742</v>
      </c>
      <c r="J56" s="117" t="n">
        <f aca="false">IF(Utilidad!$F$46&gt;1,Utilidad!F53/100,Utilidad!F53)</f>
        <v>0.56390866</v>
      </c>
      <c r="L56" s="118" t="n">
        <f aca="false">+IF(C56&lt;&gt;0,(H56-C56)/C56,ABS(H56-C56))</f>
        <v>0.111398392849565</v>
      </c>
      <c r="M56" s="118" t="n">
        <f aca="false">+IF(D56&lt;&gt;0,(I56-D56)/D56,0)</f>
        <v>-0.00896599342142442</v>
      </c>
      <c r="N56" s="118" t="n">
        <f aca="false">+IF(E56&lt;&gt;0,(J56-E56)/E56,0)</f>
        <v>-0.0199999999999998</v>
      </c>
      <c r="O56" s="121"/>
      <c r="P56" s="117" t="n">
        <f aca="false">+IF(L56&lt;&gt;"",ABS(L56),0)</f>
        <v>0.111398392849565</v>
      </c>
      <c r="Q56" s="117" t="n">
        <f aca="false">+IF(L56&lt;&gt;"",ABS(M56),0)</f>
        <v>0.00896599342142442</v>
      </c>
      <c r="R56" s="117" t="n">
        <f aca="false">+IF(M56&lt;&gt;"",ABS(N56),0)</f>
        <v>0.0199999999999998</v>
      </c>
      <c r="T56" s="119" t="str">
        <f aca="false">IF(J56&lt;=I56,"SI","NO")</f>
        <v>SI</v>
      </c>
    </row>
    <row r="57" customFormat="false" ht="21" hidden="false" customHeight="false" outlineLevel="0" collapsed="false">
      <c r="B57" s="115" t="s">
        <v>62</v>
      </c>
      <c r="C57" s="116" t="n">
        <f aca="false">Utilidad!A54</f>
        <v>110227.211694123</v>
      </c>
      <c r="D57" s="117" t="n">
        <f aca="false">IF(Utilidad!C$46&gt;1,Utilidad!C54/100,Utilidad!C54)</f>
        <v>0.460767</v>
      </c>
      <c r="E57" s="117" t="n">
        <f aca="false">IF(Utilidad!$E$46&gt;1,Utilidad!E54/100,Utilidad!E54)</f>
        <v>0.44455</v>
      </c>
      <c r="G57" s="115" t="s">
        <v>62</v>
      </c>
      <c r="H57" s="116" t="n">
        <f aca="false">Utilidad!B54</f>
        <v>188804.81634</v>
      </c>
      <c r="I57" s="117" t="n">
        <f aca="false">IF(Utilidad!$D$46&gt;1,Utilidad!D54/100,Utilidad!D54)</f>
        <v>0.51605904</v>
      </c>
      <c r="J57" s="117" t="n">
        <f aca="false">IF(Utilidad!$F$46&gt;1,Utilidad!F54/100,Utilidad!F54)</f>
        <v>0.49476243792</v>
      </c>
      <c r="L57" s="118" t="n">
        <f aca="false">+IF(C57&lt;&gt;0,(H57-C57)/C57,ABS(H57-C57))</f>
        <v>0.712869385319554</v>
      </c>
      <c r="M57" s="118" t="n">
        <f aca="false">+IF(D57&lt;&gt;0,(I57-D57)/D57,0)</f>
        <v>0.12</v>
      </c>
      <c r="N57" s="118" t="n">
        <f aca="false">+IF(E57&lt;&gt;0,(J57-E57)/E57,0)</f>
        <v>0.112951159419638</v>
      </c>
      <c r="P57" s="117" t="n">
        <f aca="false">+IF(L57&lt;&gt;"",ABS(L57),0)</f>
        <v>0.712869385319554</v>
      </c>
      <c r="Q57" s="117" t="n">
        <f aca="false">+IF(L57&lt;&gt;"",ABS(M57),0)</f>
        <v>0.12</v>
      </c>
      <c r="R57" s="117" t="n">
        <f aca="false">+IF(M57&lt;&gt;"",ABS(N57),0)</f>
        <v>0.112951159419638</v>
      </c>
      <c r="T57" s="119" t="str">
        <f aca="false">IF(J57&lt;=I57,"SI","NO")</f>
        <v>SI</v>
      </c>
    </row>
    <row r="58" customFormat="false" ht="21" hidden="false" customHeight="false" outlineLevel="0" collapsed="false">
      <c r="B58" s="115" t="s">
        <v>63</v>
      </c>
      <c r="C58" s="116" t="n">
        <f aca="false">Utilidad!A55</f>
        <v>211828.15444896</v>
      </c>
      <c r="D58" s="117" t="n">
        <f aca="false">IF(Utilidad!C$46&gt;1,Utilidad!C55/100,Utilidad!C55)</f>
        <v>0.648151</v>
      </c>
      <c r="E58" s="117" t="n">
        <f aca="false">IF(Utilidad!$E$46&gt;1,Utilidad!E55/100,Utilidad!E55)</f>
        <v>0.640459</v>
      </c>
      <c r="G58" s="115" t="s">
        <v>63</v>
      </c>
      <c r="H58" s="116" t="n">
        <f aca="false">Utilidad!B55</f>
        <v>170313.66046</v>
      </c>
      <c r="I58" s="117" t="n">
        <f aca="false">IF(Utilidad!$D$46&gt;1,Utilidad!D55/100,Utilidad!D55)</f>
        <v>0.64744696725</v>
      </c>
      <c r="J58" s="117" t="n">
        <f aca="false">IF(Utilidad!$F$46&gt;1,Utilidad!F55/100,Utilidad!F55)</f>
        <v>0.63973870124</v>
      </c>
      <c r="L58" s="118" t="n">
        <f aca="false">+IF(C58&lt;&gt;0,(H58-C58)/C58,ABS(H58-C58))</f>
        <v>-0.195981946294882</v>
      </c>
      <c r="M58" s="118" t="n">
        <f aca="false">+IF(D58&lt;&gt;0,(I58-D58)/D58,0)</f>
        <v>-0.0010862171777874</v>
      </c>
      <c r="N58" s="118" t="n">
        <f aca="false">+IF(E58&lt;&gt;0,(J58-E58)/E58,0)</f>
        <v>-0.00112466022024831</v>
      </c>
      <c r="P58" s="117" t="n">
        <f aca="false">+IF(L58&lt;&gt;"",ABS(L58),0)</f>
        <v>0.195981946294882</v>
      </c>
      <c r="Q58" s="117" t="n">
        <f aca="false">+IF(L58&lt;&gt;"",ABS(M58),0)</f>
        <v>0.0010862171777874</v>
      </c>
      <c r="R58" s="117" t="n">
        <f aca="false">+IF(M58&lt;&gt;"",ABS(N58),0)</f>
        <v>0.00112466022024831</v>
      </c>
      <c r="T58" s="119" t="str">
        <f aca="false">IF(J58&lt;=I58,"SI","NO")</f>
        <v>SI</v>
      </c>
    </row>
    <row r="59" customFormat="false" ht="21" hidden="false" customHeight="false" outlineLevel="0" collapsed="false">
      <c r="B59" s="115" t="s">
        <v>64</v>
      </c>
      <c r="C59" s="116" t="n">
        <f aca="false">Utilidad!A56</f>
        <v>595.1666502732</v>
      </c>
      <c r="D59" s="117" t="n">
        <f aca="false">IF(Utilidad!C$46&gt;1,Utilidad!C56/100,Utilidad!C56)</f>
        <v>0.463783</v>
      </c>
      <c r="E59" s="117" t="n">
        <f aca="false">IF(Utilidad!$E$46&gt;1,Utilidad!E56/100,Utilidad!E56)</f>
        <v>0.4457</v>
      </c>
      <c r="G59" s="115" t="s">
        <v>64</v>
      </c>
      <c r="H59" s="116" t="n">
        <f aca="false">Utilidad!B56</f>
        <v>1186.6604602</v>
      </c>
      <c r="I59" s="117" t="n">
        <f aca="false">IF(Utilidad!$D$46&gt;1,Utilidad!D56/100,Utilidad!D56)</f>
        <v>0.45460800603</v>
      </c>
      <c r="J59" s="117" t="n">
        <f aca="false">IF(Utilidad!$F$46&gt;1,Utilidad!F56/100,Utilidad!F56)</f>
        <v>0.44572163933</v>
      </c>
      <c r="L59" s="118" t="n">
        <f aca="false">+IF(C59&lt;&gt;0,(H59-C59)/C59,ABS(H59-C59))</f>
        <v>0.993828887514591</v>
      </c>
      <c r="M59" s="118" t="n">
        <f aca="false">+IF(D59&lt;&gt;0,(I59-D59)/D59,0)</f>
        <v>-0.0197829458388946</v>
      </c>
      <c r="N59" s="118" t="n">
        <f aca="false">+IF(E59&lt;&gt;0,(J59-E59)/E59,0)</f>
        <v>4.85513349786617E-005</v>
      </c>
      <c r="O59" s="122"/>
      <c r="P59" s="117" t="n">
        <f aca="false">+IF(L59&lt;&gt;"",ABS(L59),0)</f>
        <v>0.993828887514591</v>
      </c>
      <c r="Q59" s="117" t="n">
        <f aca="false">+IF(L59&lt;&gt;"",ABS(M59),0)</f>
        <v>0.0197829458388946</v>
      </c>
      <c r="R59" s="117" t="n">
        <f aca="false">+IF(M59&lt;&gt;"",ABS(N59),0)</f>
        <v>4.85513349786617E-005</v>
      </c>
      <c r="T59" s="119" t="str">
        <f aca="false">IF(J59&lt;=I59,"SI","NO")</f>
        <v>SI</v>
      </c>
    </row>
    <row r="60" customFormat="false" ht="21" hidden="false" customHeight="false" outlineLevel="0" collapsed="false">
      <c r="B60" s="115" t="s">
        <v>65</v>
      </c>
      <c r="C60" s="116" t="n">
        <f aca="false">Utilidad!A57</f>
        <v>0</v>
      </c>
      <c r="D60" s="117" t="n">
        <f aca="false">IF(Utilidad!C$46&gt;1,Utilidad!C57/100,Utilidad!C57)</f>
        <v>0</v>
      </c>
      <c r="E60" s="117" t="n">
        <f aca="false">IF(Utilidad!$E$46&gt;1,Utilidad!E57/100,Utilidad!E57)</f>
        <v>0</v>
      </c>
      <c r="G60" s="115" t="s">
        <v>65</v>
      </c>
      <c r="H60" s="116" t="n">
        <f aca="false">Utilidad!B57</f>
        <v>0</v>
      </c>
      <c r="I60" s="117" t="n">
        <f aca="false">IF(Utilidad!$D$46&gt;1,Utilidad!D57/100,Utilidad!D57)</f>
        <v>0</v>
      </c>
      <c r="J60" s="117" t="n">
        <f aca="false">IF(Utilidad!$F$46&gt;1,Utilidad!F57/100,Utilidad!F57)</f>
        <v>0</v>
      </c>
      <c r="L60" s="118" t="n">
        <f aca="false">+IF(C60&lt;&gt;0,(H60-C60)/C60,ABS(H60-C60))</f>
        <v>0</v>
      </c>
      <c r="M60" s="118" t="n">
        <f aca="false">+IF(D60&lt;&gt;0,(I60-D60)/D60,0)</f>
        <v>0</v>
      </c>
      <c r="N60" s="118" t="n">
        <f aca="false">+IF(E60&lt;&gt;0,(J60-E60)/E60,0)</f>
        <v>0</v>
      </c>
      <c r="O60" s="122"/>
      <c r="P60" s="117" t="n">
        <f aca="false">+IF(L60&lt;&gt;"",ABS(L60),0)</f>
        <v>0</v>
      </c>
      <c r="Q60" s="117" t="n">
        <f aca="false">+IF(L60&lt;&gt;"",ABS(M60),0)</f>
        <v>0</v>
      </c>
      <c r="R60" s="117" t="n">
        <f aca="false">+IF(M60&lt;&gt;"",ABS(N60),0)</f>
        <v>0</v>
      </c>
      <c r="T60" s="119" t="str">
        <f aca="false">IF(J60&lt;=I60,"SI","NO")</f>
        <v>SI</v>
      </c>
    </row>
    <row r="61" customFormat="false" ht="21" hidden="false" customHeight="false" outlineLevel="0" collapsed="false">
      <c r="B61" s="115" t="s">
        <v>66</v>
      </c>
      <c r="C61" s="116" t="n">
        <f aca="false">Utilidad!A58</f>
        <v>169127</v>
      </c>
      <c r="D61" s="117" t="n">
        <f aca="false">IF(Utilidad!C$46&gt;1,Utilidad!C58/100,Utilidad!C58)</f>
        <v>0.6488</v>
      </c>
      <c r="E61" s="117" t="n">
        <f aca="false">IF(Utilidad!$E$46&gt;1,Utilidad!E58/100,Utilidad!E58)</f>
        <v>0.6411</v>
      </c>
      <c r="G61" s="115" t="s">
        <v>66</v>
      </c>
      <c r="H61" s="116" t="n">
        <f aca="false">Utilidad!B58</f>
        <v>169127</v>
      </c>
      <c r="I61" s="117" t="n">
        <f aca="false">IF(Utilidad!$D$46&gt;1,Utilidad!D58/100,Utilidad!D58)</f>
        <v>0.6488</v>
      </c>
      <c r="J61" s="117" t="n">
        <f aca="false">IF(Utilidad!$F$46&gt;1,Utilidad!F58/100,Utilidad!F58)</f>
        <v>0.6411</v>
      </c>
      <c r="L61" s="118" t="n">
        <f aca="false">+IF(C61&lt;&gt;0,(H61-C61)/C61,ABS(H61-C61))</f>
        <v>0</v>
      </c>
      <c r="M61" s="118" t="n">
        <f aca="false">+IF(D61&lt;&gt;0,(I61-D61)/D61,0)</f>
        <v>0</v>
      </c>
      <c r="N61" s="118" t="n">
        <f aca="false">+IF(E61&lt;&gt;0,(J61-E61)/E61,0)</f>
        <v>0</v>
      </c>
      <c r="P61" s="117" t="n">
        <f aca="false">+IF(L61&lt;&gt;"",ABS(L61),0)</f>
        <v>0</v>
      </c>
      <c r="Q61" s="117" t="n">
        <f aca="false">+IF(L61&lt;&gt;"",ABS(M61),0)</f>
        <v>0</v>
      </c>
      <c r="R61" s="117" t="n">
        <f aca="false">+IF(M61&lt;&gt;"",ABS(N61),0)</f>
        <v>0</v>
      </c>
      <c r="T61" s="119" t="str">
        <f aca="false">IF(J61&lt;=I61,"SI","NO")</f>
        <v>SI</v>
      </c>
    </row>
    <row r="62" customFormat="false" ht="21" hidden="false" customHeight="false" outlineLevel="0" collapsed="false">
      <c r="B62" s="115" t="s">
        <v>67</v>
      </c>
      <c r="C62" s="116" t="n">
        <f aca="false">Utilidad!A59</f>
        <v>1626912.84555104</v>
      </c>
      <c r="D62" s="117" t="n">
        <f aca="false">IF(Utilidad!C$46&gt;1,Utilidad!C59/100,Utilidad!C59)</f>
        <v>0.083972</v>
      </c>
      <c r="E62" s="117" t="n">
        <f aca="false">IF(Utilidad!$E$46&gt;1,Utilidad!E59/100,Utilidad!E59)</f>
        <v>0.036971</v>
      </c>
      <c r="G62" s="115" t="s">
        <v>67</v>
      </c>
      <c r="H62" s="116" t="n">
        <f aca="false">Utilidad!B59</f>
        <v>1668294.93</v>
      </c>
      <c r="I62" s="117" t="n">
        <f aca="false">IF(Utilidad!$D$46&gt;1,Utilidad!D59/100,Utilidad!D59)</f>
        <v>0.11228636552</v>
      </c>
      <c r="J62" s="117" t="n">
        <f aca="false">IF(Utilidad!$F$46&gt;1,Utilidad!F59/100,Utilidad!F59)</f>
        <v>0.063235547217</v>
      </c>
      <c r="L62" s="118" t="n">
        <f aca="false">+IF(C62&lt;&gt;0,(H62-C62)/C62,ABS(H62-C62))</f>
        <v>0.0254359565493158</v>
      </c>
      <c r="M62" s="118" t="n">
        <f aca="false">+IF(D62&lt;&gt;0,(I62-D62)/D62,0)</f>
        <v>0.337188176058686</v>
      </c>
      <c r="N62" s="118" t="n">
        <f aca="false">+IF(E62&lt;&gt;0,(J62-E62)/E62,0)</f>
        <v>0.710409434881394</v>
      </c>
      <c r="P62" s="117" t="n">
        <f aca="false">+IF(L62&lt;&gt;"",ABS(L62),0)</f>
        <v>0.0254359565493158</v>
      </c>
      <c r="Q62" s="117" t="n">
        <f aca="false">+IF(L62&lt;&gt;"",ABS(M62),0)</f>
        <v>0.337188176058686</v>
      </c>
      <c r="R62" s="117" t="n">
        <f aca="false">+IF(M62&lt;&gt;"",ABS(N62),0)</f>
        <v>0.710409434881394</v>
      </c>
      <c r="T62" s="119" t="str">
        <f aca="false">IF(J62&lt;=I62,"SI","NO")</f>
        <v>SI</v>
      </c>
    </row>
    <row r="63" customFormat="false" ht="21" hidden="false" customHeight="false" outlineLevel="0" collapsed="false">
      <c r="B63" s="115" t="s">
        <v>68</v>
      </c>
      <c r="C63" s="116" t="n">
        <f aca="false">Utilidad!A60</f>
        <v>6125.3333333333</v>
      </c>
      <c r="D63" s="117" t="n">
        <f aca="false">IF(Utilidad!C$46&gt;1,Utilidad!C60/100,Utilidad!C60)</f>
        <v>0.37</v>
      </c>
      <c r="E63" s="117" t="n">
        <f aca="false">IF(Utilidad!$E$46&gt;1,Utilidad!E60/100,Utilidad!E60)</f>
        <v>0.3525</v>
      </c>
      <c r="G63" s="115" t="s">
        <v>68</v>
      </c>
      <c r="H63" s="116" t="n">
        <f aca="false">Utilidad!B60</f>
        <v>5880.32</v>
      </c>
      <c r="I63" s="117" t="n">
        <f aca="false">IF(Utilidad!$D$46&gt;1,Utilidad!D60/100,Utilidad!D60)</f>
        <v>0.407</v>
      </c>
      <c r="J63" s="117" t="n">
        <f aca="false">IF(Utilidad!$F$46&gt;1,Utilidad!F60/100,Utilidad!F60)</f>
        <v>0.35955</v>
      </c>
      <c r="L63" s="118" t="n">
        <f aca="false">+IF(C63&lt;&gt;0,(H63-C63)/C63,ABS(H63-C63))</f>
        <v>-0.0399999999999949</v>
      </c>
      <c r="M63" s="118" t="n">
        <f aca="false">+IF(D63&lt;&gt;0,(I63-D63)/D63,0)</f>
        <v>0.1</v>
      </c>
      <c r="N63" s="118" t="n">
        <f aca="false">+IF(E63&lt;&gt;0,(J63-E63)/E63,0)</f>
        <v>0.02</v>
      </c>
      <c r="P63" s="117" t="n">
        <f aca="false">+IF(L63&lt;&gt;"",ABS(L63),0)</f>
        <v>0.0399999999999949</v>
      </c>
      <c r="Q63" s="117" t="n">
        <f aca="false">+IF(L63&lt;&gt;"",ABS(M63),0)</f>
        <v>0.1</v>
      </c>
      <c r="R63" s="117" t="n">
        <f aca="false">+IF(M63&lt;&gt;"",ABS(N63),0)</f>
        <v>0.02</v>
      </c>
      <c r="T63" s="119" t="str">
        <f aca="false">IF(J63&lt;=I63,"SI","NO")</f>
        <v>SI</v>
      </c>
    </row>
    <row r="64" customFormat="false" ht="21" hidden="false" customHeight="false" outlineLevel="0" collapsed="false">
      <c r="B64" s="115" t="s">
        <v>69</v>
      </c>
      <c r="C64" s="116" t="n">
        <f aca="false">Utilidad!A61</f>
        <v>24501.3333333333</v>
      </c>
      <c r="D64" s="117" t="n">
        <f aca="false">IF(Utilidad!C$46&gt;1,Utilidad!C61/100,Utilidad!C61)</f>
        <v>0.37</v>
      </c>
      <c r="E64" s="117" t="n">
        <f aca="false">IF(Utilidad!$E$46&gt;1,Utilidad!E61/100,Utilidad!E61)</f>
        <v>0.3525</v>
      </c>
      <c r="G64" s="115" t="s">
        <v>69</v>
      </c>
      <c r="H64" s="116" t="n">
        <f aca="false">Utilidad!B61</f>
        <v>24256.32</v>
      </c>
      <c r="I64" s="117" t="n">
        <f aca="false">IF(Utilidad!$D$46&gt;1,Utilidad!D61/100,Utilidad!D61)</f>
        <v>0.3774</v>
      </c>
      <c r="J64" s="117" t="n">
        <f aca="false">IF(Utilidad!$F$46&gt;1,Utilidad!F61/100,Utilidad!F61)</f>
        <v>0.35955</v>
      </c>
      <c r="L64" s="118" t="n">
        <f aca="false">+IF(C64&lt;&gt;0,(H64-C64)/C64,ABS(H64-C64))</f>
        <v>-0.00999999999999864</v>
      </c>
      <c r="M64" s="118" t="n">
        <f aca="false">+IF(D64&lt;&gt;0,(I64-D64)/D64,0)</f>
        <v>0.0200000000000001</v>
      </c>
      <c r="N64" s="118" t="n">
        <f aca="false">+IF(E64&lt;&gt;0,(J64-E64)/E64,0)</f>
        <v>0.02</v>
      </c>
      <c r="P64" s="117" t="n">
        <f aca="false">+IF(L64&lt;&gt;"",ABS(L64),0)</f>
        <v>0.00999999999999864</v>
      </c>
      <c r="Q64" s="117" t="n">
        <f aca="false">+IF(L64&lt;&gt;"",ABS(M64),0)</f>
        <v>0.0200000000000001</v>
      </c>
      <c r="R64" s="117" t="n">
        <f aca="false">+IF(M64&lt;&gt;"",ABS(N64),0)</f>
        <v>0.02</v>
      </c>
      <c r="T64" s="119" t="str">
        <f aca="false">IF(J64&lt;=I64,"SI","NO")</f>
        <v>SI</v>
      </c>
    </row>
    <row r="65" customFormat="false" ht="21" hidden="false" customHeight="false" outlineLevel="0" collapsed="false">
      <c r="B65" s="115" t="s">
        <v>70</v>
      </c>
      <c r="C65" s="116" t="n">
        <f aca="false">Utilidad!A62</f>
        <v>537276.671221027</v>
      </c>
      <c r="D65" s="117" t="n">
        <f aca="false">IF(Utilidad!C$46&gt;1,Utilidad!C62/100,Utilidad!C62)</f>
        <v>0.399778</v>
      </c>
      <c r="E65" s="117" t="n">
        <f aca="false">IF(Utilidad!$E$46&gt;1,Utilidad!E62/100,Utilidad!E62)</f>
        <v>0.379424</v>
      </c>
      <c r="G65" s="115" t="s">
        <v>70</v>
      </c>
      <c r="H65" s="116" t="n">
        <f aca="false">Utilidad!B62</f>
        <v>533769.46968</v>
      </c>
      <c r="I65" s="117" t="n">
        <f aca="false">IF(Utilidad!$D$46&gt;1,Utilidad!D62/100,Utilidad!D62)</f>
        <v>0.39243602753</v>
      </c>
      <c r="J65" s="117" t="n">
        <f aca="false">IF(Utilidad!$F$46&gt;1,Utilidad!F62/100,Utilidad!F62)</f>
        <v>0.37239381627</v>
      </c>
      <c r="L65" s="118" t="n">
        <f aca="false">+IF(C65&lt;&gt;0,(H65-C65)/C65,ABS(H65-C65))</f>
        <v>-0.00652773836812392</v>
      </c>
      <c r="M65" s="118" t="n">
        <f aca="false">+IF(D65&lt;&gt;0,(I65-D65)/D65,0)</f>
        <v>-0.0183651238187196</v>
      </c>
      <c r="N65" s="118" t="n">
        <f aca="false">+IF(E65&lt;&gt;0,(J65-E65)/E65,0)</f>
        <v>-0.0185285689097157</v>
      </c>
      <c r="O65" s="123"/>
      <c r="P65" s="117" t="n">
        <f aca="false">+IF(L65&lt;&gt;"",ABS(L65),0)</f>
        <v>0.00652773836812392</v>
      </c>
      <c r="Q65" s="117" t="n">
        <f aca="false">+IF(L65&lt;&gt;"",ABS(M65),0)</f>
        <v>0.0183651238187196</v>
      </c>
      <c r="R65" s="117" t="n">
        <f aca="false">+IF(M65&lt;&gt;"",ABS(N65),0)</f>
        <v>0.0185285689097157</v>
      </c>
      <c r="T65" s="119" t="str">
        <f aca="false">IF(J65&lt;=I65,"SI","NO")</f>
        <v>SI</v>
      </c>
    </row>
    <row r="69" customFormat="false" ht="15.75" hidden="false" customHeight="false" outlineLevel="0" collapsed="false"/>
    <row r="70" customFormat="false" ht="15.75" hidden="false" customHeight="false" outlineLevel="0" collapsed="false">
      <c r="B70" s="124" t="s">
        <v>107</v>
      </c>
      <c r="C70" s="125" t="s">
        <v>108</v>
      </c>
      <c r="D70" s="126" t="s">
        <v>109</v>
      </c>
      <c r="E70" s="125" t="s">
        <v>110</v>
      </c>
      <c r="F70" s="125" t="s">
        <v>111</v>
      </c>
      <c r="G70" s="125" t="s">
        <v>112</v>
      </c>
      <c r="H70" s="125" t="s">
        <v>113</v>
      </c>
      <c r="I70" s="125" t="s">
        <v>114</v>
      </c>
      <c r="J70" s="125" t="s">
        <v>115</v>
      </c>
    </row>
    <row r="71" customFormat="false" ht="15" hidden="false" customHeight="false" outlineLevel="0" collapsed="false">
      <c r="B71" s="127" t="s">
        <v>116</v>
      </c>
      <c r="C71" s="128" t="n">
        <f aca="false">+I43</f>
        <v>0.16027230537</v>
      </c>
      <c r="D71" s="128" t="n">
        <f aca="false">+C72</f>
        <v>0.30413456647</v>
      </c>
      <c r="E71" s="128" t="n">
        <f aca="false">+I50</f>
        <v>0.39507435902</v>
      </c>
      <c r="F71" s="128" t="n">
        <f aca="false">E72</f>
        <v>0.45781639824</v>
      </c>
      <c r="G71" s="128" t="n">
        <f aca="false">F72</f>
        <v>0.57878070742</v>
      </c>
      <c r="H71" s="128" t="n">
        <f aca="false">+F72</f>
        <v>0.57878070742</v>
      </c>
      <c r="I71" s="128" t="n">
        <f aca="false">+H72</f>
        <v>0.64744696725</v>
      </c>
      <c r="J71" s="129"/>
    </row>
    <row r="72" customFormat="false" ht="15" hidden="false" customHeight="false" outlineLevel="0" collapsed="false">
      <c r="B72" s="127" t="s">
        <v>117</v>
      </c>
      <c r="C72" s="128" t="n">
        <f aca="false">+I45</f>
        <v>0.30413456647</v>
      </c>
      <c r="D72" s="128" t="n">
        <f aca="false">+I47</f>
        <v>0.39178244</v>
      </c>
      <c r="E72" s="128" t="n">
        <f aca="false">+I52</f>
        <v>0.45781639824</v>
      </c>
      <c r="F72" s="128" t="n">
        <f aca="false">+I54</f>
        <v>0.57878070742</v>
      </c>
      <c r="G72" s="128" t="n">
        <f aca="false">+I56</f>
        <v>0.57878070742</v>
      </c>
      <c r="H72" s="128" t="n">
        <f aca="false">+I58</f>
        <v>0.64744696725</v>
      </c>
      <c r="I72" s="128" t="n">
        <f aca="false">+I61</f>
        <v>0.6488</v>
      </c>
      <c r="J72" s="130"/>
    </row>
    <row r="73" customFormat="false" ht="15.75" hidden="false" customHeight="false" outlineLevel="0" collapsed="false">
      <c r="B73" s="131" t="s">
        <v>29</v>
      </c>
      <c r="C73" s="132" t="n">
        <f aca="false">+I44</f>
        <v>0.0581163</v>
      </c>
      <c r="D73" s="132" t="n">
        <f aca="false">+I46</f>
        <v>0.0641113</v>
      </c>
      <c r="E73" s="132" t="n">
        <f aca="false">+I51</f>
        <v>0.046596</v>
      </c>
      <c r="F73" s="132" t="n">
        <f aca="false">+I53</f>
        <v>0.089365182362</v>
      </c>
      <c r="G73" s="132" t="n">
        <f aca="false">+I55</f>
        <v>0</v>
      </c>
      <c r="H73" s="132" t="n">
        <f aca="false">+I57</f>
        <v>0.51605904</v>
      </c>
      <c r="I73" s="132" t="n">
        <f aca="false">+I59</f>
        <v>0.45460800603</v>
      </c>
      <c r="J73" s="133"/>
    </row>
    <row r="74" customFormat="false" ht="15.75" hidden="false" customHeight="false" outlineLevel="0" collapsed="false">
      <c r="B74" s="124" t="s">
        <v>118</v>
      </c>
      <c r="C74" s="134" t="n">
        <f aca="false">+(C71-C73)/(C72-C73)*100</f>
        <v>41.5237481491876</v>
      </c>
      <c r="D74" s="134" t="n">
        <f aca="false">+(D71-D73)/(D72-D73)*100</f>
        <v>73.2512684730184</v>
      </c>
      <c r="E74" s="134" t="n">
        <f aca="false">+(E71-E73)/(E72-E73)*100</f>
        <v>84.7424788535461</v>
      </c>
      <c r="F74" s="134" t="n">
        <f aca="false">+(F71-F73)/(F72-F73)*100</f>
        <v>75.2839248069083</v>
      </c>
      <c r="G74" s="134" t="n">
        <f aca="false">+(G71-G73)/(G72-G73)*100</f>
        <v>100</v>
      </c>
      <c r="H74" s="134" t="n">
        <f aca="false">+(H71-H73)/(H72-H73)*100</f>
        <v>47.7377706862333</v>
      </c>
      <c r="I74" s="134" t="n">
        <f aca="false">+(I71-I73)/(I72-I73)*100</f>
        <v>99.3032499835143</v>
      </c>
      <c r="J74" s="134" t="n">
        <f aca="false">+C74*D74*E74*F74*H74*I74/10000000000</f>
        <v>9.19900193213263</v>
      </c>
    </row>
    <row r="75" customFormat="false" ht="15.75" hidden="false" customHeight="false" outlineLevel="0" collapsed="false">
      <c r="B75" s="124" t="s">
        <v>119</v>
      </c>
      <c r="C75" s="134" t="n">
        <f aca="false">+(C72/C71)*C74</f>
        <v>78.7959411478367</v>
      </c>
      <c r="D75" s="134" t="n">
        <f aca="false">+(D72/D71)*D74</f>
        <v>94.3613908427113</v>
      </c>
      <c r="E75" s="134" t="n">
        <f aca="false">+(E72/E71)*E74</f>
        <v>98.2004920362241</v>
      </c>
      <c r="F75" s="134" t="n">
        <f aca="false">+(F72/F71)*F74</f>
        <v>95.175453357733</v>
      </c>
      <c r="G75" s="134" t="n">
        <f aca="false">+(G72/G71)*G74</f>
        <v>100</v>
      </c>
      <c r="H75" s="134" t="n">
        <f aca="false">+(H72/H71)*H74</f>
        <v>53.4013564340339</v>
      </c>
      <c r="I75" s="134" t="n">
        <f aca="false">+(I72/I71)*I74</f>
        <v>99.5107736205155</v>
      </c>
      <c r="J75" s="134" t="n">
        <f aca="false">+C75*D75*E75*F75*H75*I75/10000000000</f>
        <v>36.9282893360754</v>
      </c>
    </row>
    <row r="76" customFormat="false" ht="15.75" hidden="false" customHeight="false" outlineLevel="0" collapsed="false"/>
    <row r="77" customFormat="false" ht="15.75" hidden="false" customHeight="false" outlineLevel="0" collapsed="false">
      <c r="B77" s="124" t="s">
        <v>120</v>
      </c>
      <c r="C77" s="125" t="s">
        <v>108</v>
      </c>
      <c r="D77" s="126" t="s">
        <v>109</v>
      </c>
      <c r="E77" s="125" t="s">
        <v>110</v>
      </c>
      <c r="F77" s="125" t="s">
        <v>111</v>
      </c>
      <c r="G77" s="125" t="s">
        <v>112</v>
      </c>
      <c r="H77" s="125" t="s">
        <v>113</v>
      </c>
      <c r="I77" s="125" t="s">
        <v>114</v>
      </c>
      <c r="J77" s="125" t="s">
        <v>115</v>
      </c>
    </row>
    <row r="78" customFormat="false" ht="15" hidden="false" customHeight="false" outlineLevel="0" collapsed="false">
      <c r="B78" s="127" t="s">
        <v>116</v>
      </c>
      <c r="C78" s="128" t="n">
        <f aca="false">+J43</f>
        <v>0.115139</v>
      </c>
      <c r="D78" s="128" t="n">
        <f aca="false">+C79</f>
        <v>0.27306034</v>
      </c>
      <c r="E78" s="128" t="n">
        <f aca="false">+J50</f>
        <v>0.37492236982</v>
      </c>
      <c r="F78" s="128" t="n">
        <f aca="false">+E79</f>
        <v>0.44086966</v>
      </c>
      <c r="G78" s="128" t="n">
        <f aca="false">+J54</f>
        <v>0.56390866</v>
      </c>
      <c r="H78" s="128" t="n">
        <f aca="false">+F79</f>
        <v>0.56390866</v>
      </c>
      <c r="I78" s="128" t="n">
        <f aca="false">+H79</f>
        <v>0.63973870124</v>
      </c>
      <c r="J78" s="129"/>
    </row>
    <row r="79" customFormat="false" ht="15" hidden="false" customHeight="false" outlineLevel="0" collapsed="false">
      <c r="B79" s="127" t="s">
        <v>117</v>
      </c>
      <c r="C79" s="128" t="n">
        <f aca="false">+J45</f>
        <v>0.27306034</v>
      </c>
      <c r="D79" s="128" t="n">
        <f aca="false">+J47</f>
        <v>0.37183552</v>
      </c>
      <c r="E79" s="128" t="n">
        <f aca="false">+J52</f>
        <v>0.44086966</v>
      </c>
      <c r="F79" s="128" t="n">
        <f aca="false">+J54</f>
        <v>0.56390866</v>
      </c>
      <c r="G79" s="128" t="n">
        <f aca="false">+J56</f>
        <v>0.56390866</v>
      </c>
      <c r="H79" s="128" t="n">
        <f aca="false">+J58</f>
        <v>0.63973870124</v>
      </c>
      <c r="I79" s="128" t="n">
        <f aca="false">+J61</f>
        <v>0.6411</v>
      </c>
      <c r="J79" s="130"/>
    </row>
    <row r="80" customFormat="false" ht="15.75" hidden="false" customHeight="false" outlineLevel="0" collapsed="false">
      <c r="B80" s="131" t="s">
        <v>29</v>
      </c>
      <c r="C80" s="132" t="n">
        <f aca="false">+J44</f>
        <v>0.0029997</v>
      </c>
      <c r="D80" s="132" t="n">
        <f aca="false">+J46</f>
        <v>0.002565</v>
      </c>
      <c r="E80" s="132" t="n">
        <f aca="false">+J51</f>
        <v>0.00672</v>
      </c>
      <c r="F80" s="132" t="n">
        <f aca="false">+J53</f>
        <v>0.06609904</v>
      </c>
      <c r="G80" s="132" t="n">
        <f aca="false">+J55</f>
        <v>0</v>
      </c>
      <c r="H80" s="132" t="n">
        <f aca="false">+J57</f>
        <v>0.49476243792</v>
      </c>
      <c r="I80" s="132" t="n">
        <f aca="false">+J59</f>
        <v>0.44572163933</v>
      </c>
      <c r="J80" s="133"/>
    </row>
    <row r="81" customFormat="false" ht="15.75" hidden="false" customHeight="false" outlineLevel="0" collapsed="false">
      <c r="B81" s="124" t="s">
        <v>118</v>
      </c>
      <c r="C81" s="134" t="n">
        <f aca="false">+(C78-C80)/(C79-C80)*100</f>
        <v>41.5237481478234</v>
      </c>
      <c r="D81" s="134" t="n">
        <f aca="false">+(D78-D80)/(D79-D80)*100</f>
        <v>73.2512684738549</v>
      </c>
      <c r="E81" s="134" t="n">
        <f aca="false">+(E78-E80)/(E79-E80)*100</f>
        <v>84.810009944497</v>
      </c>
      <c r="F81" s="134" t="n">
        <f aca="false">+(F78-F80)/(F79-F80)*100</f>
        <v>75.283924806435</v>
      </c>
      <c r="G81" s="134" t="n">
        <f aca="false">+(G78-G80)/(G79-G80)*100</f>
        <v>100</v>
      </c>
      <c r="H81" s="134" t="n">
        <f aca="false">+(H78-H80)/(H79-H80)*100</f>
        <v>47.6948574177116</v>
      </c>
      <c r="I81" s="134" t="n">
        <f aca="false">+(I78-I80)/(I79-I80)*100</f>
        <v>99.3032499836052</v>
      </c>
      <c r="J81" s="134" t="n">
        <f aca="false">+C81*D81*E81*F81*H81*I81/10000000000</f>
        <v>9.19805667896052</v>
      </c>
    </row>
    <row r="82" customFormat="false" ht="15.75" hidden="false" customHeight="false" outlineLevel="0" collapsed="false">
      <c r="B82" s="124" t="s">
        <v>121</v>
      </c>
      <c r="C82" s="134" t="n">
        <f aca="false">+(C79/C78)*C81</f>
        <v>98.4765265228899</v>
      </c>
      <c r="D82" s="134" t="n">
        <f aca="false">+(D79/D78)*D81</f>
        <v>99.7487350364957</v>
      </c>
      <c r="E82" s="134" t="n">
        <f aca="false">+(E79/E78)*E81</f>
        <v>99.727739016421</v>
      </c>
      <c r="F82" s="134" t="n">
        <f aca="false">+(F79/F78)*F81</f>
        <v>96.2943495751954</v>
      </c>
      <c r="G82" s="134" t="n">
        <f aca="false">+(G79/G78)*G81</f>
        <v>100</v>
      </c>
      <c r="H82" s="134" t="n">
        <f aca="false">+(H79/H78)*H81</f>
        <v>54.1084900881532</v>
      </c>
      <c r="I82" s="134" t="n">
        <f aca="false">+(I79/I78)*I81</f>
        <v>99.5145571795036</v>
      </c>
      <c r="J82" s="134" t="n">
        <f aca="false">+C82*D82*E82*F82*H82*I82/10000000000</f>
        <v>50.7935919183734</v>
      </c>
    </row>
  </sheetData>
  <mergeCells count="3">
    <mergeCell ref="B2:E2"/>
    <mergeCell ref="G2:J2"/>
    <mergeCell ref="L2:N2"/>
  </mergeCells>
  <conditionalFormatting sqref="O56 L4:M65">
    <cfRule type="expression" priority="2" aboveAverage="0" equalAverage="0" bottom="0" percent="0" rank="0" text="" dxfId="1">
      <formula>ABS(L4)&gt;=10%</formula>
    </cfRule>
  </conditionalFormatting>
  <conditionalFormatting sqref="N4:N65">
    <cfRule type="expression" priority="3" aboveAverage="0" equalAverage="0" bottom="0" percent="0" rank="0" text="" dxfId="2">
      <formula>ABS(N4)&gt;=10%</formula>
    </cfRule>
  </conditionalFormatting>
  <conditionalFormatting sqref="T4:T65">
    <cfRule type="containsText" priority="4" operator="containsText" aboveAverage="0" equalAverage="0" bottom="0" percent="0" rank="0" text="NO" dxfId="3">
      <formula>NOT(ISERROR(SEARCH("NO",T4)))</formula>
    </cfRule>
    <cfRule type="containsText" priority="5" operator="containsText" aboveAverage="0" equalAverage="0" bottom="0" percent="0" rank="0" text="SI" dxfId="4">
      <formula>NOT(ISERROR(SEARCH("SI",T4)))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65" zoomScalePageLayoutView="100" workbookViewId="0">
      <selection pane="topLeft" activeCell="H12" activeCellId="0" sqref="H1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135" width="10.83"/>
    <col collapsed="false" customWidth="true" hidden="false" outlineLevel="0" max="3" min="3" style="27" width="10.83"/>
  </cols>
  <sheetData>
    <row r="1" customFormat="false" ht="18.75" hidden="false" customHeight="false" outlineLevel="0" collapsed="false">
      <c r="A1" s="136" t="s">
        <v>122</v>
      </c>
      <c r="B1" s="137" t="n">
        <v>248851</v>
      </c>
      <c r="C1" s="138" t="n">
        <v>0.6559</v>
      </c>
      <c r="D1" s="139" t="n">
        <v>0.6474600316247</v>
      </c>
      <c r="E1" s="139" t="n">
        <v>0</v>
      </c>
    </row>
    <row r="2" customFormat="false" ht="18.75" hidden="false" customHeight="false" outlineLevel="0" collapsed="false">
      <c r="A2" s="136" t="s">
        <v>123</v>
      </c>
      <c r="B2" s="140" t="n">
        <v>178774</v>
      </c>
      <c r="C2" s="141" t="n">
        <v>0.6474</v>
      </c>
      <c r="D2" s="139" t="n">
        <v>0.6390694076442</v>
      </c>
      <c r="E2" s="13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pageBreakPreview" topLeftCell="A13" colorId="64" zoomScale="110" zoomScaleNormal="65" zoomScalePageLayoutView="110" workbookViewId="0">
      <selection pane="topLeft" activeCell="C40" activeCellId="0" sqref="C40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4.23"/>
    <col collapsed="false" customWidth="true" hidden="false" outlineLevel="0" max="2" min="2" style="0" width="3.5"/>
    <col collapsed="false" customWidth="true" hidden="false" outlineLevel="0" max="4" min="4" style="0" width="6.83"/>
    <col collapsed="false" customWidth="true" hidden="false" outlineLevel="0" max="5" min="5" style="0" width="7.83"/>
    <col collapsed="false" customWidth="true" hidden="false" outlineLevel="0" max="7" min="7" style="0" width="9.16"/>
    <col collapsed="false" customWidth="true" hidden="false" outlineLevel="0" max="8" min="8" style="0" width="10.51"/>
    <col collapsed="false" customWidth="true" hidden="false" outlineLevel="0" max="9" min="9" style="0" width="9.16"/>
    <col collapsed="false" customWidth="true" hidden="false" outlineLevel="0" max="10" min="10" style="0" width="14"/>
    <col collapsed="false" customWidth="true" hidden="false" outlineLevel="0" max="11" min="11" style="0" width="11.83"/>
    <col collapsed="false" customWidth="true" hidden="false" outlineLevel="0" max="12" min="12" style="0" width="10.16"/>
    <col collapsed="false" customWidth="true" hidden="false" outlineLevel="0" max="13" min="13" style="0" width="10.51"/>
    <col collapsed="false" customWidth="true" hidden="false" outlineLevel="0" max="14" min="14" style="0" width="4.33"/>
    <col collapsed="false" customWidth="true" hidden="true" outlineLevel="0" max="15" min="15" style="0" width="0.83"/>
    <col collapsed="false" customWidth="true" hidden="false" outlineLevel="0" max="16" min="16" style="0" width="3.64"/>
  </cols>
  <sheetData>
    <row r="1" customFormat="false" ht="12.75" hidden="false" customHeight="true" outlineLevel="0" collapsed="false">
      <c r="A1" s="142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4"/>
      <c r="O1" s="145"/>
    </row>
    <row r="2" customFormat="false" ht="12.75" hidden="false" customHeight="true" outlineLevel="0" collapsed="false">
      <c r="A2" s="146"/>
      <c r="B2" s="147"/>
      <c r="C2" s="147"/>
      <c r="D2" s="148" t="s">
        <v>124</v>
      </c>
      <c r="E2" s="148"/>
      <c r="F2" s="148"/>
      <c r="G2" s="148"/>
      <c r="H2" s="148"/>
      <c r="I2" s="148"/>
      <c r="J2" s="148"/>
      <c r="K2" s="148"/>
      <c r="L2" s="148"/>
      <c r="M2" s="148"/>
      <c r="N2" s="149"/>
      <c r="O2" s="150"/>
    </row>
    <row r="3" customFormat="false" ht="12.75" hidden="false" customHeight="true" outlineLevel="0" collapsed="false">
      <c r="A3" s="146"/>
      <c r="B3" s="147"/>
      <c r="C3" s="147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9"/>
      <c r="O3" s="150"/>
    </row>
    <row r="4" customFormat="false" ht="12.75" hidden="false" customHeight="true" outlineLevel="0" collapsed="false">
      <c r="A4" s="146"/>
      <c r="B4" s="147"/>
      <c r="C4" s="147"/>
      <c r="D4" s="151" t="s">
        <v>125</v>
      </c>
      <c r="E4" s="151"/>
      <c r="F4" s="151"/>
      <c r="G4" s="151"/>
      <c r="H4" s="151"/>
      <c r="I4" s="151"/>
      <c r="J4" s="151"/>
      <c r="K4" s="151"/>
      <c r="L4" s="152" t="n">
        <f aca="true">TODAY()</f>
        <v>45060</v>
      </c>
      <c r="M4" s="152"/>
      <c r="N4" s="149"/>
      <c r="O4" s="150"/>
    </row>
    <row r="5" customFormat="false" ht="12.75" hidden="false" customHeight="true" outlineLevel="0" collapsed="false">
      <c r="A5" s="146"/>
      <c r="B5" s="147"/>
      <c r="C5" s="147"/>
      <c r="D5" s="151"/>
      <c r="E5" s="151"/>
      <c r="F5" s="151"/>
      <c r="G5" s="151"/>
      <c r="H5" s="151"/>
      <c r="I5" s="151"/>
      <c r="J5" s="151"/>
      <c r="K5" s="151"/>
      <c r="L5" s="152"/>
      <c r="M5" s="152"/>
      <c r="N5" s="149"/>
      <c r="O5" s="150"/>
    </row>
    <row r="6" customFormat="false" ht="13.8" hidden="false" customHeight="false" outlineLevel="0" collapsed="false">
      <c r="A6" s="153"/>
      <c r="B6" s="154"/>
      <c r="C6" s="154"/>
      <c r="D6" s="154"/>
      <c r="E6" s="154"/>
      <c r="F6" s="154"/>
      <c r="G6" s="154"/>
      <c r="H6" s="154"/>
      <c r="I6" s="154"/>
      <c r="J6" s="155"/>
      <c r="K6" s="156"/>
      <c r="L6" s="157"/>
      <c r="M6" s="157"/>
      <c r="N6" s="149"/>
      <c r="O6" s="150"/>
    </row>
    <row r="7" customFormat="false" ht="13.8" hidden="false" customHeight="false" outlineLevel="0" collapsed="false">
      <c r="A7" s="153"/>
      <c r="B7" s="158"/>
      <c r="C7" s="158"/>
      <c r="D7" s="158"/>
      <c r="E7" s="159" t="s">
        <v>126</v>
      </c>
      <c r="F7" s="159" t="s">
        <v>127</v>
      </c>
      <c r="G7" s="160" t="s">
        <v>128</v>
      </c>
      <c r="H7" s="160" t="s">
        <v>127</v>
      </c>
      <c r="I7" s="161"/>
      <c r="J7" s="161"/>
      <c r="K7" s="159" t="s">
        <v>126</v>
      </c>
      <c r="L7" s="159" t="s">
        <v>127</v>
      </c>
      <c r="M7" s="160" t="s">
        <v>128</v>
      </c>
      <c r="N7" s="149"/>
      <c r="O7" s="150"/>
    </row>
    <row r="8" customFormat="false" ht="13.8" hidden="false" customHeight="false" outlineLevel="0" collapsed="false">
      <c r="A8" s="153"/>
      <c r="B8" s="158"/>
      <c r="C8" s="158"/>
      <c r="D8" s="158"/>
      <c r="E8" s="162" t="s">
        <v>1</v>
      </c>
      <c r="F8" s="162" t="s">
        <v>129</v>
      </c>
      <c r="G8" s="163" t="s">
        <v>130</v>
      </c>
      <c r="H8" s="163" t="s">
        <v>131</v>
      </c>
      <c r="I8" s="161"/>
      <c r="J8" s="161"/>
      <c r="K8" s="162" t="s">
        <v>1</v>
      </c>
      <c r="L8" s="162" t="s">
        <v>129</v>
      </c>
      <c r="M8" s="163" t="s">
        <v>130</v>
      </c>
      <c r="N8" s="149"/>
      <c r="O8" s="150"/>
    </row>
    <row r="9" customFormat="false" ht="13.8" hidden="false" customHeight="false" outlineLevel="0" collapsed="false">
      <c r="A9" s="153"/>
      <c r="B9" s="164" t="s">
        <v>75</v>
      </c>
      <c r="C9" s="164"/>
      <c r="D9" s="164"/>
      <c r="E9" s="164"/>
      <c r="F9" s="164"/>
      <c r="G9" s="164"/>
      <c r="H9" s="165" t="s">
        <v>132</v>
      </c>
      <c r="I9" s="165"/>
      <c r="J9" s="165"/>
      <c r="K9" s="165"/>
      <c r="L9" s="165"/>
      <c r="M9" s="165"/>
      <c r="N9" s="149"/>
      <c r="O9" s="150"/>
    </row>
    <row r="10" customFormat="false" ht="13.8" hidden="false" customHeight="false" outlineLevel="0" collapsed="false">
      <c r="A10" s="166"/>
      <c r="B10" s="167" t="s">
        <v>133</v>
      </c>
      <c r="C10" s="167"/>
      <c r="D10" s="167"/>
      <c r="E10" s="168" t="n">
        <f aca="false">Flujos!H43</f>
        <v>1834605</v>
      </c>
      <c r="F10" s="169" t="n">
        <f aca="false">Utilidad!P95</f>
        <v>0.414638</v>
      </c>
      <c r="G10" s="170" t="n">
        <f aca="false">E10*F10</f>
        <v>760696.94799</v>
      </c>
      <c r="H10" s="169" t="n">
        <f aca="false">Flujos!J43</f>
        <v>0.115139</v>
      </c>
      <c r="I10" s="171" t="s">
        <v>134</v>
      </c>
      <c r="J10" s="172"/>
      <c r="K10" s="173" t="n">
        <f aca="false">Flujos!H61</f>
        <v>169127</v>
      </c>
      <c r="L10" s="174" t="n">
        <f aca="false">Flujos!I61</f>
        <v>0.6488</v>
      </c>
      <c r="M10" s="175" t="n">
        <f aca="false">+L10*K10</f>
        <v>109729.5976</v>
      </c>
      <c r="N10" s="149"/>
      <c r="O10" s="150"/>
    </row>
    <row r="11" customFormat="false" ht="13.8" hidden="false" customHeight="false" outlineLevel="0" collapsed="false">
      <c r="A11" s="166"/>
      <c r="B11" s="176" t="s">
        <v>6</v>
      </c>
      <c r="C11" s="176"/>
      <c r="D11" s="176"/>
      <c r="E11" s="177" t="n">
        <f aca="false">Utilidad!O70</f>
        <v>5330.16</v>
      </c>
      <c r="F11" s="169" t="n">
        <f aca="false">Flujos!I43</f>
        <v>0.16027230537</v>
      </c>
      <c r="G11" s="178" t="n">
        <f aca="false">+E11*F11</f>
        <v>854.277031190959</v>
      </c>
      <c r="H11" s="179" t="n">
        <f aca="false">Utilidad!Q70</f>
        <v>0.57428</v>
      </c>
      <c r="I11" s="180" t="s">
        <v>123</v>
      </c>
      <c r="J11" s="181"/>
      <c r="K11" s="182" t="n">
        <f aca="false">'Datos Extra'!B2</f>
        <v>178774</v>
      </c>
      <c r="L11" s="183" t="n">
        <f aca="false">'Datos Extra'!C2</f>
        <v>0.6474</v>
      </c>
      <c r="M11" s="184" t="n">
        <f aca="false">+L11*K11</f>
        <v>115738.2876</v>
      </c>
      <c r="N11" s="149"/>
      <c r="O11" s="150"/>
    </row>
    <row r="12" customFormat="false" ht="13.8" hidden="false" customHeight="false" outlineLevel="0" collapsed="false">
      <c r="A12" s="166"/>
      <c r="B12" s="176" t="s">
        <v>12</v>
      </c>
      <c r="C12" s="176"/>
      <c r="D12" s="176"/>
      <c r="E12" s="177" t="n">
        <f aca="false">Utilidad!O76</f>
        <v>1295.91</v>
      </c>
      <c r="F12" s="169" t="n">
        <f aca="false">Utilidad!P76</f>
        <v>0.4802</v>
      </c>
      <c r="G12" s="178" t="n">
        <f aca="false">+E12*F12</f>
        <v>622.295982</v>
      </c>
      <c r="H12" s="179" t="n">
        <f aca="false">Utilidad!Q76</f>
        <v>0.46403</v>
      </c>
      <c r="I12" s="185"/>
      <c r="J12" s="185"/>
      <c r="K12" s="186"/>
      <c r="L12" s="186"/>
      <c r="M12" s="186"/>
      <c r="N12" s="149"/>
      <c r="O12" s="150"/>
    </row>
    <row r="13" customFormat="false" ht="13.8" hidden="false" customHeight="false" outlineLevel="0" collapsed="false">
      <c r="A13" s="166"/>
      <c r="B13" s="176" t="s">
        <v>15</v>
      </c>
      <c r="C13" s="176"/>
      <c r="D13" s="176"/>
      <c r="E13" s="177" t="n">
        <f aca="false">Utilidad!O79</f>
        <v>4063.95</v>
      </c>
      <c r="F13" s="179" t="n">
        <f aca="false">Utilidad!P79</f>
        <v>0.35378</v>
      </c>
      <c r="G13" s="178" t="n">
        <f aca="false">+E13*F13</f>
        <v>1437.744231</v>
      </c>
      <c r="H13" s="179" t="n">
        <f aca="false">Utilidad!Q79</f>
        <v>0.33516</v>
      </c>
      <c r="I13" s="185"/>
      <c r="J13" s="185"/>
      <c r="K13" s="186"/>
      <c r="L13" s="186"/>
      <c r="M13" s="186"/>
      <c r="N13" s="149"/>
      <c r="O13" s="150"/>
    </row>
    <row r="14" customFormat="false" ht="13.8" hidden="false" customHeight="false" outlineLevel="0" collapsed="false">
      <c r="A14" s="166"/>
      <c r="B14" s="176" t="s">
        <v>18</v>
      </c>
      <c r="C14" s="176"/>
      <c r="D14" s="176"/>
      <c r="E14" s="177" t="n">
        <f aca="false">Utilidad!O82</f>
        <v>990</v>
      </c>
      <c r="F14" s="179" t="n">
        <f aca="false">Utilidad!P82</f>
        <v>0.485982</v>
      </c>
      <c r="G14" s="178" t="n">
        <f aca="false">+E14*F14</f>
        <v>481.12218</v>
      </c>
      <c r="H14" s="179" t="n">
        <f aca="false">Utilidad!Q82</f>
        <v>0.442274</v>
      </c>
      <c r="I14" s="185"/>
      <c r="J14" s="185"/>
      <c r="K14" s="186"/>
      <c r="L14" s="186"/>
      <c r="M14" s="186"/>
      <c r="N14" s="149"/>
      <c r="O14" s="150"/>
    </row>
    <row r="15" customFormat="false" ht="13.8" hidden="false" customHeight="false" outlineLevel="0" collapsed="false">
      <c r="A15" s="166"/>
      <c r="B15" s="176" t="s">
        <v>135</v>
      </c>
      <c r="C15" s="176"/>
      <c r="D15" s="176"/>
      <c r="E15" s="177" t="n">
        <f aca="false">Utilidad!O85</f>
        <v>990</v>
      </c>
      <c r="F15" s="179" t="n">
        <f aca="false">Utilidad!P85</f>
        <v>0.414638</v>
      </c>
      <c r="G15" s="178" t="n">
        <f aca="false">+E15*F15</f>
        <v>410.49162</v>
      </c>
      <c r="H15" s="179" t="n">
        <f aca="false">Utilidad!Q85</f>
        <v>0.372008</v>
      </c>
      <c r="I15" s="185"/>
      <c r="J15" s="185"/>
      <c r="K15" s="186"/>
      <c r="L15" s="186"/>
      <c r="M15" s="186"/>
      <c r="N15" s="149"/>
      <c r="O15" s="150"/>
    </row>
    <row r="16" customFormat="false" ht="13.8" hidden="false" customHeight="false" outlineLevel="0" collapsed="false">
      <c r="A16" s="166"/>
      <c r="B16" s="176" t="s">
        <v>24</v>
      </c>
      <c r="C16" s="176"/>
      <c r="D16" s="176"/>
      <c r="E16" s="177" t="n">
        <f aca="false">Utilidad!O88</f>
        <v>0</v>
      </c>
      <c r="F16" s="179" t="n">
        <f aca="false">Utilidad!P88</f>
        <v>0</v>
      </c>
      <c r="G16" s="178" t="n">
        <f aca="false">+E16*F16</f>
        <v>0</v>
      </c>
      <c r="H16" s="179" t="n">
        <f aca="false">Utilidad!Q88</f>
        <v>0</v>
      </c>
      <c r="I16" s="185"/>
      <c r="J16" s="185"/>
      <c r="K16" s="186"/>
      <c r="L16" s="186"/>
      <c r="M16" s="186"/>
      <c r="N16" s="149"/>
      <c r="O16" s="150"/>
    </row>
    <row r="17" customFormat="false" ht="13.8" hidden="false" customHeight="false" outlineLevel="0" collapsed="false">
      <c r="A17" s="166"/>
      <c r="B17" s="176" t="s">
        <v>30</v>
      </c>
      <c r="C17" s="176"/>
      <c r="D17" s="176"/>
      <c r="E17" s="177" t="n">
        <f aca="false">Utilidad!O91</f>
        <v>0</v>
      </c>
      <c r="F17" s="179" t="n">
        <f aca="false">Utilidad!P91</f>
        <v>0</v>
      </c>
      <c r="G17" s="178" t="n">
        <f aca="false">+E17*F17</f>
        <v>0</v>
      </c>
      <c r="H17" s="179" t="n">
        <f aca="false">Utilidad!Q91</f>
        <v>0</v>
      </c>
      <c r="I17" s="185"/>
      <c r="J17" s="185"/>
      <c r="K17" s="186"/>
      <c r="L17" s="186"/>
      <c r="M17" s="186"/>
      <c r="N17" s="149"/>
      <c r="O17" s="150"/>
    </row>
    <row r="18" customFormat="false" ht="13.8" hidden="false" customHeight="false" outlineLevel="0" collapsed="false">
      <c r="A18" s="166"/>
      <c r="B18" s="176" t="s">
        <v>9</v>
      </c>
      <c r="C18" s="176"/>
      <c r="D18" s="176"/>
      <c r="E18" s="177" t="n">
        <f aca="false">Utilidad!O73</f>
        <v>5552.91</v>
      </c>
      <c r="F18" s="179" t="n">
        <f aca="false">Utilidad!P73</f>
        <v>0.422674</v>
      </c>
      <c r="G18" s="187" t="n">
        <f aca="false">+E18*F18</f>
        <v>2347.07068134</v>
      </c>
      <c r="H18" s="179" t="n">
        <f aca="false">Utilidad!Q73</f>
        <v>0.399938</v>
      </c>
      <c r="I18" s="185"/>
      <c r="J18" s="185"/>
      <c r="K18" s="186"/>
      <c r="L18" s="186"/>
      <c r="M18" s="186"/>
      <c r="N18" s="149"/>
      <c r="O18" s="150"/>
    </row>
    <row r="19" customFormat="false" ht="13.8" hidden="false" customHeight="false" outlineLevel="0" collapsed="false">
      <c r="A19" s="166"/>
      <c r="B19" s="176" t="s">
        <v>136</v>
      </c>
      <c r="C19" s="176"/>
      <c r="D19" s="176"/>
      <c r="E19" s="177" t="n">
        <f aca="false">'Diagrama Fe T'!G38</f>
        <v>990</v>
      </c>
      <c r="F19" s="179" t="n">
        <f aca="false">'Diagrama Fe T'!G39</f>
        <v>0.485982</v>
      </c>
      <c r="G19" s="187" t="n">
        <f aca="false">+E19*F19</f>
        <v>481.12218</v>
      </c>
      <c r="H19" s="179" t="n">
        <f aca="false">Flujos!J30</f>
        <v>0.442274</v>
      </c>
      <c r="I19" s="185"/>
      <c r="J19" s="185"/>
      <c r="K19" s="186"/>
      <c r="L19" s="186"/>
      <c r="M19" s="186"/>
      <c r="N19" s="149"/>
      <c r="O19" s="150"/>
    </row>
    <row r="20" customFormat="false" ht="13.8" hidden="false" customHeight="false" outlineLevel="0" collapsed="false">
      <c r="A20" s="166"/>
      <c r="B20" s="176" t="s">
        <v>137</v>
      </c>
      <c r="C20" s="176"/>
      <c r="D20" s="176"/>
      <c r="E20" s="177" t="n">
        <f aca="false">'Diagrama Fe T'!G45</f>
        <v>990</v>
      </c>
      <c r="F20" s="179" t="n">
        <f aca="false">'Diagrama Fe T'!G46</f>
        <v>0.414638</v>
      </c>
      <c r="G20" s="187" t="n">
        <f aca="false">+E20*F20</f>
        <v>410.49162</v>
      </c>
      <c r="H20" s="179" t="n">
        <f aca="false">Flujos!J33</f>
        <v>0.372008</v>
      </c>
      <c r="I20" s="185"/>
      <c r="J20" s="185"/>
      <c r="K20" s="186"/>
      <c r="L20" s="186"/>
      <c r="M20" s="186"/>
      <c r="N20" s="149"/>
      <c r="O20" s="150"/>
    </row>
    <row r="21" customFormat="false" ht="13.8" hidden="false" customHeight="false" outlineLevel="0" collapsed="false">
      <c r="A21" s="166"/>
      <c r="B21" s="176" t="s">
        <v>138</v>
      </c>
      <c r="C21" s="176"/>
      <c r="D21" s="176"/>
      <c r="E21" s="177" t="n">
        <f aca="false">'Diagrama Fe T'!G51</f>
        <v>990</v>
      </c>
      <c r="F21" s="179" t="n">
        <f aca="false">'Diagrama Fe T'!G52</f>
        <v>0.485982</v>
      </c>
      <c r="G21" s="187" t="n">
        <f aca="false">+E21*F21</f>
        <v>481.12218</v>
      </c>
      <c r="H21" s="179" t="n">
        <f aca="false">Flujos!J36</f>
        <v>0.442274</v>
      </c>
      <c r="I21" s="185"/>
      <c r="J21" s="185"/>
      <c r="K21" s="186"/>
      <c r="L21" s="186"/>
      <c r="M21" s="186"/>
      <c r="N21" s="149"/>
      <c r="O21" s="150"/>
    </row>
    <row r="22" customFormat="false" ht="13.8" hidden="false" customHeight="false" outlineLevel="0" collapsed="false">
      <c r="A22" s="166"/>
      <c r="B22" s="176" t="s">
        <v>139</v>
      </c>
      <c r="C22" s="176"/>
      <c r="D22" s="176"/>
      <c r="E22" s="177" t="n">
        <f aca="false">'Diagrama Fe T'!G58</f>
        <v>0</v>
      </c>
      <c r="F22" s="179" t="n">
        <f aca="false">'Diagrama Fe T'!G59</f>
        <v>0</v>
      </c>
      <c r="G22" s="187" t="n">
        <f aca="false">+E22*F22</f>
        <v>0</v>
      </c>
      <c r="H22" s="179" t="n">
        <f aca="false">Flujos!J39</f>
        <v>0</v>
      </c>
      <c r="I22" s="185"/>
      <c r="J22" s="185"/>
      <c r="K22" s="186"/>
      <c r="L22" s="186"/>
      <c r="M22" s="186"/>
      <c r="N22" s="149"/>
      <c r="O22" s="150"/>
    </row>
    <row r="23" customFormat="false" ht="13.8" hidden="false" customHeight="false" outlineLevel="0" collapsed="false">
      <c r="A23" s="153"/>
      <c r="N23" s="149"/>
      <c r="O23" s="150"/>
    </row>
    <row r="24" customFormat="false" ht="13.8" hidden="true" customHeight="false" outlineLevel="0" collapsed="false">
      <c r="A24" s="153"/>
      <c r="N24" s="149"/>
      <c r="O24" s="150"/>
    </row>
    <row r="25" customFormat="false" ht="13.8" hidden="true" customHeight="false" outlineLevel="0" collapsed="false">
      <c r="A25" s="153"/>
      <c r="N25" s="149"/>
      <c r="O25" s="150"/>
    </row>
    <row r="26" customFormat="false" ht="13.8" hidden="true" customHeight="false" outlineLevel="0" collapsed="false">
      <c r="A26" s="153"/>
      <c r="N26" s="149"/>
      <c r="O26" s="150"/>
    </row>
    <row r="27" customFormat="false" ht="13.8" hidden="true" customHeight="true" outlineLevel="0" collapsed="false">
      <c r="A27" s="153"/>
      <c r="B27" s="188" t="s">
        <v>140</v>
      </c>
      <c r="C27" s="188"/>
      <c r="D27" s="188"/>
      <c r="E27" s="177" t="n">
        <f aca="false">SUM(E10:E22)</f>
        <v>1855797.93</v>
      </c>
      <c r="F27" s="189" t="n">
        <f aca="false">+G27/E27</f>
        <v>0.413958154213229</v>
      </c>
      <c r="G27" s="190" t="n">
        <f aca="false">SUM(G10:G22)</f>
        <v>768222.685695531</v>
      </c>
      <c r="H27" s="191"/>
      <c r="I27" s="192"/>
      <c r="J27" s="192"/>
      <c r="K27" s="193"/>
      <c r="L27" s="194"/>
      <c r="M27" s="195"/>
      <c r="N27" s="149"/>
      <c r="O27" s="150"/>
    </row>
    <row r="28" customFormat="false" ht="13.8" hidden="false" customHeight="false" outlineLevel="0" collapsed="false">
      <c r="A28" s="153"/>
      <c r="B28" s="196" t="s">
        <v>141</v>
      </c>
      <c r="C28" s="196"/>
      <c r="D28" s="196"/>
      <c r="E28" s="196"/>
      <c r="F28" s="196"/>
      <c r="G28" s="196"/>
      <c r="H28" s="197" t="s">
        <v>142</v>
      </c>
      <c r="I28" s="197"/>
      <c r="J28" s="197"/>
      <c r="K28" s="197"/>
      <c r="L28" s="197"/>
      <c r="M28" s="197"/>
      <c r="N28" s="149"/>
      <c r="O28" s="150"/>
    </row>
    <row r="29" customFormat="false" ht="12.75" hidden="false" customHeight="true" outlineLevel="0" collapsed="false">
      <c r="A29" s="153"/>
      <c r="B29" s="198" t="s">
        <v>122</v>
      </c>
      <c r="C29" s="198"/>
      <c r="D29" s="198"/>
      <c r="E29" s="199" t="n">
        <f aca="false">'Datos Extra'!B1</f>
        <v>248851</v>
      </c>
      <c r="F29" s="200" t="n">
        <f aca="false">'Datos Extra'!C1</f>
        <v>0.6559</v>
      </c>
      <c r="G29" s="199" t="n">
        <f aca="false">+E29*F29</f>
        <v>163221.3709</v>
      </c>
      <c r="H29" s="201" t="s">
        <v>133</v>
      </c>
      <c r="I29" s="201"/>
      <c r="J29" s="201"/>
      <c r="K29" s="202" t="n">
        <f aca="false">Flujos!H62</f>
        <v>1668294.93</v>
      </c>
      <c r="L29" s="203" t="n">
        <f aca="false">Flujos!I62</f>
        <v>0.11228636552</v>
      </c>
      <c r="M29" s="184" t="n">
        <f aca="false">+K29*L29</f>
        <v>187326.774305143</v>
      </c>
      <c r="N29" s="149"/>
      <c r="O29" s="150"/>
    </row>
    <row r="30" customFormat="false" ht="12.75" hidden="false" customHeight="true" outlineLevel="0" collapsed="false">
      <c r="A30" s="153"/>
      <c r="B30" s="188" t="s">
        <v>140</v>
      </c>
      <c r="C30" s="188"/>
      <c r="D30" s="188"/>
      <c r="E30" s="204" t="n">
        <f aca="false">SUM(E28:E29)</f>
        <v>248851</v>
      </c>
      <c r="F30" s="205" t="n">
        <f aca="false">F29</f>
        <v>0.6559</v>
      </c>
      <c r="G30" s="206" t="n">
        <f aca="false">SUM(G28:G29)</f>
        <v>163221.3709</v>
      </c>
      <c r="H30" s="207" t="s">
        <v>140</v>
      </c>
      <c r="I30" s="207"/>
      <c r="J30" s="207"/>
      <c r="K30" s="208" t="n">
        <f aca="false">K29</f>
        <v>1668294.93</v>
      </c>
      <c r="L30" s="189" t="n">
        <f aca="false">L29</f>
        <v>0.11228636552</v>
      </c>
      <c r="M30" s="209" t="n">
        <f aca="false">M29</f>
        <v>187326.774305143</v>
      </c>
      <c r="N30" s="149"/>
      <c r="O30" s="150"/>
    </row>
    <row r="31" customFormat="false" ht="12.75" hidden="false" customHeight="true" outlineLevel="0" collapsed="false">
      <c r="A31" s="153"/>
      <c r="B31" s="210"/>
      <c r="C31" s="210"/>
      <c r="D31" s="210"/>
      <c r="E31" s="210"/>
      <c r="F31" s="210"/>
      <c r="G31" s="210"/>
      <c r="H31" s="210"/>
      <c r="I31" s="210"/>
      <c r="J31" s="210"/>
      <c r="K31" s="211"/>
      <c r="L31" s="212"/>
      <c r="M31" s="213"/>
      <c r="N31" s="149"/>
      <c r="O31" s="150"/>
    </row>
    <row r="32" customFormat="false" ht="12.75" hidden="false" customHeight="true" outlineLevel="0" collapsed="false">
      <c r="A32" s="153"/>
      <c r="B32" s="214" t="s">
        <v>143</v>
      </c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149"/>
      <c r="O32" s="150"/>
    </row>
    <row r="33" customFormat="false" ht="12.75" hidden="false" customHeight="true" outlineLevel="0" collapsed="false">
      <c r="A33" s="153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157"/>
      <c r="N33" s="149"/>
      <c r="O33" s="150"/>
    </row>
    <row r="34" customFormat="false" ht="12.75" hidden="false" customHeight="true" outlineLevel="0" collapsed="false">
      <c r="A34" s="216"/>
      <c r="B34" s="217" t="s">
        <v>144</v>
      </c>
      <c r="C34" s="217"/>
      <c r="D34" s="217"/>
      <c r="E34" s="215"/>
      <c r="F34" s="215"/>
      <c r="G34" s="217" t="s">
        <v>145</v>
      </c>
      <c r="H34" s="217"/>
      <c r="I34" s="217"/>
      <c r="J34" s="215"/>
      <c r="K34" s="217" t="s">
        <v>146</v>
      </c>
      <c r="L34" s="217"/>
      <c r="M34" s="217"/>
      <c r="N34" s="218"/>
      <c r="O34" s="150"/>
    </row>
    <row r="35" customFormat="false" ht="12.75" hidden="false" customHeight="true" outlineLevel="0" collapsed="false">
      <c r="A35" s="219"/>
      <c r="B35" s="220" t="n">
        <f aca="false">Utilidad!I105</f>
        <v>0.0926960191945953</v>
      </c>
      <c r="C35" s="220"/>
      <c r="D35" s="220"/>
      <c r="E35" s="215"/>
      <c r="F35" s="215"/>
      <c r="G35" s="220" t="n">
        <f aca="false">Utilidad!I94</f>
        <v>0.369282893360754</v>
      </c>
      <c r="H35" s="220"/>
      <c r="I35" s="220"/>
      <c r="J35" s="215"/>
      <c r="K35" s="221" t="n">
        <f aca="false">Utilidad!I104</f>
        <v>0.507935919183734</v>
      </c>
      <c r="L35" s="221"/>
      <c r="M35" s="221"/>
      <c r="N35" s="222"/>
      <c r="O35" s="150"/>
    </row>
    <row r="36" customFormat="false" ht="12.75" hidden="false" customHeight="true" outlineLevel="0" collapsed="false">
      <c r="A36" s="223"/>
      <c r="B36" s="220"/>
      <c r="C36" s="220"/>
      <c r="D36" s="220"/>
      <c r="E36" s="215"/>
      <c r="F36" s="215"/>
      <c r="G36" s="220"/>
      <c r="H36" s="220"/>
      <c r="I36" s="220"/>
      <c r="J36" s="215"/>
      <c r="K36" s="221"/>
      <c r="L36" s="221"/>
      <c r="M36" s="221"/>
      <c r="O36" s="150"/>
    </row>
    <row r="37" customFormat="false" ht="12.75" hidden="false" customHeight="true" outlineLevel="0" collapsed="false">
      <c r="A37" s="223"/>
      <c r="O37" s="150"/>
    </row>
    <row r="38" customFormat="false" ht="12.75" hidden="false" customHeight="true" outlineLevel="0" collapsed="false">
      <c r="A38" s="224"/>
    </row>
    <row r="39" customFormat="false" ht="12.75" hidden="false" customHeight="true" outlineLevel="0" collapsed="false">
      <c r="A39" s="225"/>
    </row>
    <row r="40" customFormat="false" ht="13.8" hidden="false" customHeight="false" outlineLevel="0" collapsed="false">
      <c r="A40" s="225"/>
    </row>
    <row r="41" customFormat="false" ht="13.8" hidden="false" customHeight="false" outlineLevel="0" collapsed="false">
      <c r="A41" s="225"/>
    </row>
    <row r="42" customFormat="false" ht="13.8" hidden="false" customHeight="false" outlineLevel="0" collapsed="false"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</row>
    <row r="43" customFormat="false" ht="13.8" hidden="false" customHeight="false" outlineLevel="0" collapsed="false"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</row>
    <row r="44" customFormat="false" ht="13.8" hidden="false" customHeight="false" outlineLevel="0" collapsed="false"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</row>
    <row r="45" customFormat="false" ht="13.8" hidden="false" customHeight="false" outlineLevel="0" collapsed="false"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</row>
  </sheetData>
  <mergeCells count="39">
    <mergeCell ref="B2:C5"/>
    <mergeCell ref="D2:M3"/>
    <mergeCell ref="D4:I5"/>
    <mergeCell ref="J4:K5"/>
    <mergeCell ref="L4:M5"/>
    <mergeCell ref="B7:D8"/>
    <mergeCell ref="I7:J8"/>
    <mergeCell ref="B9:G9"/>
    <mergeCell ref="H9:M9"/>
    <mergeCell ref="B10:D10"/>
    <mergeCell ref="B11:D11"/>
    <mergeCell ref="B12:D12"/>
    <mergeCell ref="I12:J22"/>
    <mergeCell ref="K12:M2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7:D27"/>
    <mergeCell ref="I27:J27"/>
    <mergeCell ref="B28:G28"/>
    <mergeCell ref="H28:M28"/>
    <mergeCell ref="B29:D29"/>
    <mergeCell ref="H29:J29"/>
    <mergeCell ref="B30:D30"/>
    <mergeCell ref="H30:J30"/>
    <mergeCell ref="B32:M32"/>
    <mergeCell ref="B34:D34"/>
    <mergeCell ref="G34:I34"/>
    <mergeCell ref="K34:M34"/>
    <mergeCell ref="B35:D36"/>
    <mergeCell ref="G35:I36"/>
    <mergeCell ref="K35:M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2021-07-19T13:22:17Z</dcterms:created>
  <dc:creator>Marco Arru</dc:creator>
  <dc:description/>
  <dc:language>es-CL</dc:language>
  <cp:lastModifiedBy/>
  <dcterms:modified xsi:type="dcterms:W3CDTF">2023-05-14T16:15:47Z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