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o/Desktop/"/>
    </mc:Choice>
  </mc:AlternateContent>
  <xr:revisionPtr revIDLastSave="0" documentId="8_{A02E8C7A-5961-044E-9A36-FB572CF72DA1}" xr6:coauthVersionLast="47" xr6:coauthVersionMax="47" xr10:uidLastSave="{00000000-0000-0000-0000-000000000000}"/>
  <bookViews>
    <workbookView xWindow="0" yWindow="680" windowWidth="27040" windowHeight="16880" tabRatio="500" activeTab="4" xr2:uid="{00000000-000D-0000-FFFF-FFFF00000000}"/>
  </bookViews>
  <sheets>
    <sheet name="Utilidad" sheetId="1" r:id="rId1"/>
    <sheet name="Diagrama Fe T" sheetId="2" r:id="rId2"/>
    <sheet name="Flujos" sheetId="3" r:id="rId3"/>
    <sheet name="Datos Extra" sheetId="4" r:id="rId4"/>
    <sheet name="Reporte" sheetId="5" r:id="rId5"/>
  </sheets>
  <externalReferences>
    <externalReference r:id="rId6"/>
  </externalReferences>
  <definedNames>
    <definedName name="_xlnm.Print_Area" localSheetId="4">Reporte!$A$1:$O$33</definedName>
    <definedName name="solver_adj" localSheetId="0">Utilidad!$O$68:$P$120</definedName>
    <definedName name="solver_cvg" localSheetId="0">0.0001</definedName>
    <definedName name="solver_drv" localSheetId="0">1</definedName>
    <definedName name="solver_eng" localSheetId="1">1</definedName>
    <definedName name="solver_eng" localSheetId="0">1</definedName>
    <definedName name="solver_est" localSheetId="0">1</definedName>
    <definedName name="solver_itr" localSheetId="0">2147483647</definedName>
    <definedName name="solver_lhs1" localSheetId="0">Utilidad!$AC$68:$AC$89</definedName>
    <definedName name="solver_lhs10" localSheetId="0">Utilidad!$W$113</definedName>
    <definedName name="solver_lhs11" localSheetId="0">Utilidad!$W$95</definedName>
    <definedName name="solver_lhs12" localSheetId="0">Utilidad!$AA$63</definedName>
    <definedName name="solver_lhs13" localSheetId="0">Utilidad!$AA$64</definedName>
    <definedName name="solver_lhs14" localSheetId="0">Utilidad!$AA$65</definedName>
    <definedName name="solver_lhs15" localSheetId="0">Utilidad!$AA$66</definedName>
    <definedName name="solver_lhs16" localSheetId="0">Utilidad!$AA$67</definedName>
    <definedName name="solver_lhs17" localSheetId="0">Utilidad!$AA$68</definedName>
    <definedName name="solver_lhs18" localSheetId="0">Utilidad!$AA$69</definedName>
    <definedName name="solver_lhs19" localSheetId="0">Utilidad!$AB$52</definedName>
    <definedName name="solver_lhs2" localSheetId="0">Utilidad!$AD$68:$AD$89</definedName>
    <definedName name="solver_lhs20" localSheetId="0">Utilidad!$AB$53</definedName>
    <definedName name="solver_lhs21" localSheetId="0">Utilidad!$AB$54</definedName>
    <definedName name="solver_lhs22" localSheetId="0">Utilidad!$AB$55</definedName>
    <definedName name="solver_lhs23" localSheetId="0">Utilidad!$AB$56</definedName>
    <definedName name="solver_lhs24" localSheetId="0">Utilidad!$AB$57</definedName>
    <definedName name="solver_lhs25" localSheetId="0">Utilidad!$AB$58</definedName>
    <definedName name="solver_lhs26" localSheetId="0">Utilidad!$AB$59</definedName>
    <definedName name="solver_lhs27" localSheetId="0">Utilidad!$AB$60</definedName>
    <definedName name="solver_lhs28" localSheetId="0">Utilidad!$AB$61</definedName>
    <definedName name="solver_lhs29" localSheetId="0">Utilidad!$AB$62</definedName>
    <definedName name="solver_lhs3" localSheetId="0">Utilidad!$U$113</definedName>
    <definedName name="solver_lhs30" localSheetId="0">Utilidad!$AB$63</definedName>
    <definedName name="solver_lhs31" localSheetId="0">Utilidad!$AB$64</definedName>
    <definedName name="solver_lhs32" localSheetId="0">Utilidad!$AB$65</definedName>
    <definedName name="solver_lhs33" localSheetId="0">Utilidad!$AB$66</definedName>
    <definedName name="solver_lhs34" localSheetId="0">Utilidad!$AB$67</definedName>
    <definedName name="solver_lhs35" localSheetId="0">Utilidad!$AB$68</definedName>
    <definedName name="solver_lhs36" localSheetId="0">Utilidad!$AB$69</definedName>
    <definedName name="solver_lhs37" localSheetId="0">Utilidad!$U$52</definedName>
    <definedName name="solver_lhs38" localSheetId="0">Utilidad!$U$54</definedName>
    <definedName name="solver_lhs39" localSheetId="0">Utilidad!$U$55</definedName>
    <definedName name="solver_lhs4" localSheetId="0">Utilidad!$U$120</definedName>
    <definedName name="solver_lhs40" localSheetId="0">Utilidad!$U$58</definedName>
    <definedName name="solver_lhs41" localSheetId="0">Utilidad!$U$60</definedName>
    <definedName name="solver_lhs42" localSheetId="0">Utilidad!$U$61</definedName>
    <definedName name="solver_lhs43" localSheetId="0">Utilidad!$U$64</definedName>
    <definedName name="solver_lhs44" localSheetId="0">Utilidad!$U$67</definedName>
    <definedName name="solver_lhs45" localSheetId="0">Utilidad!$U$70</definedName>
    <definedName name="solver_lhs46" localSheetId="0">Utilidad!$U$73</definedName>
    <definedName name="solver_lhs47" localSheetId="0">Utilidad!$U$79</definedName>
    <definedName name="solver_lhs48" localSheetId="0">Utilidad!$U$95</definedName>
    <definedName name="solver_lhs49" localSheetId="0">Utilidad!$W$79</definedName>
    <definedName name="solver_lhs5" localSheetId="0">Utilidad!$U$68:$U$95</definedName>
    <definedName name="solver_lhs50" localSheetId="0">Utilidad!$W$95</definedName>
    <definedName name="solver_lhs6" localSheetId="0">Utilidad!$W$102:$W$111</definedName>
    <definedName name="solver_lhs7" localSheetId="0">Utilidad!$W$113</definedName>
    <definedName name="solver_lhs8" localSheetId="0">Utilidad!$W$95</definedName>
    <definedName name="solver_lhs9" localSheetId="0">Utilidad!$U$68:$U$95</definedName>
    <definedName name="solver_lin" localSheetId="1">2</definedName>
    <definedName name="solver_lin" localSheetId="0">2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1">1</definedName>
    <definedName name="solver_neg" localSheetId="0">1</definedName>
    <definedName name="solver_nod" localSheetId="0">2147483647</definedName>
    <definedName name="solver_num" localSheetId="1">0</definedName>
    <definedName name="solver_num" localSheetId="0">8</definedName>
    <definedName name="solver_nwt" localSheetId="0">1</definedName>
    <definedName name="solver_opt" localSheetId="1">'Diagrama Fe T'!$AB$57</definedName>
    <definedName name="solver_opt" localSheetId="0">Utilidad!$AC$93</definedName>
    <definedName name="solver_pre" localSheetId="0">0.00001</definedName>
    <definedName name="solver_rbv" localSheetId="0">1</definedName>
    <definedName name="solver_rel1" localSheetId="0">2</definedName>
    <definedName name="solver_rel10" localSheetId="0">2</definedName>
    <definedName name="solver_rel11" localSheetId="0">1</definedName>
    <definedName name="solver_rel12" localSheetId="0">2</definedName>
    <definedName name="solver_rel13" localSheetId="0">2</definedName>
    <definedName name="solver_rel14" localSheetId="0">2</definedName>
    <definedName name="solver_rel15" localSheetId="0">2</definedName>
    <definedName name="solver_rel16" localSheetId="0">2</definedName>
    <definedName name="solver_rel17" localSheetId="0">2</definedName>
    <definedName name="solver_rel18" localSheetId="0">2</definedName>
    <definedName name="solver_rel19" localSheetId="0">2</definedName>
    <definedName name="solver_rel2" localSheetId="0">2</definedName>
    <definedName name="solver_rel20" localSheetId="0">2</definedName>
    <definedName name="solver_rel21" localSheetId="0">2</definedName>
    <definedName name="solver_rel22" localSheetId="0">2</definedName>
    <definedName name="solver_rel23" localSheetId="0">2</definedName>
    <definedName name="solver_rel24" localSheetId="0">2</definedName>
    <definedName name="solver_rel25" localSheetId="0">2</definedName>
    <definedName name="solver_rel26" localSheetId="0">2</definedName>
    <definedName name="solver_rel27" localSheetId="0">2</definedName>
    <definedName name="solver_rel28" localSheetId="0">2</definedName>
    <definedName name="solver_rel29" localSheetId="0">2</definedName>
    <definedName name="solver_rel3" localSheetId="0">2</definedName>
    <definedName name="solver_rel30" localSheetId="0">2</definedName>
    <definedName name="solver_rel31" localSheetId="0">2</definedName>
    <definedName name="solver_rel32" localSheetId="0">2</definedName>
    <definedName name="solver_rel33" localSheetId="0">2</definedName>
    <definedName name="solver_rel34" localSheetId="0">2</definedName>
    <definedName name="solver_rel35" localSheetId="0">2</definedName>
    <definedName name="solver_rel36" localSheetId="0">2</definedName>
    <definedName name="solver_rel37" localSheetId="0">1</definedName>
    <definedName name="solver_rel38" localSheetId="0">1</definedName>
    <definedName name="solver_rel39" localSheetId="0">1</definedName>
    <definedName name="solver_rel4" localSheetId="0">1</definedName>
    <definedName name="solver_rel40" localSheetId="0">1</definedName>
    <definedName name="solver_rel41" localSheetId="0">1</definedName>
    <definedName name="solver_rel42" localSheetId="0">1</definedName>
    <definedName name="solver_rel43" localSheetId="0">1</definedName>
    <definedName name="solver_rel44" localSheetId="0">1</definedName>
    <definedName name="solver_rel45" localSheetId="0">1</definedName>
    <definedName name="solver_rel46" localSheetId="0">1</definedName>
    <definedName name="solver_rel47" localSheetId="0">2</definedName>
    <definedName name="solver_rel48" localSheetId="0">2</definedName>
    <definedName name="solver_rel49" localSheetId="0">1</definedName>
    <definedName name="solver_rel5" localSheetId="0">1</definedName>
    <definedName name="solver_rel50" localSheetId="0">2</definedName>
    <definedName name="solver_rel6" localSheetId="0">1</definedName>
    <definedName name="solver_rel7" localSheetId="0">2</definedName>
    <definedName name="solver_rel8" localSheetId="0">1</definedName>
    <definedName name="solver_rel9" localSheetId="0">1</definedName>
    <definedName name="solver_rhs1" localSheetId="0">Utilidad!$AE$68:$AE$89</definedName>
    <definedName name="solver_rhs10" localSheetId="0">Utilidad!$X$113</definedName>
    <definedName name="solver_rhs11" localSheetId="0">Utilidad!$X$95</definedName>
    <definedName name="solver_rhs12" localSheetId="0">0</definedName>
    <definedName name="solver_rhs13" localSheetId="0">0</definedName>
    <definedName name="solver_rhs14" localSheetId="0">0</definedName>
    <definedName name="solver_rhs15" localSheetId="0">0</definedName>
    <definedName name="solver_rhs16" localSheetId="0">0</definedName>
    <definedName name="solver_rhs17" localSheetId="0">0</definedName>
    <definedName name="solver_rhs18" localSheetId="0">0</definedName>
    <definedName name="solver_rhs19" localSheetId="0">0</definedName>
    <definedName name="solver_rhs2" localSheetId="0">Utilidad!$AE$68:$AE$89</definedName>
    <definedName name="solver_rhs20" localSheetId="0">0</definedName>
    <definedName name="solver_rhs21" localSheetId="0">0</definedName>
    <definedName name="solver_rhs22" localSheetId="0">0</definedName>
    <definedName name="solver_rhs23" localSheetId="0">0</definedName>
    <definedName name="solver_rhs24" localSheetId="0">0</definedName>
    <definedName name="solver_rhs25" localSheetId="0">0</definedName>
    <definedName name="solver_rhs26" localSheetId="0">0</definedName>
    <definedName name="solver_rhs27" localSheetId="0">0</definedName>
    <definedName name="solver_rhs28" localSheetId="0">0</definedName>
    <definedName name="solver_rhs29" localSheetId="0">0</definedName>
    <definedName name="solver_rhs3" localSheetId="0">Utilidad!$V$113</definedName>
    <definedName name="solver_rhs30" localSheetId="0">0</definedName>
    <definedName name="solver_rhs31" localSheetId="0">0</definedName>
    <definedName name="solver_rhs32" localSheetId="0">0</definedName>
    <definedName name="solver_rhs33" localSheetId="0">0</definedName>
    <definedName name="solver_rhs34" localSheetId="0">0</definedName>
    <definedName name="solver_rhs35" localSheetId="0">0</definedName>
    <definedName name="solver_rhs36" localSheetId="0">0</definedName>
    <definedName name="solver_rhs37" localSheetId="0">Utilidad!$V$52</definedName>
    <definedName name="solver_rhs38" localSheetId="0">Utilidad!$V$54</definedName>
    <definedName name="solver_rhs39" localSheetId="0">Utilidad!$V$55</definedName>
    <definedName name="solver_rhs4" localSheetId="0">Utilidad!$V$120</definedName>
    <definedName name="solver_rhs40" localSheetId="0">Utilidad!$V$58</definedName>
    <definedName name="solver_rhs41" localSheetId="0">Utilidad!$V$60</definedName>
    <definedName name="solver_rhs42" localSheetId="0">Utilidad!$V$61</definedName>
    <definedName name="solver_rhs43" localSheetId="0">Utilidad!$V$64</definedName>
    <definedName name="solver_rhs44" localSheetId="0">Utilidad!$V$67</definedName>
    <definedName name="solver_rhs45" localSheetId="0">Utilidad!$V$70</definedName>
    <definedName name="solver_rhs46" localSheetId="0">Utilidad!$V$73</definedName>
    <definedName name="solver_rhs47" localSheetId="0">Utilidad!$V$79</definedName>
    <definedName name="solver_rhs48" localSheetId="0">Utilidad!$V$95</definedName>
    <definedName name="solver_rhs49" localSheetId="0">Utilidad!$X$79</definedName>
    <definedName name="solver_rhs5" localSheetId="0">Utilidad!$V$68:$V$95</definedName>
    <definedName name="solver_rhs50" localSheetId="0">Utilidad!$X$95</definedName>
    <definedName name="solver_rhs6" localSheetId="0">Utilidad!$X$102:$X$111</definedName>
    <definedName name="solver_rhs7" localSheetId="0">Utilidad!$X$113</definedName>
    <definedName name="solver_rhs8" localSheetId="0">Utilidad!$X$95</definedName>
    <definedName name="solver_rhs9" localSheetId="0">Utilidad!$V$68:$V$95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1">1</definedName>
    <definedName name="solver_typ" localSheetId="0">2</definedName>
    <definedName name="solver_val" localSheetId="1">0</definedName>
    <definedName name="solver_val" localSheetId="0">0</definedName>
    <definedName name="solver_ver" localSheetId="1">2</definedName>
    <definedName name="solver_ver" localSheetId="0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1" i="5" l="1"/>
  <c r="N10" i="5"/>
  <c r="H22" i="5"/>
  <c r="F22" i="5"/>
  <c r="H21" i="5"/>
  <c r="F21" i="5"/>
  <c r="H20" i="5"/>
  <c r="H23" i="5" s="1"/>
  <c r="F19" i="5"/>
  <c r="H18" i="5"/>
  <c r="F18" i="5"/>
  <c r="H17" i="5"/>
  <c r="F16" i="5"/>
  <c r="H15" i="5"/>
  <c r="F14" i="5"/>
  <c r="H13" i="5"/>
  <c r="F13" i="5"/>
  <c r="H12" i="5"/>
  <c r="F12" i="5"/>
  <c r="H11" i="5"/>
  <c r="F11" i="5"/>
  <c r="F10" i="5"/>
  <c r="F25" i="5"/>
  <c r="F26" i="5" s="1"/>
  <c r="E25" i="5"/>
  <c r="G25" i="5" s="1"/>
  <c r="G26" i="5" s="1"/>
  <c r="L11" i="5"/>
  <c r="K11" i="5"/>
  <c r="L4" i="5"/>
  <c r="H80" i="3"/>
  <c r="F80" i="3"/>
  <c r="E80" i="3"/>
  <c r="C80" i="3"/>
  <c r="F79" i="3"/>
  <c r="D79" i="3"/>
  <c r="H78" i="3"/>
  <c r="G78" i="3"/>
  <c r="C78" i="3"/>
  <c r="E73" i="3"/>
  <c r="C73" i="3"/>
  <c r="I72" i="3"/>
  <c r="H72" i="3"/>
  <c r="I71" i="3" s="1"/>
  <c r="N65" i="3"/>
  <c r="M65" i="3"/>
  <c r="R65" i="3" s="1"/>
  <c r="L65" i="3"/>
  <c r="Q65" i="3" s="1"/>
  <c r="J65" i="3"/>
  <c r="I65" i="3"/>
  <c r="H65" i="3"/>
  <c r="E65" i="3"/>
  <c r="D65" i="3"/>
  <c r="C65" i="3"/>
  <c r="T64" i="3"/>
  <c r="P64" i="3"/>
  <c r="J64" i="3"/>
  <c r="I64" i="3"/>
  <c r="H64" i="3"/>
  <c r="E64" i="3"/>
  <c r="N64" i="3" s="1"/>
  <c r="D64" i="3"/>
  <c r="M64" i="3" s="1"/>
  <c r="R64" i="3" s="1"/>
  <c r="C64" i="3"/>
  <c r="L64" i="3" s="1"/>
  <c r="T63" i="3"/>
  <c r="R63" i="3"/>
  <c r="J63" i="3"/>
  <c r="I63" i="3"/>
  <c r="H63" i="3"/>
  <c r="O29" i="2" s="1"/>
  <c r="E63" i="3"/>
  <c r="N63" i="3" s="1"/>
  <c r="D63" i="3"/>
  <c r="M63" i="3" s="1"/>
  <c r="C63" i="3"/>
  <c r="L63" i="3" s="1"/>
  <c r="N62" i="3"/>
  <c r="J62" i="3"/>
  <c r="I62" i="3"/>
  <c r="L25" i="5" s="1"/>
  <c r="L26" i="5" s="1"/>
  <c r="H62" i="3"/>
  <c r="E62" i="3"/>
  <c r="D62" i="3"/>
  <c r="C62" i="3"/>
  <c r="T61" i="3"/>
  <c r="L61" i="3"/>
  <c r="J61" i="3"/>
  <c r="I79" i="3" s="1"/>
  <c r="I61" i="3"/>
  <c r="L10" i="5" s="1"/>
  <c r="H61" i="3"/>
  <c r="K10" i="5" s="1"/>
  <c r="E61" i="3"/>
  <c r="N61" i="3" s="1"/>
  <c r="D61" i="3"/>
  <c r="M61" i="3" s="1"/>
  <c r="R61" i="3" s="1"/>
  <c r="C61" i="3"/>
  <c r="J60" i="3"/>
  <c r="I60" i="3"/>
  <c r="H60" i="3"/>
  <c r="E60" i="3"/>
  <c r="N60" i="3" s="1"/>
  <c r="D60" i="3"/>
  <c r="M60" i="3" s="1"/>
  <c r="C60" i="3"/>
  <c r="L59" i="3"/>
  <c r="J59" i="3"/>
  <c r="I59" i="3"/>
  <c r="H59" i="3"/>
  <c r="P45" i="2" s="1"/>
  <c r="E59" i="3"/>
  <c r="D59" i="3"/>
  <c r="C59" i="3"/>
  <c r="N58" i="3"/>
  <c r="M58" i="3"/>
  <c r="L58" i="3"/>
  <c r="J58" i="3"/>
  <c r="I58" i="3"/>
  <c r="H58" i="3"/>
  <c r="E58" i="3"/>
  <c r="D58" i="3"/>
  <c r="C58" i="3"/>
  <c r="P57" i="3"/>
  <c r="N57" i="3"/>
  <c r="J57" i="3"/>
  <c r="I57" i="3"/>
  <c r="H57" i="3"/>
  <c r="E57" i="3"/>
  <c r="D57" i="3"/>
  <c r="C57" i="3"/>
  <c r="L57" i="3" s="1"/>
  <c r="L56" i="3"/>
  <c r="J56" i="3"/>
  <c r="G79" i="3" s="1"/>
  <c r="I56" i="3"/>
  <c r="G72" i="3" s="1"/>
  <c r="H56" i="3"/>
  <c r="E56" i="3"/>
  <c r="D56" i="3"/>
  <c r="C56" i="3"/>
  <c r="M55" i="3"/>
  <c r="J55" i="3"/>
  <c r="I55" i="3"/>
  <c r="G73" i="3" s="1"/>
  <c r="H55" i="3"/>
  <c r="E55" i="3"/>
  <c r="D55" i="3"/>
  <c r="C55" i="3"/>
  <c r="L55" i="3" s="1"/>
  <c r="T54" i="3"/>
  <c r="Q54" i="3"/>
  <c r="N54" i="3"/>
  <c r="J54" i="3"/>
  <c r="I54" i="3"/>
  <c r="F72" i="3" s="1"/>
  <c r="H71" i="3" s="1"/>
  <c r="H54" i="3"/>
  <c r="E54" i="3"/>
  <c r="D54" i="3"/>
  <c r="M54" i="3" s="1"/>
  <c r="R54" i="3" s="1"/>
  <c r="C54" i="3"/>
  <c r="L54" i="3" s="1"/>
  <c r="P54" i="3" s="1"/>
  <c r="T53" i="3"/>
  <c r="R53" i="3"/>
  <c r="J53" i="3"/>
  <c r="I53" i="3"/>
  <c r="S37" i="2" s="1"/>
  <c r="H53" i="3"/>
  <c r="S36" i="2" s="1"/>
  <c r="S38" i="2" s="1"/>
  <c r="E53" i="3"/>
  <c r="N53" i="3" s="1"/>
  <c r="D53" i="3"/>
  <c r="M53" i="3" s="1"/>
  <c r="C53" i="3"/>
  <c r="L53" i="3" s="1"/>
  <c r="P53" i="3" s="1"/>
  <c r="N52" i="3"/>
  <c r="M52" i="3"/>
  <c r="R52" i="3" s="1"/>
  <c r="J52" i="3"/>
  <c r="I52" i="3"/>
  <c r="E72" i="3" s="1"/>
  <c r="F71" i="3" s="1"/>
  <c r="H52" i="3"/>
  <c r="L52" i="3" s="1"/>
  <c r="Q52" i="3" s="1"/>
  <c r="E52" i="3"/>
  <c r="D52" i="3"/>
  <c r="C52" i="3"/>
  <c r="T51" i="3"/>
  <c r="J51" i="3"/>
  <c r="I51" i="3"/>
  <c r="H51" i="3"/>
  <c r="E51" i="3"/>
  <c r="N51" i="3" s="1"/>
  <c r="D51" i="3"/>
  <c r="M51" i="3" s="1"/>
  <c r="R51" i="3" s="1"/>
  <c r="C51" i="3"/>
  <c r="L51" i="3" s="1"/>
  <c r="P51" i="3" s="1"/>
  <c r="J50" i="3"/>
  <c r="I50" i="3"/>
  <c r="E71" i="3" s="1"/>
  <c r="E74" i="3" s="1"/>
  <c r="H50" i="3"/>
  <c r="E50" i="3"/>
  <c r="N50" i="3" s="1"/>
  <c r="D50" i="3"/>
  <c r="M50" i="3" s="1"/>
  <c r="R50" i="3" s="1"/>
  <c r="C50" i="3"/>
  <c r="J49" i="3"/>
  <c r="I49" i="3"/>
  <c r="H49" i="3"/>
  <c r="L49" i="3" s="1"/>
  <c r="E49" i="3"/>
  <c r="D49" i="3"/>
  <c r="C49" i="3"/>
  <c r="N48" i="3"/>
  <c r="M48" i="3"/>
  <c r="R48" i="3" s="1"/>
  <c r="L48" i="3"/>
  <c r="J48" i="3"/>
  <c r="T48" i="3" s="1"/>
  <c r="I48" i="3"/>
  <c r="H48" i="3"/>
  <c r="E48" i="3"/>
  <c r="D48" i="3"/>
  <c r="C48" i="3"/>
  <c r="N47" i="3"/>
  <c r="J47" i="3"/>
  <c r="I47" i="3"/>
  <c r="H47" i="3"/>
  <c r="R17" i="2" s="1"/>
  <c r="E47" i="3"/>
  <c r="D47" i="3"/>
  <c r="C47" i="3"/>
  <c r="L46" i="3"/>
  <c r="J46" i="3"/>
  <c r="D80" i="3" s="1"/>
  <c r="I46" i="3"/>
  <c r="D73" i="3" s="1"/>
  <c r="H46" i="3"/>
  <c r="E46" i="3"/>
  <c r="D46" i="3"/>
  <c r="C46" i="3"/>
  <c r="L45" i="3"/>
  <c r="J45" i="3"/>
  <c r="I45" i="3"/>
  <c r="M45" i="3" s="1"/>
  <c r="H45" i="3"/>
  <c r="E45" i="3"/>
  <c r="D45" i="3"/>
  <c r="C45" i="3"/>
  <c r="T44" i="3"/>
  <c r="P44" i="3"/>
  <c r="N44" i="3"/>
  <c r="M44" i="3"/>
  <c r="R44" i="3" s="1"/>
  <c r="J44" i="3"/>
  <c r="I44" i="3"/>
  <c r="H44" i="3"/>
  <c r="E44" i="3"/>
  <c r="D44" i="3"/>
  <c r="C44" i="3"/>
  <c r="L44" i="3" s="1"/>
  <c r="T43" i="3"/>
  <c r="R43" i="3"/>
  <c r="L43" i="3"/>
  <c r="P43" i="3" s="1"/>
  <c r="J43" i="3"/>
  <c r="H10" i="5" s="1"/>
  <c r="I43" i="3"/>
  <c r="C71" i="3" s="1"/>
  <c r="H43" i="3"/>
  <c r="E10" i="5" s="1"/>
  <c r="E43" i="3"/>
  <c r="N43" i="3" s="1"/>
  <c r="D43" i="3"/>
  <c r="M43" i="3" s="1"/>
  <c r="C43" i="3"/>
  <c r="N42" i="3"/>
  <c r="M42" i="3"/>
  <c r="L42" i="3"/>
  <c r="Q42" i="3" s="1"/>
  <c r="J42" i="3"/>
  <c r="I42" i="3"/>
  <c r="H42" i="3"/>
  <c r="E42" i="3"/>
  <c r="D42" i="3"/>
  <c r="C42" i="3"/>
  <c r="T41" i="3"/>
  <c r="Q41" i="3"/>
  <c r="P41" i="3"/>
  <c r="J41" i="3"/>
  <c r="I41" i="3"/>
  <c r="H41" i="3"/>
  <c r="E41" i="3"/>
  <c r="N41" i="3" s="1"/>
  <c r="R41" i="3" s="1"/>
  <c r="D41" i="3"/>
  <c r="M41" i="3" s="1"/>
  <c r="C41" i="3"/>
  <c r="L41" i="3" s="1"/>
  <c r="T40" i="3"/>
  <c r="J40" i="3"/>
  <c r="I40" i="3"/>
  <c r="Q55" i="2" s="1"/>
  <c r="H40" i="3"/>
  <c r="E40" i="3"/>
  <c r="N40" i="3" s="1"/>
  <c r="D40" i="3"/>
  <c r="M40" i="3" s="1"/>
  <c r="R40" i="3" s="1"/>
  <c r="C40" i="3"/>
  <c r="L40" i="3" s="1"/>
  <c r="T39" i="3"/>
  <c r="M39" i="3"/>
  <c r="J39" i="3"/>
  <c r="I39" i="3"/>
  <c r="H39" i="3"/>
  <c r="L39" i="3" s="1"/>
  <c r="E39" i="3"/>
  <c r="N39" i="3" s="1"/>
  <c r="D39" i="3"/>
  <c r="C39" i="3"/>
  <c r="R38" i="3"/>
  <c r="N38" i="3"/>
  <c r="L38" i="3"/>
  <c r="J38" i="3"/>
  <c r="T38" i="3" s="1"/>
  <c r="I38" i="3"/>
  <c r="H38" i="3"/>
  <c r="E38" i="3"/>
  <c r="D38" i="3"/>
  <c r="M38" i="3" s="1"/>
  <c r="C38" i="3"/>
  <c r="N37" i="3"/>
  <c r="R37" i="3" s="1"/>
  <c r="J37" i="3"/>
  <c r="I37" i="3"/>
  <c r="H37" i="3"/>
  <c r="D58" i="2" s="1"/>
  <c r="E37" i="3"/>
  <c r="D37" i="3"/>
  <c r="M37" i="3" s="1"/>
  <c r="C37" i="3"/>
  <c r="M36" i="3"/>
  <c r="J36" i="3"/>
  <c r="I36" i="3"/>
  <c r="G52" i="2" s="1"/>
  <c r="H36" i="3"/>
  <c r="L36" i="3" s="1"/>
  <c r="E36" i="3"/>
  <c r="N36" i="3" s="1"/>
  <c r="D36" i="3"/>
  <c r="C36" i="3"/>
  <c r="N35" i="3"/>
  <c r="M35" i="3"/>
  <c r="L35" i="3"/>
  <c r="J35" i="3"/>
  <c r="T35" i="3" s="1"/>
  <c r="I35" i="3"/>
  <c r="H35" i="3"/>
  <c r="E35" i="3"/>
  <c r="D35" i="3"/>
  <c r="C35" i="3"/>
  <c r="T34" i="3"/>
  <c r="N34" i="3"/>
  <c r="J34" i="3"/>
  <c r="I34" i="3"/>
  <c r="H34" i="3"/>
  <c r="E34" i="3"/>
  <c r="D34" i="3"/>
  <c r="M34" i="3" s="1"/>
  <c r="R34" i="3" s="1"/>
  <c r="C34" i="3"/>
  <c r="L34" i="3" s="1"/>
  <c r="R33" i="3"/>
  <c r="J33" i="3"/>
  <c r="I33" i="3"/>
  <c r="H33" i="3"/>
  <c r="E33" i="3"/>
  <c r="N33" i="3" s="1"/>
  <c r="D33" i="3"/>
  <c r="M33" i="3" s="1"/>
  <c r="C33" i="3"/>
  <c r="L33" i="3" s="1"/>
  <c r="P32" i="3"/>
  <c r="N32" i="3"/>
  <c r="M32" i="3"/>
  <c r="R32" i="3" s="1"/>
  <c r="L32" i="3"/>
  <c r="J32" i="3"/>
  <c r="T32" i="3" s="1"/>
  <c r="I32" i="3"/>
  <c r="H32" i="3"/>
  <c r="E32" i="3"/>
  <c r="D32" i="3"/>
  <c r="C32" i="3"/>
  <c r="T31" i="3"/>
  <c r="Q31" i="3"/>
  <c r="N31" i="3"/>
  <c r="J31" i="3"/>
  <c r="I31" i="3"/>
  <c r="H31" i="3"/>
  <c r="E31" i="3"/>
  <c r="D31" i="3"/>
  <c r="M31" i="3" s="1"/>
  <c r="R31" i="3" s="1"/>
  <c r="C31" i="3"/>
  <c r="L31" i="3" s="1"/>
  <c r="P31" i="3" s="1"/>
  <c r="R30" i="3"/>
  <c r="J30" i="3"/>
  <c r="H19" i="5" s="1"/>
  <c r="I30" i="3"/>
  <c r="T30" i="3" s="1"/>
  <c r="H30" i="3"/>
  <c r="G38" i="2" s="1"/>
  <c r="E19" i="5" s="1"/>
  <c r="E30" i="3"/>
  <c r="N30" i="3" s="1"/>
  <c r="D30" i="3"/>
  <c r="M30" i="3" s="1"/>
  <c r="C30" i="3"/>
  <c r="J29" i="3"/>
  <c r="I29" i="3"/>
  <c r="M29" i="3" s="1"/>
  <c r="H29" i="3"/>
  <c r="L29" i="3" s="1"/>
  <c r="E29" i="3"/>
  <c r="N29" i="3" s="1"/>
  <c r="D29" i="3"/>
  <c r="C29" i="3"/>
  <c r="J28" i="3"/>
  <c r="I28" i="3"/>
  <c r="H28" i="3"/>
  <c r="E28" i="3"/>
  <c r="D28" i="3"/>
  <c r="M28" i="3" s="1"/>
  <c r="C28" i="3"/>
  <c r="L28" i="3" s="1"/>
  <c r="J27" i="3"/>
  <c r="I27" i="3"/>
  <c r="T27" i="3" s="1"/>
  <c r="H27" i="3"/>
  <c r="E27" i="3"/>
  <c r="N27" i="3" s="1"/>
  <c r="D27" i="3"/>
  <c r="M27" i="3" s="1"/>
  <c r="C27" i="3"/>
  <c r="M26" i="3"/>
  <c r="L26" i="3"/>
  <c r="J26" i="3"/>
  <c r="T26" i="3" s="1"/>
  <c r="I26" i="3"/>
  <c r="H26" i="3"/>
  <c r="E26" i="3"/>
  <c r="D26" i="3"/>
  <c r="C26" i="3"/>
  <c r="L25" i="3"/>
  <c r="J25" i="3"/>
  <c r="T25" i="3" s="1"/>
  <c r="I25" i="3"/>
  <c r="M25" i="3" s="1"/>
  <c r="H25" i="3"/>
  <c r="E25" i="3"/>
  <c r="D25" i="3"/>
  <c r="C25" i="3"/>
  <c r="T24" i="3"/>
  <c r="P24" i="3"/>
  <c r="N24" i="3"/>
  <c r="M24" i="3"/>
  <c r="R24" i="3" s="1"/>
  <c r="J24" i="3"/>
  <c r="I24" i="3"/>
  <c r="H24" i="3"/>
  <c r="E24" i="3"/>
  <c r="D24" i="3"/>
  <c r="C24" i="3"/>
  <c r="L24" i="3" s="1"/>
  <c r="Q24" i="3" s="1"/>
  <c r="R23" i="3"/>
  <c r="Q23" i="3"/>
  <c r="L23" i="3"/>
  <c r="P23" i="3" s="1"/>
  <c r="J23" i="3"/>
  <c r="I23" i="3"/>
  <c r="T23" i="3" s="1"/>
  <c r="H23" i="3"/>
  <c r="E23" i="3"/>
  <c r="N23" i="3" s="1"/>
  <c r="D23" i="3"/>
  <c r="M23" i="3" s="1"/>
  <c r="C23" i="3"/>
  <c r="N22" i="3"/>
  <c r="M22" i="3"/>
  <c r="L22" i="3"/>
  <c r="P22" i="3" s="1"/>
  <c r="J22" i="3"/>
  <c r="I22" i="3"/>
  <c r="H22" i="3"/>
  <c r="E22" i="3"/>
  <c r="D22" i="3"/>
  <c r="C22" i="3"/>
  <c r="T21" i="3"/>
  <c r="M21" i="3"/>
  <c r="J21" i="3"/>
  <c r="I21" i="3"/>
  <c r="H21" i="3"/>
  <c r="E21" i="3"/>
  <c r="N21" i="3" s="1"/>
  <c r="R21" i="3" s="1"/>
  <c r="D21" i="3"/>
  <c r="C21" i="3"/>
  <c r="L21" i="3" s="1"/>
  <c r="P21" i="3" s="1"/>
  <c r="T20" i="3"/>
  <c r="R20" i="3"/>
  <c r="J20" i="3"/>
  <c r="I20" i="3"/>
  <c r="H20" i="3"/>
  <c r="E20" i="3"/>
  <c r="N20" i="3" s="1"/>
  <c r="D20" i="3"/>
  <c r="M20" i="3" s="1"/>
  <c r="C20" i="3"/>
  <c r="T19" i="3"/>
  <c r="N19" i="3"/>
  <c r="M19" i="3"/>
  <c r="J19" i="3"/>
  <c r="I19" i="3"/>
  <c r="H19" i="3"/>
  <c r="L19" i="3" s="1"/>
  <c r="E19" i="3"/>
  <c r="D19" i="3"/>
  <c r="C19" i="3"/>
  <c r="Q18" i="3"/>
  <c r="P18" i="3"/>
  <c r="N18" i="3"/>
  <c r="J18" i="3"/>
  <c r="T18" i="3" s="1"/>
  <c r="I18" i="3"/>
  <c r="H18" i="3"/>
  <c r="E18" i="3"/>
  <c r="D18" i="3"/>
  <c r="M18" i="3" s="1"/>
  <c r="R18" i="3" s="1"/>
  <c r="C18" i="3"/>
  <c r="L18" i="3" s="1"/>
  <c r="N17" i="3"/>
  <c r="J17" i="3"/>
  <c r="T17" i="3" s="1"/>
  <c r="I17" i="3"/>
  <c r="H17" i="3"/>
  <c r="E17" i="3"/>
  <c r="D17" i="3"/>
  <c r="M17" i="3" s="1"/>
  <c r="C17" i="3"/>
  <c r="L17" i="3" s="1"/>
  <c r="M16" i="3"/>
  <c r="J16" i="3"/>
  <c r="I16" i="3"/>
  <c r="H16" i="3"/>
  <c r="L16" i="3" s="1"/>
  <c r="E16" i="3"/>
  <c r="N16" i="3" s="1"/>
  <c r="D16" i="3"/>
  <c r="C16" i="3"/>
  <c r="N15" i="3"/>
  <c r="M15" i="3"/>
  <c r="L15" i="3"/>
  <c r="Q15" i="3" s="1"/>
  <c r="J15" i="3"/>
  <c r="I15" i="3"/>
  <c r="H15" i="3"/>
  <c r="E15" i="3"/>
  <c r="D15" i="3"/>
  <c r="C15" i="3"/>
  <c r="T14" i="3"/>
  <c r="P14" i="3"/>
  <c r="N14" i="3"/>
  <c r="M14" i="3"/>
  <c r="R14" i="3" s="1"/>
  <c r="J14" i="3"/>
  <c r="I14" i="3"/>
  <c r="H14" i="3"/>
  <c r="E14" i="3"/>
  <c r="D14" i="3"/>
  <c r="C14" i="3"/>
  <c r="L14" i="3" s="1"/>
  <c r="Q14" i="3" s="1"/>
  <c r="T13" i="3"/>
  <c r="M13" i="3"/>
  <c r="R13" i="3" s="1"/>
  <c r="L13" i="3"/>
  <c r="P13" i="3" s="1"/>
  <c r="J13" i="3"/>
  <c r="I13" i="3"/>
  <c r="H13" i="3"/>
  <c r="E13" i="3"/>
  <c r="N13" i="3" s="1"/>
  <c r="D13" i="3"/>
  <c r="C13" i="3"/>
  <c r="O13" i="2" s="1"/>
  <c r="O15" i="2" s="1"/>
  <c r="N12" i="3"/>
  <c r="M12" i="3"/>
  <c r="J12" i="3"/>
  <c r="I12" i="3"/>
  <c r="H12" i="3"/>
  <c r="E12" i="3"/>
  <c r="D12" i="3"/>
  <c r="C12" i="3"/>
  <c r="L12" i="3" s="1"/>
  <c r="P12" i="3" s="1"/>
  <c r="T11" i="3"/>
  <c r="Q11" i="3"/>
  <c r="L11" i="3"/>
  <c r="P11" i="3" s="1"/>
  <c r="J11" i="3"/>
  <c r="I11" i="3"/>
  <c r="H11" i="3"/>
  <c r="E11" i="3"/>
  <c r="N11" i="3" s="1"/>
  <c r="D11" i="3"/>
  <c r="M11" i="3" s="1"/>
  <c r="R11" i="3" s="1"/>
  <c r="C11" i="3"/>
  <c r="J10" i="3"/>
  <c r="T10" i="3" s="1"/>
  <c r="I10" i="3"/>
  <c r="H10" i="3"/>
  <c r="L10" i="3" s="1"/>
  <c r="E10" i="3"/>
  <c r="D10" i="3"/>
  <c r="C10" i="3"/>
  <c r="J9" i="3"/>
  <c r="I9" i="3"/>
  <c r="M9" i="3" s="1"/>
  <c r="H9" i="3"/>
  <c r="L9" i="3" s="1"/>
  <c r="E9" i="3"/>
  <c r="N9" i="3" s="1"/>
  <c r="D9" i="3"/>
  <c r="C9" i="3"/>
  <c r="L8" i="3"/>
  <c r="Q8" i="3" s="1"/>
  <c r="J8" i="3"/>
  <c r="T8" i="3" s="1"/>
  <c r="I8" i="3"/>
  <c r="H8" i="3"/>
  <c r="E8" i="3"/>
  <c r="D8" i="3"/>
  <c r="M8" i="3" s="1"/>
  <c r="C8" i="3"/>
  <c r="T7" i="3"/>
  <c r="P7" i="3"/>
  <c r="N7" i="3"/>
  <c r="R7" i="3" s="1"/>
  <c r="J7" i="3"/>
  <c r="I7" i="3"/>
  <c r="H7" i="3"/>
  <c r="E7" i="3"/>
  <c r="D7" i="3"/>
  <c r="M7" i="3" s="1"/>
  <c r="C7" i="3"/>
  <c r="L7" i="3" s="1"/>
  <c r="Q7" i="3" s="1"/>
  <c r="T6" i="3"/>
  <c r="N6" i="3"/>
  <c r="M6" i="3"/>
  <c r="R6" i="3" s="1"/>
  <c r="J6" i="3"/>
  <c r="I6" i="3"/>
  <c r="H6" i="3"/>
  <c r="L6" i="3" s="1"/>
  <c r="E6" i="3"/>
  <c r="D6" i="3"/>
  <c r="C6" i="3"/>
  <c r="P5" i="3"/>
  <c r="J5" i="3"/>
  <c r="I5" i="3"/>
  <c r="H5" i="3"/>
  <c r="E5" i="3"/>
  <c r="D5" i="3"/>
  <c r="C5" i="3"/>
  <c r="L5" i="3" s="1"/>
  <c r="N4" i="3"/>
  <c r="J4" i="3"/>
  <c r="I4" i="3"/>
  <c r="T4" i="3" s="1"/>
  <c r="H4" i="3"/>
  <c r="E4" i="3"/>
  <c r="D4" i="3"/>
  <c r="M4" i="3" s="1"/>
  <c r="R4" i="3" s="1"/>
  <c r="C4" i="3"/>
  <c r="AD90" i="2"/>
  <c r="AD89" i="2"/>
  <c r="AB89" i="2"/>
  <c r="AD82" i="2"/>
  <c r="AF79" i="2"/>
  <c r="J67" i="2"/>
  <c r="AB66" i="2"/>
  <c r="J66" i="2"/>
  <c r="AB64" i="2" s="1"/>
  <c r="S62" i="2"/>
  <c r="O62" i="2"/>
  <c r="F62" i="2"/>
  <c r="AD91" i="2" s="1"/>
  <c r="S61" i="2"/>
  <c r="O61" i="2"/>
  <c r="L61" i="2"/>
  <c r="AD62" i="2" s="1"/>
  <c r="F61" i="2"/>
  <c r="AD69" i="2" s="1"/>
  <c r="S60" i="2"/>
  <c r="M60" i="2"/>
  <c r="J60" i="2"/>
  <c r="G60" i="2"/>
  <c r="G59" i="2"/>
  <c r="G58" i="2"/>
  <c r="E22" i="5" s="1"/>
  <c r="AF57" i="2"/>
  <c r="AB57" i="2"/>
  <c r="O55" i="2"/>
  <c r="F55" i="2"/>
  <c r="Q54" i="2"/>
  <c r="Q56" i="2" s="1"/>
  <c r="O54" i="2"/>
  <c r="O56" i="2" s="1"/>
  <c r="L54" i="2"/>
  <c r="AD61" i="2" s="1"/>
  <c r="F54" i="2"/>
  <c r="AD68" i="2" s="1"/>
  <c r="D52" i="2"/>
  <c r="D51" i="2"/>
  <c r="T49" i="2"/>
  <c r="S49" i="2"/>
  <c r="R49" i="2"/>
  <c r="F47" i="2"/>
  <c r="U46" i="2"/>
  <c r="U47" i="2" s="1"/>
  <c r="G46" i="2"/>
  <c r="F20" i="5" s="1"/>
  <c r="F46" i="2"/>
  <c r="AD67" i="2" s="1"/>
  <c r="D46" i="2"/>
  <c r="U45" i="2"/>
  <c r="R45" i="2"/>
  <c r="G45" i="2"/>
  <c r="E20" i="5" s="1"/>
  <c r="D45" i="2"/>
  <c r="R44" i="2"/>
  <c r="D44" i="2"/>
  <c r="AB67" i="2" s="1"/>
  <c r="S42" i="2"/>
  <c r="S41" i="2"/>
  <c r="S43" i="2" s="1"/>
  <c r="F40" i="2"/>
  <c r="AD88" i="2" s="1"/>
  <c r="R39" i="2"/>
  <c r="G39" i="2"/>
  <c r="F39" i="2"/>
  <c r="AD66" i="2" s="1"/>
  <c r="R38" i="2"/>
  <c r="R40" i="2" s="1"/>
  <c r="D37" i="2"/>
  <c r="D36" i="2"/>
  <c r="D38" i="2" s="1"/>
  <c r="AB88" i="2" s="1"/>
  <c r="M34" i="2"/>
  <c r="R32" i="2"/>
  <c r="R31" i="2"/>
  <c r="R33" i="2" s="1"/>
  <c r="S30" i="2"/>
  <c r="S31" i="2" s="1"/>
  <c r="O30" i="2"/>
  <c r="S29" i="2"/>
  <c r="R25" i="2"/>
  <c r="R24" i="2"/>
  <c r="R26" i="2" s="1"/>
  <c r="N24" i="2"/>
  <c r="L24" i="2"/>
  <c r="AD58" i="2" s="1"/>
  <c r="S23" i="2"/>
  <c r="S24" i="2" s="1"/>
  <c r="S22" i="2"/>
  <c r="R21" i="2"/>
  <c r="J21" i="2"/>
  <c r="AB59" i="2" s="1"/>
  <c r="R20" i="2"/>
  <c r="P19" i="2"/>
  <c r="N19" i="2"/>
  <c r="R18" i="2"/>
  <c r="P18" i="2"/>
  <c r="N18" i="2"/>
  <c r="S15" i="2"/>
  <c r="S14" i="2"/>
  <c r="O14" i="2"/>
  <c r="R13" i="2"/>
  <c r="R12" i="2"/>
  <c r="R11" i="2"/>
  <c r="U10" i="2"/>
  <c r="U11" i="2" s="1"/>
  <c r="J10" i="2"/>
  <c r="U9" i="2"/>
  <c r="O9" i="2"/>
  <c r="O8" i="2"/>
  <c r="AD60" i="2" s="1"/>
  <c r="R6" i="2"/>
  <c r="R5" i="2"/>
  <c r="R7" i="2" s="1"/>
  <c r="AB79" i="2" s="1"/>
  <c r="Q129" i="1"/>
  <c r="P129" i="1"/>
  <c r="R129" i="1" s="1"/>
  <c r="O129" i="1"/>
  <c r="Q128" i="1"/>
  <c r="P128" i="1"/>
  <c r="O128" i="1"/>
  <c r="Q127" i="1"/>
  <c r="P127" i="1"/>
  <c r="R127" i="1" s="1"/>
  <c r="O127" i="1"/>
  <c r="R126" i="1"/>
  <c r="Q126" i="1"/>
  <c r="P126" i="1"/>
  <c r="O126" i="1"/>
  <c r="Q125" i="1"/>
  <c r="P125" i="1"/>
  <c r="R125" i="1" s="1"/>
  <c r="O125" i="1"/>
  <c r="H105" i="1" s="1"/>
  <c r="Q124" i="1"/>
  <c r="P124" i="1"/>
  <c r="R124" i="1" s="1"/>
  <c r="O124" i="1"/>
  <c r="Q123" i="1"/>
  <c r="P123" i="1"/>
  <c r="O123" i="1"/>
  <c r="Q122" i="1"/>
  <c r="G100" i="1" s="1"/>
  <c r="G104" i="1" s="1"/>
  <c r="P122" i="1"/>
  <c r="R122" i="1" s="1"/>
  <c r="O122" i="1"/>
  <c r="G105" i="1" s="1"/>
  <c r="R121" i="1"/>
  <c r="Q121" i="1"/>
  <c r="G101" i="1" s="1"/>
  <c r="P121" i="1"/>
  <c r="O121" i="1"/>
  <c r="Q120" i="1"/>
  <c r="P120" i="1"/>
  <c r="O120" i="1"/>
  <c r="Q119" i="1"/>
  <c r="F101" i="1" s="1"/>
  <c r="P119" i="1"/>
  <c r="R119" i="1" s="1"/>
  <c r="O119" i="1"/>
  <c r="Q118" i="1"/>
  <c r="P118" i="1"/>
  <c r="R118" i="1" s="1"/>
  <c r="O118" i="1"/>
  <c r="E105" i="1" s="1"/>
  <c r="Q117" i="1"/>
  <c r="E101" i="1" s="1"/>
  <c r="P117" i="1"/>
  <c r="E91" i="1" s="1"/>
  <c r="O117" i="1"/>
  <c r="R116" i="1"/>
  <c r="Q116" i="1"/>
  <c r="D100" i="1" s="1"/>
  <c r="D104" i="1" s="1"/>
  <c r="P116" i="1"/>
  <c r="O116" i="1"/>
  <c r="R115" i="1"/>
  <c r="Q115" i="1"/>
  <c r="P115" i="1"/>
  <c r="D91" i="1" s="1"/>
  <c r="O115" i="1"/>
  <c r="Q114" i="1"/>
  <c r="P114" i="1"/>
  <c r="D89" i="1" s="1"/>
  <c r="O114" i="1"/>
  <c r="D105" i="1" s="1"/>
  <c r="Q113" i="1"/>
  <c r="P113" i="1"/>
  <c r="O113" i="1"/>
  <c r="Q112" i="1"/>
  <c r="P112" i="1"/>
  <c r="R112" i="1" s="1"/>
  <c r="O112" i="1"/>
  <c r="R111" i="1"/>
  <c r="Q111" i="1"/>
  <c r="C100" i="1" s="1"/>
  <c r="C104" i="1" s="1"/>
  <c r="P111" i="1"/>
  <c r="O111" i="1"/>
  <c r="R110" i="1"/>
  <c r="Q110" i="1"/>
  <c r="C101" i="1" s="1"/>
  <c r="P110" i="1"/>
  <c r="O110" i="1"/>
  <c r="Q109" i="1"/>
  <c r="P109" i="1"/>
  <c r="R109" i="1" s="1"/>
  <c r="O109" i="1"/>
  <c r="Q108" i="1"/>
  <c r="P108" i="1"/>
  <c r="O108" i="1"/>
  <c r="R107" i="1"/>
  <c r="Q107" i="1"/>
  <c r="P107" i="1"/>
  <c r="O107" i="1"/>
  <c r="R106" i="1"/>
  <c r="Q106" i="1"/>
  <c r="P106" i="1"/>
  <c r="O106" i="1"/>
  <c r="Q105" i="1"/>
  <c r="P105" i="1"/>
  <c r="R105" i="1" s="1"/>
  <c r="O105" i="1"/>
  <c r="F105" i="1"/>
  <c r="C105" i="1"/>
  <c r="B105" i="1"/>
  <c r="Q104" i="1"/>
  <c r="P104" i="1"/>
  <c r="R104" i="1" s="1"/>
  <c r="O104" i="1"/>
  <c r="Q103" i="1"/>
  <c r="P103" i="1"/>
  <c r="R103" i="1" s="1"/>
  <c r="O103" i="1"/>
  <c r="I103" i="1"/>
  <c r="Q102" i="1"/>
  <c r="P102" i="1"/>
  <c r="O102" i="1"/>
  <c r="Q101" i="1"/>
  <c r="P101" i="1"/>
  <c r="R101" i="1" s="1"/>
  <c r="O101" i="1"/>
  <c r="H101" i="1"/>
  <c r="D101" i="1"/>
  <c r="B101" i="1"/>
  <c r="Q100" i="1"/>
  <c r="P100" i="1"/>
  <c r="R100" i="1" s="1"/>
  <c r="O100" i="1"/>
  <c r="I100" i="1"/>
  <c r="H100" i="1"/>
  <c r="F100" i="1"/>
  <c r="E100" i="1"/>
  <c r="B100" i="1"/>
  <c r="Q99" i="1"/>
  <c r="P99" i="1"/>
  <c r="R99" i="1" s="1"/>
  <c r="O99" i="1"/>
  <c r="G99" i="1"/>
  <c r="F99" i="1"/>
  <c r="D99" i="1"/>
  <c r="C99" i="1"/>
  <c r="B99" i="1"/>
  <c r="B104" i="1" s="1"/>
  <c r="Q98" i="1"/>
  <c r="P98" i="1"/>
  <c r="R98" i="1" s="1"/>
  <c r="O98" i="1"/>
  <c r="Q97" i="1"/>
  <c r="P97" i="1"/>
  <c r="R97" i="1" s="1"/>
  <c r="O97" i="1"/>
  <c r="Q96" i="1"/>
  <c r="P96" i="1"/>
  <c r="R96" i="1" s="1"/>
  <c r="O96" i="1"/>
  <c r="R95" i="1"/>
  <c r="Q95" i="1"/>
  <c r="P95" i="1"/>
  <c r="O95" i="1"/>
  <c r="Q94" i="1"/>
  <c r="P94" i="1"/>
  <c r="R94" i="1" s="1"/>
  <c r="O94" i="1"/>
  <c r="Q93" i="1"/>
  <c r="P93" i="1"/>
  <c r="R93" i="1" s="1"/>
  <c r="O93" i="1"/>
  <c r="I93" i="1"/>
  <c r="R92" i="1"/>
  <c r="Q92" i="1"/>
  <c r="P92" i="1"/>
  <c r="O92" i="1"/>
  <c r="Q91" i="1"/>
  <c r="P91" i="1"/>
  <c r="R91" i="1" s="1"/>
  <c r="M75" i="2" s="1"/>
  <c r="O91" i="1"/>
  <c r="E17" i="5" s="1"/>
  <c r="H91" i="1"/>
  <c r="G91" i="1"/>
  <c r="F91" i="1"/>
  <c r="C91" i="1"/>
  <c r="Q90" i="1"/>
  <c r="P90" i="1"/>
  <c r="R90" i="1" s="1"/>
  <c r="L77" i="2" s="1"/>
  <c r="AD86" i="2" s="1"/>
  <c r="O90" i="1"/>
  <c r="L76" i="2" s="1"/>
  <c r="AD64" i="2" s="1"/>
  <c r="I90" i="1"/>
  <c r="H90" i="1"/>
  <c r="H94" i="1" s="1"/>
  <c r="G90" i="1"/>
  <c r="D90" i="1"/>
  <c r="C90" i="1"/>
  <c r="Q89" i="1"/>
  <c r="P89" i="1"/>
  <c r="J74" i="2" s="1"/>
  <c r="O89" i="1"/>
  <c r="J73" i="2" s="1"/>
  <c r="AB65" i="2" s="1"/>
  <c r="H89" i="1"/>
  <c r="F89" i="1"/>
  <c r="E89" i="1"/>
  <c r="B89" i="1"/>
  <c r="Q88" i="1"/>
  <c r="H16" i="5" s="1"/>
  <c r="P88" i="1"/>
  <c r="O88" i="1"/>
  <c r="H88" i="1"/>
  <c r="G88" i="1"/>
  <c r="F88" i="1"/>
  <c r="E88" i="1"/>
  <c r="D88" i="1"/>
  <c r="C88" i="1"/>
  <c r="B88" i="1"/>
  <c r="Q87" i="1"/>
  <c r="P87" i="1"/>
  <c r="R87" i="1" s="1"/>
  <c r="L70" i="2" s="1"/>
  <c r="AD85" i="2" s="1"/>
  <c r="O87" i="1"/>
  <c r="L69" i="2" s="1"/>
  <c r="AD63" i="2" s="1"/>
  <c r="R86" i="1"/>
  <c r="J68" i="2" s="1"/>
  <c r="AB86" i="2" s="1"/>
  <c r="Q86" i="1"/>
  <c r="P86" i="1"/>
  <c r="O86" i="1"/>
  <c r="Q85" i="1"/>
  <c r="P85" i="1"/>
  <c r="R85" i="1" s="1"/>
  <c r="M62" i="2" s="1"/>
  <c r="O85" i="1"/>
  <c r="E15" i="5" s="1"/>
  <c r="Q84" i="1"/>
  <c r="P84" i="1"/>
  <c r="R84" i="1" s="1"/>
  <c r="L62" i="2" s="1"/>
  <c r="AD84" i="2" s="1"/>
  <c r="O84" i="1"/>
  <c r="Q83" i="1"/>
  <c r="P83" i="1"/>
  <c r="O83" i="1"/>
  <c r="R83" i="1" s="1"/>
  <c r="J61" i="2" s="1"/>
  <c r="Q82" i="1"/>
  <c r="H14" i="5" s="1"/>
  <c r="P82" i="1"/>
  <c r="O82" i="1"/>
  <c r="M53" i="2" s="1"/>
  <c r="R81" i="1"/>
  <c r="L55" i="2" s="1"/>
  <c r="AD83" i="2" s="1"/>
  <c r="Q81" i="1"/>
  <c r="P81" i="1"/>
  <c r="O81" i="1"/>
  <c r="Q80" i="1"/>
  <c r="P80" i="1"/>
  <c r="J52" i="2" s="1"/>
  <c r="O80" i="1"/>
  <c r="J51" i="2" s="1"/>
  <c r="AB62" i="2" s="1"/>
  <c r="Q79" i="1"/>
  <c r="P79" i="1"/>
  <c r="O79" i="1"/>
  <c r="E13" i="5" s="1"/>
  <c r="Q78" i="1"/>
  <c r="P78" i="1"/>
  <c r="O78" i="1"/>
  <c r="R78" i="1" s="1"/>
  <c r="Q77" i="1"/>
  <c r="P77" i="1"/>
  <c r="R77" i="1" s="1"/>
  <c r="O77" i="1"/>
  <c r="R76" i="1"/>
  <c r="M35" i="2" s="1"/>
  <c r="Q76" i="1"/>
  <c r="P76" i="1"/>
  <c r="O76" i="1"/>
  <c r="Q75" i="1"/>
  <c r="P75" i="1"/>
  <c r="R75" i="1" s="1"/>
  <c r="L35" i="2" s="1"/>
  <c r="AD81" i="2" s="1"/>
  <c r="O75" i="1"/>
  <c r="L34" i="2" s="1"/>
  <c r="AD59" i="2" s="1"/>
  <c r="Q74" i="1"/>
  <c r="P74" i="1"/>
  <c r="J32" i="2" s="1"/>
  <c r="O74" i="1"/>
  <c r="J31" i="2" s="1"/>
  <c r="AB60" i="2" s="1"/>
  <c r="Q73" i="1"/>
  <c r="P73" i="1"/>
  <c r="O73" i="1"/>
  <c r="M23" i="2" s="1"/>
  <c r="Q72" i="1"/>
  <c r="P72" i="1"/>
  <c r="R72" i="1" s="1"/>
  <c r="L25" i="2" s="1"/>
  <c r="AD80" i="2" s="1"/>
  <c r="O72" i="1"/>
  <c r="R71" i="1"/>
  <c r="J23" i="2" s="1"/>
  <c r="AB81" i="2" s="1"/>
  <c r="Q71" i="1"/>
  <c r="P71" i="1"/>
  <c r="J22" i="2" s="1"/>
  <c r="O71" i="1"/>
  <c r="Q70" i="1"/>
  <c r="P70" i="1"/>
  <c r="M12" i="2" s="1"/>
  <c r="O70" i="1"/>
  <c r="E11" i="5" s="1"/>
  <c r="G11" i="5" s="1"/>
  <c r="Q69" i="1"/>
  <c r="P69" i="1"/>
  <c r="R69" i="1" s="1"/>
  <c r="L13" i="2" s="1"/>
  <c r="AD79" i="2" s="1"/>
  <c r="O69" i="1"/>
  <c r="L12" i="2" s="1"/>
  <c r="AD57" i="2" s="1"/>
  <c r="Q68" i="1"/>
  <c r="P68" i="1"/>
  <c r="O68" i="1"/>
  <c r="J9" i="2" s="1"/>
  <c r="AB58" i="2" s="1"/>
  <c r="AS2" i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AR2" i="1"/>
  <c r="AQ2" i="1"/>
  <c r="AP2" i="1"/>
  <c r="AO2" i="1"/>
  <c r="G13" i="5" l="1"/>
  <c r="M10" i="5"/>
  <c r="G22" i="5"/>
  <c r="AD71" i="2"/>
  <c r="P10" i="3"/>
  <c r="Q34" i="3"/>
  <c r="Q36" i="3"/>
  <c r="P36" i="3"/>
  <c r="P33" i="3"/>
  <c r="Q33" i="3"/>
  <c r="AD93" i="2"/>
  <c r="Q16" i="3"/>
  <c r="P16" i="3"/>
  <c r="Q9" i="3"/>
  <c r="P9" i="3"/>
  <c r="AB85" i="2"/>
  <c r="J63" i="2"/>
  <c r="R9" i="3"/>
  <c r="P28" i="3"/>
  <c r="Q28" i="3"/>
  <c r="Q55" i="3"/>
  <c r="P55" i="3"/>
  <c r="I105" i="1"/>
  <c r="B31" i="5" s="1"/>
  <c r="R113" i="1"/>
  <c r="G19" i="5"/>
  <c r="G40" i="2"/>
  <c r="T5" i="3"/>
  <c r="N5" i="3"/>
  <c r="R12" i="3"/>
  <c r="Q21" i="3"/>
  <c r="R22" i="3"/>
  <c r="Q26" i="3"/>
  <c r="P26" i="3"/>
  <c r="Q40" i="3"/>
  <c r="P40" i="3"/>
  <c r="N25" i="2"/>
  <c r="N26" i="2" s="1"/>
  <c r="M49" i="3"/>
  <c r="I73" i="3"/>
  <c r="I74" i="3" s="1"/>
  <c r="I75" i="3" s="1"/>
  <c r="M59" i="3"/>
  <c r="R108" i="1"/>
  <c r="M54" i="2"/>
  <c r="T49" i="3"/>
  <c r="T55" i="3"/>
  <c r="G80" i="3"/>
  <c r="H73" i="3"/>
  <c r="T57" i="3"/>
  <c r="T59" i="3"/>
  <c r="I80" i="3"/>
  <c r="M11" i="2"/>
  <c r="D53" i="2"/>
  <c r="AB90" i="2" s="1"/>
  <c r="AB68" i="2"/>
  <c r="T9" i="3"/>
  <c r="Q13" i="3"/>
  <c r="T15" i="3"/>
  <c r="T16" i="3"/>
  <c r="L20" i="3"/>
  <c r="Q29" i="3"/>
  <c r="P29" i="3"/>
  <c r="Q32" i="3"/>
  <c r="T36" i="3"/>
  <c r="D72" i="3"/>
  <c r="T47" i="3"/>
  <c r="L50" i="3"/>
  <c r="Q53" i="3"/>
  <c r="H79" i="3"/>
  <c r="T58" i="3"/>
  <c r="Q59" i="3"/>
  <c r="P59" i="3"/>
  <c r="K25" i="5"/>
  <c r="L62" i="3"/>
  <c r="Q64" i="3"/>
  <c r="R74" i="1"/>
  <c r="J33" i="2" s="1"/>
  <c r="AB82" i="2" s="1"/>
  <c r="R79" i="1"/>
  <c r="G51" i="2"/>
  <c r="M67" i="2"/>
  <c r="N8" i="3"/>
  <c r="R8" i="3" s="1"/>
  <c r="Q12" i="3"/>
  <c r="N25" i="3"/>
  <c r="R25" i="3" s="1"/>
  <c r="R27" i="3"/>
  <c r="R29" i="3"/>
  <c r="Q48" i="3"/>
  <c r="P48" i="3"/>
  <c r="P56" i="3"/>
  <c r="Q58" i="3"/>
  <c r="P58" i="3"/>
  <c r="P65" i="3"/>
  <c r="M73" i="2"/>
  <c r="P8" i="3"/>
  <c r="R15" i="3"/>
  <c r="R16" i="3"/>
  <c r="P34" i="3"/>
  <c r="Q35" i="3"/>
  <c r="P35" i="3"/>
  <c r="R36" i="3"/>
  <c r="R42" i="3"/>
  <c r="Q43" i="3"/>
  <c r="T45" i="3"/>
  <c r="C79" i="3"/>
  <c r="T46" i="3"/>
  <c r="Q51" i="3"/>
  <c r="N55" i="3"/>
  <c r="R55" i="3" s="1"/>
  <c r="M56" i="3"/>
  <c r="R58" i="3"/>
  <c r="R60" i="3"/>
  <c r="R82" i="1"/>
  <c r="M55" i="2" s="1"/>
  <c r="R88" i="1"/>
  <c r="M68" i="2" s="1"/>
  <c r="R89" i="1"/>
  <c r="J75" i="2" s="1"/>
  <c r="AB87" i="2" s="1"/>
  <c r="S16" i="2"/>
  <c r="R70" i="1"/>
  <c r="M13" i="2" s="1"/>
  <c r="M24" i="2"/>
  <c r="R80" i="1"/>
  <c r="J53" i="2" s="1"/>
  <c r="B90" i="1"/>
  <c r="E99" i="1"/>
  <c r="E104" i="1" s="1"/>
  <c r="R114" i="1"/>
  <c r="P46" i="2"/>
  <c r="Q17" i="3"/>
  <c r="P17" i="3"/>
  <c r="T28" i="3"/>
  <c r="N28" i="3"/>
  <c r="R28" i="3" s="1"/>
  <c r="T33" i="3"/>
  <c r="R35" i="3"/>
  <c r="Q39" i="3"/>
  <c r="P39" i="3"/>
  <c r="Q45" i="3"/>
  <c r="P46" i="3"/>
  <c r="P52" i="3"/>
  <c r="C72" i="3"/>
  <c r="C74" i="3" s="1"/>
  <c r="Q25" i="3"/>
  <c r="P25" i="3"/>
  <c r="M61" i="2"/>
  <c r="F15" i="5"/>
  <c r="G15" i="5" s="1"/>
  <c r="F17" i="5"/>
  <c r="G17" i="5" s="1"/>
  <c r="M74" i="2"/>
  <c r="E12" i="5"/>
  <c r="G12" i="5" s="1"/>
  <c r="M33" i="2"/>
  <c r="C89" i="1"/>
  <c r="C94" i="1" s="1"/>
  <c r="B91" i="1"/>
  <c r="F90" i="1"/>
  <c r="F94" i="1" s="1"/>
  <c r="G89" i="1"/>
  <c r="G94" i="1" s="1"/>
  <c r="J59" i="2"/>
  <c r="AB63" i="2" s="1"/>
  <c r="AB71" i="2" s="1"/>
  <c r="M5" i="3"/>
  <c r="R5" i="3" s="1"/>
  <c r="P15" i="3"/>
  <c r="R17" i="3"/>
  <c r="Q19" i="3"/>
  <c r="P19" i="3"/>
  <c r="N26" i="3"/>
  <c r="R26" i="3" s="1"/>
  <c r="T29" i="3"/>
  <c r="P42" i="3"/>
  <c r="Q44" i="3"/>
  <c r="M46" i="3"/>
  <c r="R46" i="3" s="1"/>
  <c r="E75" i="3"/>
  <c r="T56" i="3"/>
  <c r="Q61" i="3"/>
  <c r="P61" i="3"/>
  <c r="G81" i="3"/>
  <c r="G82" i="3" s="1"/>
  <c r="E18" i="5"/>
  <c r="G18" i="5" s="1"/>
  <c r="M66" i="2"/>
  <c r="E16" i="5"/>
  <c r="G16" i="5" s="1"/>
  <c r="R68" i="1"/>
  <c r="J11" i="2" s="1"/>
  <c r="AB80" i="2" s="1"/>
  <c r="R73" i="1"/>
  <c r="M25" i="2" s="1"/>
  <c r="D94" i="1"/>
  <c r="F104" i="1"/>
  <c r="R117" i="1"/>
  <c r="R128" i="1"/>
  <c r="N20" i="2"/>
  <c r="S45" i="2"/>
  <c r="Q6" i="3"/>
  <c r="P6" i="3"/>
  <c r="M10" i="3"/>
  <c r="R10" i="3" s="1"/>
  <c r="L30" i="3"/>
  <c r="N45" i="3"/>
  <c r="R45" i="3" s="1"/>
  <c r="E78" i="3"/>
  <c r="T50" i="3"/>
  <c r="P63" i="3"/>
  <c r="Q63" i="3"/>
  <c r="H81" i="3"/>
  <c r="E90" i="1"/>
  <c r="E94" i="1" s="1"/>
  <c r="H99" i="1"/>
  <c r="H104" i="1" s="1"/>
  <c r="R120" i="1"/>
  <c r="R123" i="1"/>
  <c r="G47" i="2"/>
  <c r="N10" i="3"/>
  <c r="T22" i="3"/>
  <c r="AB69" i="2"/>
  <c r="D60" i="2"/>
  <c r="AB91" i="2" s="1"/>
  <c r="P45" i="3"/>
  <c r="N49" i="3"/>
  <c r="N59" i="3"/>
  <c r="T60" i="3"/>
  <c r="G10" i="5"/>
  <c r="G20" i="5"/>
  <c r="R19" i="3"/>
  <c r="Q22" i="3"/>
  <c r="D59" i="2"/>
  <c r="T37" i="3"/>
  <c r="Q38" i="3"/>
  <c r="P38" i="3"/>
  <c r="Q49" i="3"/>
  <c r="P49" i="3"/>
  <c r="H74" i="3"/>
  <c r="H75" i="3" s="1"/>
  <c r="P47" i="2"/>
  <c r="C81" i="3"/>
  <c r="E14" i="5"/>
  <c r="G14" i="5" s="1"/>
  <c r="M11" i="5"/>
  <c r="L47" i="3"/>
  <c r="M57" i="3"/>
  <c r="T62" i="3"/>
  <c r="T12" i="3"/>
  <c r="L37" i="3"/>
  <c r="R39" i="3"/>
  <c r="M47" i="3"/>
  <c r="R47" i="3" s="1"/>
  <c r="T52" i="3"/>
  <c r="N56" i="3"/>
  <c r="G71" i="3"/>
  <c r="G74" i="3" s="1"/>
  <c r="F73" i="3"/>
  <c r="F74" i="3" s="1"/>
  <c r="F75" i="3" s="1"/>
  <c r="E79" i="3"/>
  <c r="E26" i="5"/>
  <c r="R102" i="1"/>
  <c r="Y15" i="2"/>
  <c r="Y33" i="2" s="1"/>
  <c r="L4" i="3"/>
  <c r="L27" i="3"/>
  <c r="T42" i="3"/>
  <c r="N46" i="3"/>
  <c r="L60" i="3"/>
  <c r="M62" i="3"/>
  <c r="R62" i="3" s="1"/>
  <c r="T65" i="3"/>
  <c r="I104" i="1" l="1"/>
  <c r="K31" i="5" s="1"/>
  <c r="B94" i="1"/>
  <c r="I94" i="1" s="1"/>
  <c r="G31" i="5" s="1"/>
  <c r="J55" i="2"/>
  <c r="AB84" i="2"/>
  <c r="AB93" i="2" s="1"/>
  <c r="Q60" i="3"/>
  <c r="P60" i="3"/>
  <c r="Q4" i="3"/>
  <c r="P4" i="3"/>
  <c r="Y16" i="2"/>
  <c r="Y17" i="2" s="1"/>
  <c r="AF80" i="2" s="1"/>
  <c r="AF93" i="2" s="1"/>
  <c r="AF58" i="2"/>
  <c r="AF71" i="2" s="1"/>
  <c r="AE73" i="2" s="1"/>
  <c r="Q37" i="3"/>
  <c r="P37" i="3"/>
  <c r="G23" i="5"/>
  <c r="F23" i="5" s="1"/>
  <c r="Q30" i="3"/>
  <c r="P30" i="3"/>
  <c r="F78" i="3"/>
  <c r="R57" i="3"/>
  <c r="Q57" i="3"/>
  <c r="R56" i="3"/>
  <c r="Q56" i="3"/>
  <c r="E21" i="5"/>
  <c r="G21" i="5" s="1"/>
  <c r="G53" i="2"/>
  <c r="I78" i="3"/>
  <c r="H82" i="3"/>
  <c r="Q5" i="3"/>
  <c r="Q47" i="3"/>
  <c r="P47" i="3"/>
  <c r="C75" i="3"/>
  <c r="D71" i="3"/>
  <c r="D74" i="3" s="1"/>
  <c r="J74" i="3" s="1"/>
  <c r="P20" i="3"/>
  <c r="Q20" i="3"/>
  <c r="R59" i="3"/>
  <c r="Q50" i="3"/>
  <c r="P50" i="3"/>
  <c r="Q10" i="3"/>
  <c r="Q27" i="3"/>
  <c r="P27" i="3"/>
  <c r="E81" i="3"/>
  <c r="E82" i="3" s="1"/>
  <c r="D78" i="3"/>
  <c r="C82" i="3"/>
  <c r="G75" i="3"/>
  <c r="R49" i="3"/>
  <c r="Q46" i="3"/>
  <c r="Q62" i="3"/>
  <c r="P62" i="3"/>
  <c r="K26" i="5"/>
  <c r="M25" i="5"/>
  <c r="M26" i="5" s="1"/>
  <c r="AE95" i="2" l="1"/>
  <c r="F81" i="3"/>
  <c r="F82" i="3"/>
  <c r="I81" i="3"/>
  <c r="I82" i="3"/>
  <c r="E23" i="5"/>
  <c r="D75" i="3"/>
  <c r="J75" i="3" s="1"/>
  <c r="J82" i="3"/>
  <c r="D81" i="3"/>
  <c r="D82" i="3"/>
  <c r="J81" i="3" l="1"/>
</calcChain>
</file>

<file path=xl/sharedStrings.xml><?xml version="1.0" encoding="utf-8"?>
<sst xmlns="http://schemas.openxmlformats.org/spreadsheetml/2006/main" count="373" uniqueCount="147">
  <si>
    <t>Valores Calculados</t>
  </si>
  <si>
    <t>TMS</t>
  </si>
  <si>
    <t>%FeT</t>
  </si>
  <si>
    <t>%FeMag</t>
  </si>
  <si>
    <t>Recepción P55</t>
  </si>
  <si>
    <t>Delta Stock P55</t>
  </si>
  <si>
    <t>Alim P55</t>
  </si>
  <si>
    <t>Recepción Alianza</t>
  </si>
  <si>
    <t>Delta Stock Alianza</t>
  </si>
  <si>
    <t>Alim Alianza</t>
  </si>
  <si>
    <t>Recepción P40</t>
  </si>
  <si>
    <t>Delta Stock P40</t>
  </si>
  <si>
    <t>Alim P40</t>
  </si>
  <si>
    <t>Recepción Repulpeo</t>
  </si>
  <si>
    <t>Delta Stock Repulpeo</t>
  </si>
  <si>
    <t>Alim Repulpeo</t>
  </si>
  <si>
    <t>Recepción Hnos araya</t>
  </si>
  <si>
    <t>Delta Stock Hnos Araya</t>
  </si>
  <si>
    <t>Alim Hnos Araya</t>
  </si>
  <si>
    <t>Recep San Andrés</t>
  </si>
  <si>
    <t>Delta Stock San Andrés</t>
  </si>
  <si>
    <t>Alim San Andrés</t>
  </si>
  <si>
    <t>Recep A&amp;Q</t>
  </si>
  <si>
    <t>Delta Stock A&amp;Q</t>
  </si>
  <si>
    <t>Alim A&amp;Q</t>
  </si>
  <si>
    <t>Alimentación</t>
  </si>
  <si>
    <t>Recep Autech</t>
  </si>
  <si>
    <t>Concentrado</t>
  </si>
  <si>
    <t>Delta Stock Autech</t>
  </si>
  <si>
    <t>Cola</t>
  </si>
  <si>
    <t>Alim Autech</t>
  </si>
  <si>
    <t>Recepción 1</t>
  </si>
  <si>
    <t>Delta Stock 1</t>
  </si>
  <si>
    <t>Rec Met Calc</t>
  </si>
  <si>
    <t>Alim 1</t>
  </si>
  <si>
    <t>Recepción 2</t>
  </si>
  <si>
    <t>Delta Stock 2</t>
  </si>
  <si>
    <t>Alim 2</t>
  </si>
  <si>
    <t>Recepción 3</t>
  </si>
  <si>
    <t>Delta Stock 3</t>
  </si>
  <si>
    <t>Alim 3</t>
  </si>
  <si>
    <t>Recepción 4</t>
  </si>
  <si>
    <t>Delta Stock 4</t>
  </si>
  <si>
    <t>Alim 4</t>
  </si>
  <si>
    <t>Espesador a Bz Intermedio</t>
  </si>
  <si>
    <t>Rp Etapa</t>
  </si>
  <si>
    <t>Delta Stock Intermedio</t>
  </si>
  <si>
    <t>Descarga Intermedio</t>
  </si>
  <si>
    <t>Alimentación CMCC</t>
  </si>
  <si>
    <t>Cola Rougher 1</t>
  </si>
  <si>
    <t>Conc Rougher 1</t>
  </si>
  <si>
    <t>Cola Rougher 2</t>
  </si>
  <si>
    <t>Conc Rougher  2</t>
  </si>
  <si>
    <t>Rechazos Gruesos</t>
  </si>
  <si>
    <t>Alimentaciones consolidades Stocks</t>
  </si>
  <si>
    <t>Alim Hidro</t>
  </si>
  <si>
    <t>Cola Hidro</t>
  </si>
  <si>
    <t>Conc Hidro</t>
  </si>
  <si>
    <t>Cola Finisher</t>
  </si>
  <si>
    <t>Conc Finisher</t>
  </si>
  <si>
    <t>Cola Flotación Magnética</t>
  </si>
  <si>
    <t>Conc Flotación Magnética</t>
  </si>
  <si>
    <t>Cola Flotación Neumática</t>
  </si>
  <si>
    <t>Conc Flotación Neumática</t>
  </si>
  <si>
    <t>Cola Espesador</t>
  </si>
  <si>
    <t>Delta INV Espesador</t>
  </si>
  <si>
    <t>Producción PM</t>
  </si>
  <si>
    <t>Relave Final</t>
  </si>
  <si>
    <t>Rebose ciclones a hidro</t>
  </si>
  <si>
    <t>CR2 a Desaguado</t>
  </si>
  <si>
    <t>CR2 a Molienda</t>
  </si>
  <si>
    <t>Repulpeo</t>
  </si>
  <si>
    <t>T2</t>
  </si>
  <si>
    <t>T3</t>
  </si>
  <si>
    <t>BALANCE GLOBAL MASA</t>
  </si>
  <si>
    <t>ENTRADAS</t>
  </si>
  <si>
    <t>VARIACIONES DE INVENTARIOS</t>
  </si>
  <si>
    <t>SALIDAS</t>
  </si>
  <si>
    <t>T4</t>
  </si>
  <si>
    <t>San Andres</t>
  </si>
  <si>
    <t>Relaves</t>
  </si>
  <si>
    <r>
      <rPr>
        <sz val="11"/>
        <color rgb="FF000000"/>
        <rFont val="Calibri"/>
        <family val="2"/>
        <charset val="1"/>
      </rPr>
      <t xml:space="preserve">PRODUCCIÓN </t>
    </r>
    <r>
      <rPr>
        <b/>
        <sz val="11"/>
        <color rgb="FF000000"/>
        <rFont val="Calibri"/>
        <family val="2"/>
        <charset val="1"/>
      </rPr>
      <t>PM</t>
    </r>
  </si>
  <si>
    <t>A&amp;Q</t>
  </si>
  <si>
    <t>Delta Invent Cancha/Repulpeo</t>
  </si>
  <si>
    <t>T1</t>
  </si>
  <si>
    <t>Delta T1</t>
  </si>
  <si>
    <t>Delta T2</t>
  </si>
  <si>
    <t>Delta T3</t>
  </si>
  <si>
    <t>Delta T4</t>
  </si>
  <si>
    <t>TOTAL ENTRADAS</t>
  </si>
  <si>
    <t xml:space="preserve">VAR NETA </t>
  </si>
  <si>
    <t>Autech</t>
  </si>
  <si>
    <t>ENTRADAS - VAR INVENTARIO - SALIDAS</t>
  </si>
  <si>
    <t>BALANCE GLOBAL FINOS</t>
  </si>
  <si>
    <t>Mediciones</t>
  </si>
  <si>
    <t>Balance</t>
  </si>
  <si>
    <t>% Cambio relativo</t>
  </si>
  <si>
    <t>Max Var Ton</t>
  </si>
  <si>
    <t>Max Var  FeT</t>
  </si>
  <si>
    <t>Max Var  FeMag</t>
  </si>
  <si>
    <t>FeMag &lt; FeT</t>
  </si>
  <si>
    <t>Flujos</t>
  </si>
  <si>
    <t>Ley FeT</t>
  </si>
  <si>
    <t>Ley FeMag</t>
  </si>
  <si>
    <t>TMSD</t>
  </si>
  <si>
    <t>%Fe T</t>
  </si>
  <si>
    <t>%Fe M</t>
  </si>
  <si>
    <t>Fe total (%)</t>
  </si>
  <si>
    <t>R1</t>
  </si>
  <si>
    <t>R2</t>
  </si>
  <si>
    <t>Hidro</t>
  </si>
  <si>
    <t>Finisher</t>
  </si>
  <si>
    <t>Flot. Magnética</t>
  </si>
  <si>
    <t>Flot Neumática</t>
  </si>
  <si>
    <t>Esp. Concentrado</t>
  </si>
  <si>
    <t>Total (Planta)</t>
  </si>
  <si>
    <t xml:space="preserve">Alimentación </t>
  </si>
  <si>
    <t xml:space="preserve">Concentrado </t>
  </si>
  <si>
    <t>Rp</t>
  </si>
  <si>
    <t>Rm</t>
  </si>
  <si>
    <t>Fe Magnético (%)</t>
  </si>
  <si>
    <t>Rmm</t>
  </si>
  <si>
    <t>Pellet Feed</t>
  </si>
  <si>
    <t>Produccion Filtrado</t>
  </si>
  <si>
    <t>BALANCE METALÚRGICO - VALLE COPIAPO</t>
  </si>
  <si>
    <t>REPORTE DE PLANTA MAGNETITA</t>
  </si>
  <si>
    <t>TONELAJE</t>
  </si>
  <si>
    <t>LEY</t>
  </si>
  <si>
    <t>FINO</t>
  </si>
  <si>
    <t>% FeT</t>
  </si>
  <si>
    <t>TMF</t>
  </si>
  <si>
    <t>% Fe Mag</t>
  </si>
  <si>
    <t>SALIDA</t>
  </si>
  <si>
    <t>Relaves CCMC</t>
  </si>
  <si>
    <t>Produccion Planta</t>
  </si>
  <si>
    <t>Alim Ferro</t>
  </si>
  <si>
    <t>Alim Terceros 1</t>
  </si>
  <si>
    <t>Alim Terceros 2</t>
  </si>
  <si>
    <t>Alim Terceros 3</t>
  </si>
  <si>
    <t>Alim Terceros 4</t>
  </si>
  <si>
    <t>TOTAL</t>
  </si>
  <si>
    <t>EMBARQUES</t>
  </si>
  <si>
    <t xml:space="preserve">PÉRDIDAS </t>
  </si>
  <si>
    <t>INDICADORES PLANTA MAGNETITA</t>
  </si>
  <si>
    <t>RECUPERACIÓN EN PESO</t>
  </si>
  <si>
    <t>RECUPERACIÓN METALÚRGICA</t>
  </si>
  <si>
    <t>RECUPERACIÓN MAGNÉTICA METALÚRGICA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</si>
</sst>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\-??_-;_-@_-"/>
    <numFmt numFmtId="165" formatCode="0.00\ %"/>
    <numFmt numFmtId="166" formatCode="0.0%"/>
    <numFmt numFmtId="167" formatCode="0\ %"/>
    <numFmt numFmtId="168" formatCode="#,##0_ ;\-#,##0\ "/>
    <numFmt numFmtId="169" formatCode="dd/mm/yyyy;@"/>
    <numFmt numFmtId="170" formatCode="dd/mm/yyyy"/>
    <numFmt numFmtId="172" formatCode="#,##0.00_ ;\-#,##0.00\ "/>
  </numFmts>
  <fonts count="37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E7E6E6"/>
      <name val="Calibri"/>
      <family val="2"/>
      <charset val="1"/>
    </font>
    <font>
      <sz val="11"/>
      <color rgb="FFE7E6E6"/>
      <name val="Calibri (Body)"/>
      <charset val="1"/>
    </font>
    <font>
      <b/>
      <sz val="14"/>
      <color rgb="FFE7E6E6"/>
      <name val="Calibri (Body)"/>
      <charset val="1"/>
    </font>
    <font>
      <b/>
      <sz val="12"/>
      <color rgb="FFE7E6E6"/>
      <name val="Calibri (Body)"/>
      <charset val="1"/>
    </font>
    <font>
      <b/>
      <sz val="12"/>
      <color rgb="FFE7E6E6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 (Body)"/>
      <charset val="1"/>
    </font>
    <font>
      <b/>
      <sz val="11"/>
      <color rgb="FFE7E6E6"/>
      <name val="Calibri (Body)"/>
      <charset val="1"/>
    </font>
    <font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E7E6E6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E7E6E6"/>
      <name val="Calibri (Body)"/>
      <charset val="1"/>
    </font>
    <font>
      <sz val="11"/>
      <color rgb="FFD0CECE"/>
      <name val="Calibri (Body)"/>
      <charset val="1"/>
    </font>
    <font>
      <sz val="11"/>
      <color rgb="FFD0CECE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843C0B"/>
      <name val="Calibri"/>
      <family val="2"/>
      <charset val="1"/>
    </font>
    <font>
      <b/>
      <sz val="11"/>
      <color rgb="FF2E75B6"/>
      <name val="Calibri"/>
      <family val="2"/>
      <charset val="1"/>
    </font>
    <font>
      <sz val="11"/>
      <color rgb="FF7F7F7F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name val="Calibri"/>
      <family val="2"/>
      <charset val="1"/>
    </font>
    <font>
      <sz val="10"/>
      <color rgb="FF44546A"/>
      <name val="Calibri"/>
      <family val="2"/>
      <charset val="1"/>
    </font>
    <font>
      <sz val="11"/>
      <color rgb="FF44546A"/>
      <name val="Calibri"/>
      <family val="2"/>
      <charset val="1"/>
    </font>
    <font>
      <b/>
      <sz val="12"/>
      <color rgb="FF44546A"/>
      <name val="Calibri"/>
      <family val="2"/>
      <charset val="1"/>
    </font>
    <font>
      <sz val="8"/>
      <color rgb="FF44546A"/>
      <name val="Calibri"/>
      <family val="2"/>
      <charset val="1"/>
    </font>
    <font>
      <b/>
      <sz val="8"/>
      <color rgb="FF44546A"/>
      <name val="Calibri"/>
      <family val="2"/>
      <charset val="1"/>
    </font>
    <font>
      <b/>
      <sz val="8"/>
      <color rgb="FFFFFFFF"/>
      <name val="Calibri"/>
      <family val="2"/>
      <charset val="1"/>
    </font>
    <font>
      <sz val="8"/>
      <name val="Calibri"/>
      <family val="2"/>
      <charset val="1"/>
    </font>
    <font>
      <b/>
      <sz val="8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8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4"/>
        <bgColor rgb="FFC6EFCE"/>
      </patternFill>
    </fill>
    <fill>
      <patternFill patternType="solid">
        <fgColor rgb="FFE2F0D9"/>
        <bgColor rgb="FFE7E6E6"/>
      </patternFill>
    </fill>
    <fill>
      <patternFill patternType="solid">
        <fgColor rgb="FF767171"/>
        <bgColor rgb="FF7F7F7F"/>
      </patternFill>
    </fill>
    <fill>
      <patternFill patternType="solid">
        <fgColor rgb="FFFFF2CC"/>
        <bgColor rgb="FFF2F2F2"/>
      </patternFill>
    </fill>
    <fill>
      <patternFill patternType="solid">
        <fgColor rgb="FFADB9CA"/>
        <bgColor rgb="FFD0CECE"/>
      </patternFill>
    </fill>
    <fill>
      <patternFill patternType="solid">
        <fgColor rgb="FFBDD7EE"/>
        <bgColor rgb="FFD0CECE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E7E6E6"/>
      </patternFill>
    </fill>
    <fill>
      <patternFill patternType="solid">
        <fgColor rgb="FF44546A"/>
        <bgColor rgb="FF333333"/>
      </patternFill>
    </fill>
    <fill>
      <patternFill patternType="solid">
        <fgColor rgb="FFE7E6E6"/>
        <bgColor rgb="FFE2F0D9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rgb="FFFFFFFF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167" fontId="36" fillId="0" borderId="0" applyBorder="0" applyProtection="0"/>
    <xf numFmtId="164" fontId="36" fillId="0" borderId="0" applyBorder="0" applyProtection="0"/>
    <xf numFmtId="0" fontId="36" fillId="0" borderId="0"/>
    <xf numFmtId="0" fontId="1" fillId="0" borderId="0"/>
  </cellStyleXfs>
  <cellXfs count="222">
    <xf numFmtId="0" fontId="0" fillId="0" borderId="0" xfId="0"/>
    <xf numFmtId="169" fontId="27" fillId="10" borderId="23" xfId="0" applyNumberFormat="1" applyFont="1" applyFill="1" applyBorder="1" applyAlignment="1">
      <alignment horizontal="center" vertical="center" wrapText="1"/>
    </xf>
    <xf numFmtId="49" fontId="27" fillId="10" borderId="22" xfId="0" applyNumberFormat="1" applyFont="1" applyFill="1" applyBorder="1" applyAlignment="1">
      <alignment horizontal="center" vertical="center" wrapText="1"/>
    </xf>
    <xf numFmtId="49" fontId="27" fillId="10" borderId="21" xfId="0" applyNumberFormat="1" applyFont="1" applyFill="1" applyBorder="1" applyAlignment="1">
      <alignment horizontal="center" vertical="center" wrapText="1"/>
    </xf>
    <xf numFmtId="0" fontId="26" fillId="10" borderId="2" xfId="0" applyFont="1" applyFill="1" applyBorder="1" applyAlignment="1">
      <alignment horizontal="center"/>
    </xf>
    <xf numFmtId="0" fontId="8" fillId="2" borderId="1" xfId="3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/>
    </xf>
    <xf numFmtId="0" fontId="36" fillId="0" borderId="0" xfId="3" applyAlignment="1">
      <alignment horizontal="center"/>
    </xf>
    <xf numFmtId="0" fontId="0" fillId="0" borderId="0" xfId="0" applyAlignment="1">
      <alignment horizontal="left" wrapText="1"/>
    </xf>
    <xf numFmtId="0" fontId="9" fillId="0" borderId="0" xfId="3" applyFont="1" applyAlignment="1">
      <alignment horizontal="center"/>
    </xf>
    <xf numFmtId="0" fontId="11" fillId="0" borderId="0" xfId="0" applyFont="1" applyAlignment="1">
      <alignment horizontal="center"/>
    </xf>
    <xf numFmtId="0" fontId="6" fillId="0" borderId="0" xfId="3" applyFont="1" applyAlignment="1">
      <alignment horizontal="center" wrapText="1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8" fillId="0" borderId="0" xfId="0" applyFont="1"/>
    <xf numFmtId="0" fontId="0" fillId="0" borderId="0" xfId="0" applyAlignment="1">
      <alignment wrapText="1"/>
    </xf>
    <xf numFmtId="0" fontId="4" fillId="0" borderId="0" xfId="0" applyFont="1"/>
    <xf numFmtId="3" fontId="0" fillId="0" borderId="0" xfId="0" applyNumberFormat="1"/>
    <xf numFmtId="0" fontId="4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3" applyFont="1" applyAlignment="1">
      <alignment horizontal="center"/>
    </xf>
    <xf numFmtId="165" fontId="12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0" fontId="13" fillId="0" borderId="0" xfId="0" applyFont="1"/>
    <xf numFmtId="166" fontId="2" fillId="0" borderId="0" xfId="0" applyNumberFormat="1" applyFont="1"/>
    <xf numFmtId="165" fontId="0" fillId="0" borderId="0" xfId="0" applyNumberFormat="1"/>
    <xf numFmtId="165" fontId="7" fillId="0" borderId="0" xfId="0" applyNumberFormat="1" applyFont="1"/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3" fontId="3" fillId="0" borderId="1" xfId="0" applyNumberFormat="1" applyFont="1" applyBorder="1"/>
    <xf numFmtId="0" fontId="14" fillId="0" borderId="0" xfId="0" applyFont="1"/>
    <xf numFmtId="165" fontId="3" fillId="0" borderId="1" xfId="0" applyNumberFormat="1" applyFont="1" applyBorder="1"/>
    <xf numFmtId="0" fontId="10" fillId="0" borderId="1" xfId="0" applyFont="1" applyBorder="1"/>
    <xf numFmtId="165" fontId="3" fillId="2" borderId="1" xfId="0" applyNumberFormat="1" applyFont="1" applyFill="1" applyBorder="1"/>
    <xf numFmtId="3" fontId="4" fillId="0" borderId="0" xfId="0" applyNumberFormat="1" applyFont="1"/>
    <xf numFmtId="165" fontId="4" fillId="0" borderId="0" xfId="0" applyNumberFormat="1" applyFont="1"/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2" fillId="3" borderId="2" xfId="0" applyFont="1" applyFill="1" applyBorder="1"/>
    <xf numFmtId="165" fontId="2" fillId="3" borderId="3" xfId="0" applyNumberFormat="1" applyFont="1" applyFill="1" applyBorder="1"/>
    <xf numFmtId="0" fontId="15" fillId="0" borderId="0" xfId="0" applyFont="1"/>
    <xf numFmtId="1" fontId="3" fillId="0" borderId="0" xfId="0" applyNumberFormat="1" applyFont="1"/>
    <xf numFmtId="0" fontId="9" fillId="0" borderId="0" xfId="0" applyFont="1" applyAlignment="1">
      <alignment wrapText="1"/>
    </xf>
    <xf numFmtId="0" fontId="16" fillId="0" borderId="0" xfId="0" applyFont="1"/>
    <xf numFmtId="0" fontId="36" fillId="0" borderId="0" xfId="3" applyAlignment="1">
      <alignment horizontal="center"/>
    </xf>
    <xf numFmtId="0" fontId="17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/>
    <xf numFmtId="0" fontId="18" fillId="0" borderId="0" xfId="0" applyFont="1"/>
    <xf numFmtId="0" fontId="7" fillId="0" borderId="0" xfId="0" applyFont="1"/>
    <xf numFmtId="3" fontId="7" fillId="0" borderId="0" xfId="0" applyNumberFormat="1" applyFont="1"/>
    <xf numFmtId="167" fontId="7" fillId="0" borderId="0" xfId="0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12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3" fontId="19" fillId="0" borderId="0" xfId="0" applyNumberFormat="1" applyFont="1" applyAlignment="1">
      <alignment horizontal="left"/>
    </xf>
    <xf numFmtId="3" fontId="20" fillId="0" borderId="0" xfId="0" applyNumberFormat="1" applyFont="1" applyAlignment="1">
      <alignment horizontal="left"/>
    </xf>
    <xf numFmtId="3" fontId="12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9" fillId="0" borderId="0" xfId="0" applyNumberFormat="1" applyFont="1" applyAlignment="1">
      <alignment horizontal="center"/>
    </xf>
    <xf numFmtId="3" fontId="12" fillId="0" borderId="8" xfId="0" applyNumberFormat="1" applyFont="1" applyBorder="1" applyAlignment="1">
      <alignment horizontal="left"/>
    </xf>
    <xf numFmtId="165" fontId="0" fillId="0" borderId="8" xfId="0" applyNumberFormat="1" applyBorder="1" applyAlignment="1">
      <alignment horizontal="left"/>
    </xf>
    <xf numFmtId="3" fontId="19" fillId="0" borderId="8" xfId="0" applyNumberFormat="1" applyFont="1" applyBorder="1" applyAlignment="1">
      <alignment horizontal="left"/>
    </xf>
    <xf numFmtId="3" fontId="0" fillId="0" borderId="8" xfId="0" applyNumberFormat="1" applyBorder="1"/>
    <xf numFmtId="3" fontId="12" fillId="0" borderId="0" xfId="0" applyNumberFormat="1" applyFont="1"/>
    <xf numFmtId="0" fontId="8" fillId="4" borderId="1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0" borderId="9" xfId="0" applyBorder="1" applyAlignment="1">
      <alignment vertical="center" wrapText="1"/>
    </xf>
    <xf numFmtId="3" fontId="0" fillId="0" borderId="1" xfId="0" applyNumberFormat="1" applyBorder="1" applyAlignment="1">
      <alignment horizontal="right" vertical="center" indent="1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21" fillId="5" borderId="9" xfId="0" applyFont="1" applyFill="1" applyBorder="1" applyAlignment="1">
      <alignment vertical="center" wrapText="1"/>
    </xf>
    <xf numFmtId="0" fontId="0" fillId="0" borderId="9" xfId="0" applyBorder="1" applyAlignment="1">
      <alignment horizontal="left" vertical="center" indent="1"/>
    </xf>
    <xf numFmtId="0" fontId="21" fillId="5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3" fontId="14" fillId="0" borderId="1" xfId="0" applyNumberFormat="1" applyFont="1" applyBorder="1" applyAlignment="1">
      <alignment vertical="center"/>
    </xf>
    <xf numFmtId="3" fontId="18" fillId="0" borderId="1" xfId="0" applyNumberFormat="1" applyFont="1" applyBorder="1" applyAlignment="1">
      <alignment horizontal="left" vertical="center"/>
    </xf>
    <xf numFmtId="0" fontId="7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3" fontId="8" fillId="0" borderId="1" xfId="0" applyNumberFormat="1" applyFont="1" applyBorder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8" fillId="6" borderId="9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8" fillId="8" borderId="1" xfId="0" applyFont="1" applyFill="1" applyBorder="1"/>
    <xf numFmtId="0" fontId="8" fillId="3" borderId="1" xfId="0" applyFont="1" applyFill="1" applyBorder="1" applyAlignment="1">
      <alignment wrapText="1"/>
    </xf>
    <xf numFmtId="0" fontId="22" fillId="3" borderId="1" xfId="0" applyFont="1" applyFill="1" applyBorder="1" applyAlignment="1">
      <alignment wrapText="1"/>
    </xf>
    <xf numFmtId="0" fontId="8" fillId="7" borderId="1" xfId="0" applyFont="1" applyFill="1" applyBorder="1"/>
    <xf numFmtId="0" fontId="14" fillId="2" borderId="1" xfId="3" applyFont="1" applyFill="1" applyBorder="1" applyAlignment="1">
      <alignment horizontal="center"/>
    </xf>
    <xf numFmtId="165" fontId="8" fillId="6" borderId="1" xfId="0" applyNumberFormat="1" applyFont="1" applyFill="1" applyBorder="1"/>
    <xf numFmtId="0" fontId="0" fillId="7" borderId="1" xfId="0" applyFill="1" applyBorder="1"/>
    <xf numFmtId="3" fontId="14" fillId="0" borderId="1" xfId="0" applyNumberFormat="1" applyFont="1" applyBorder="1"/>
    <xf numFmtId="165" fontId="14" fillId="0" borderId="1" xfId="0" applyNumberFormat="1" applyFont="1" applyBorder="1"/>
    <xf numFmtId="166" fontId="14" fillId="0" borderId="1" xfId="0" applyNumberFormat="1" applyFont="1" applyBorder="1"/>
    <xf numFmtId="0" fontId="23" fillId="0" borderId="1" xfId="0" applyFont="1" applyBorder="1" applyAlignment="1">
      <alignment horizontal="center"/>
    </xf>
    <xf numFmtId="165" fontId="0" fillId="0" borderId="14" xfId="0" applyNumberFormat="1" applyBorder="1"/>
    <xf numFmtId="166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6" borderId="15" xfId="0" applyFill="1" applyBorder="1"/>
    <xf numFmtId="0" fontId="0" fillId="6" borderId="15" xfId="0" applyFill="1" applyBorder="1" applyAlignment="1">
      <alignment horizontal="center"/>
    </xf>
    <xf numFmtId="165" fontId="0" fillId="6" borderId="15" xfId="0" applyNumberFormat="1" applyFill="1" applyBorder="1" applyAlignment="1">
      <alignment horizontal="center"/>
    </xf>
    <xf numFmtId="0" fontId="0" fillId="6" borderId="16" xfId="0" applyFill="1" applyBorder="1"/>
    <xf numFmtId="165" fontId="0" fillId="0" borderId="16" xfId="0" applyNumberFormat="1" applyBorder="1" applyAlignment="1">
      <alignment horizontal="center"/>
    </xf>
    <xf numFmtId="0" fontId="0" fillId="0" borderId="17" xfId="0" applyBorder="1"/>
    <xf numFmtId="0" fontId="0" fillId="0" borderId="16" xfId="0" applyBorder="1"/>
    <xf numFmtId="0" fontId="0" fillId="6" borderId="18" xfId="0" applyFill="1" applyBorder="1"/>
    <xf numFmtId="165" fontId="0" fillId="0" borderId="18" xfId="0" applyNumberFormat="1" applyBorder="1" applyAlignment="1">
      <alignment horizontal="center"/>
    </xf>
    <xf numFmtId="0" fontId="0" fillId="0" borderId="18" xfId="0" applyBorder="1"/>
    <xf numFmtId="2" fontId="0" fillId="0" borderId="15" xfId="0" applyNumberFormat="1" applyBorder="1" applyAlignment="1">
      <alignment horizontal="center"/>
    </xf>
    <xf numFmtId="1" fontId="0" fillId="0" borderId="0" xfId="0" applyNumberFormat="1"/>
    <xf numFmtId="0" fontId="12" fillId="0" borderId="1" xfId="0" applyFont="1" applyBorder="1"/>
    <xf numFmtId="1" fontId="24" fillId="0" borderId="19" xfId="2" applyNumberFormat="1" applyFont="1" applyBorder="1" applyAlignment="1" applyProtection="1">
      <alignment horizontal="right" vertical="center"/>
    </xf>
    <xf numFmtId="165" fontId="24" fillId="0" borderId="19" xfId="2" applyNumberFormat="1" applyFont="1" applyBorder="1" applyAlignment="1" applyProtection="1">
      <alignment horizontal="right" vertical="center"/>
    </xf>
    <xf numFmtId="165" fontId="0" fillId="0" borderId="1" xfId="0" applyNumberFormat="1" applyBorder="1"/>
    <xf numFmtId="1" fontId="14" fillId="0" borderId="1" xfId="0" applyNumberFormat="1" applyFont="1" applyBorder="1" applyAlignment="1">
      <alignment horizontal="right"/>
    </xf>
    <xf numFmtId="165" fontId="14" fillId="0" borderId="1" xfId="0" applyNumberFormat="1" applyFont="1" applyBorder="1" applyAlignment="1">
      <alignment horizontal="right"/>
    </xf>
    <xf numFmtId="0" fontId="25" fillId="9" borderId="5" xfId="4" applyFont="1" applyFill="1" applyBorder="1" applyAlignment="1">
      <alignment horizontal="center" vertical="center"/>
    </xf>
    <xf numFmtId="168" fontId="25" fillId="9" borderId="6" xfId="2" applyNumberFormat="1" applyFont="1" applyFill="1" applyBorder="1" applyAlignment="1" applyProtection="1">
      <alignment horizontal="center"/>
    </xf>
    <xf numFmtId="168" fontId="25" fillId="9" borderId="8" xfId="2" applyNumberFormat="1" applyFont="1" applyFill="1" applyBorder="1" applyAlignment="1" applyProtection="1">
      <alignment horizontal="center"/>
    </xf>
    <xf numFmtId="165" fontId="28" fillId="0" borderId="1" xfId="1" applyNumberFormat="1" applyFont="1" applyBorder="1" applyAlignment="1" applyProtection="1">
      <alignment horizontal="center" vertical="center"/>
    </xf>
    <xf numFmtId="168" fontId="31" fillId="0" borderId="1" xfId="2" applyNumberFormat="1" applyFont="1" applyBorder="1" applyAlignment="1" applyProtection="1">
      <alignment horizontal="center" vertical="center"/>
    </xf>
    <xf numFmtId="165" fontId="31" fillId="0" borderId="1" xfId="1" applyNumberFormat="1" applyFont="1" applyBorder="1" applyAlignment="1" applyProtection="1">
      <alignment horizontal="center" vertical="center"/>
    </xf>
    <xf numFmtId="3" fontId="28" fillId="9" borderId="1" xfId="2" applyNumberFormat="1" applyFont="1" applyFill="1" applyBorder="1" applyAlignment="1" applyProtection="1">
      <alignment horizontal="center" vertical="center"/>
    </xf>
    <xf numFmtId="165" fontId="28" fillId="9" borderId="1" xfId="2" applyNumberFormat="1" applyFont="1" applyFill="1" applyBorder="1" applyAlignment="1" applyProtection="1">
      <alignment horizontal="center" vertical="center"/>
    </xf>
    <xf numFmtId="3" fontId="28" fillId="0" borderId="1" xfId="1" applyNumberFormat="1" applyFont="1" applyBorder="1" applyAlignment="1" applyProtection="1">
      <alignment horizontal="center" vertical="center"/>
    </xf>
    <xf numFmtId="165" fontId="29" fillId="12" borderId="3" xfId="1" applyNumberFormat="1" applyFont="1" applyFill="1" applyBorder="1" applyAlignment="1" applyProtection="1">
      <alignment horizontal="center" vertical="center"/>
    </xf>
    <xf numFmtId="168" fontId="29" fillId="12" borderId="26" xfId="4" applyNumberFormat="1" applyFont="1" applyFill="1" applyBorder="1" applyAlignment="1">
      <alignment horizontal="center" vertical="center" wrapText="1"/>
    </xf>
    <xf numFmtId="168" fontId="31" fillId="0" borderId="19" xfId="2" applyNumberFormat="1" applyFont="1" applyBorder="1" applyAlignment="1" applyProtection="1">
      <alignment horizontal="center" vertical="center"/>
    </xf>
    <xf numFmtId="168" fontId="28" fillId="9" borderId="1" xfId="2" applyNumberFormat="1" applyFont="1" applyFill="1" applyBorder="1" applyAlignment="1" applyProtection="1">
      <alignment horizontal="center" vertical="center"/>
    </xf>
    <xf numFmtId="165" fontId="28" fillId="9" borderId="1" xfId="1" applyNumberFormat="1" applyFont="1" applyFill="1" applyBorder="1" applyAlignment="1" applyProtection="1">
      <alignment horizontal="center" vertical="center"/>
    </xf>
    <xf numFmtId="168" fontId="29" fillId="12" borderId="3" xfId="4" applyNumberFormat="1" applyFont="1" applyFill="1" applyBorder="1" applyAlignment="1">
      <alignment horizontal="center" vertical="center" wrapText="1"/>
    </xf>
    <xf numFmtId="168" fontId="25" fillId="9" borderId="0" xfId="2" applyNumberFormat="1" applyFont="1" applyFill="1" applyBorder="1" applyAlignment="1" applyProtection="1">
      <alignment horizontal="center"/>
    </xf>
    <xf numFmtId="172" fontId="35" fillId="0" borderId="0" xfId="2" applyNumberFormat="1" applyFont="1" applyBorder="1" applyAlignment="1" applyProtection="1">
      <alignment horizontal="center" vertical="center"/>
    </xf>
    <xf numFmtId="168" fontId="25" fillId="0" borderId="0" xfId="2" applyNumberFormat="1" applyFont="1" applyBorder="1" applyAlignment="1" applyProtection="1">
      <alignment horizontal="center"/>
    </xf>
    <xf numFmtId="0" fontId="28" fillId="0" borderId="10" xfId="0" applyFont="1" applyBorder="1" applyAlignment="1">
      <alignment horizontal="left" vertical="center"/>
    </xf>
    <xf numFmtId="0" fontId="29" fillId="12" borderId="2" xfId="4" applyFont="1" applyFill="1" applyBorder="1" applyAlignment="1">
      <alignment horizontal="left" vertical="center" wrapText="1"/>
    </xf>
    <xf numFmtId="165" fontId="25" fillId="0" borderId="15" xfId="1" applyNumberFormat="1" applyFont="1" applyBorder="1" applyAlignment="1" applyProtection="1">
      <alignment horizontal="center" vertical="center"/>
    </xf>
    <xf numFmtId="0" fontId="33" fillId="11" borderId="11" xfId="4" applyFont="1" applyFill="1" applyBorder="1" applyAlignment="1">
      <alignment horizontal="center" vertical="center"/>
    </xf>
    <xf numFmtId="0" fontId="29" fillId="12" borderId="1" xfId="4" applyFont="1" applyFill="1" applyBorder="1" applyAlignment="1">
      <alignment horizontal="left" vertical="center" wrapText="1"/>
    </xf>
    <xf numFmtId="168" fontId="32" fillId="12" borderId="1" xfId="4" applyNumberFormat="1" applyFont="1" applyFill="1" applyBorder="1" applyAlignment="1">
      <alignment horizontal="center" vertical="center" wrapText="1"/>
    </xf>
    <xf numFmtId="165" fontId="32" fillId="12" borderId="1" xfId="4" applyNumberFormat="1" applyFont="1" applyFill="1" applyBorder="1" applyAlignment="1">
      <alignment horizontal="center" vertical="center" wrapText="1"/>
    </xf>
    <xf numFmtId="168" fontId="29" fillId="12" borderId="1" xfId="4" applyNumberFormat="1" applyFont="1" applyFill="1" applyBorder="1" applyAlignment="1">
      <alignment horizontal="center" vertical="center" wrapText="1"/>
    </xf>
    <xf numFmtId="168" fontId="29" fillId="12" borderId="1" xfId="2" applyNumberFormat="1" applyFont="1" applyFill="1" applyBorder="1" applyAlignment="1" applyProtection="1">
      <alignment horizontal="center" vertical="center"/>
    </xf>
    <xf numFmtId="165" fontId="29" fillId="12" borderId="1" xfId="1" applyNumberFormat="1" applyFont="1" applyFill="1" applyBorder="1" applyAlignment="1" applyProtection="1">
      <alignment horizontal="center" vertical="center"/>
    </xf>
    <xf numFmtId="0" fontId="0" fillId="0" borderId="0" xfId="0" applyBorder="1"/>
    <xf numFmtId="0" fontId="34" fillId="11" borderId="32" xfId="4" applyFont="1" applyFill="1" applyBorder="1" applyAlignment="1">
      <alignment horizontal="center"/>
    </xf>
    <xf numFmtId="0" fontId="34" fillId="11" borderId="33" xfId="4" applyFont="1" applyFill="1" applyBorder="1" applyAlignment="1">
      <alignment horizontal="center"/>
    </xf>
    <xf numFmtId="0" fontId="34" fillId="11" borderId="34" xfId="4" applyFont="1" applyFill="1" applyBorder="1" applyAlignment="1">
      <alignment horizontal="center"/>
    </xf>
    <xf numFmtId="165" fontId="25" fillId="0" borderId="18" xfId="1" applyNumberFormat="1" applyFont="1" applyBorder="1" applyAlignment="1" applyProtection="1">
      <alignment horizontal="center" vertical="center"/>
    </xf>
    <xf numFmtId="165" fontId="25" fillId="0" borderId="1" xfId="1" applyNumberFormat="1" applyFont="1" applyBorder="1" applyAlignment="1" applyProtection="1">
      <alignment horizontal="center" vertical="center" wrapText="1"/>
    </xf>
    <xf numFmtId="168" fontId="25" fillId="9" borderId="5" xfId="2" applyNumberFormat="1" applyFont="1" applyFill="1" applyBorder="1" applyAlignment="1" applyProtection="1">
      <alignment horizontal="center"/>
    </xf>
    <xf numFmtId="0" fontId="25" fillId="9" borderId="4" xfId="4" applyFont="1" applyFill="1" applyBorder="1" applyAlignment="1">
      <alignment horizontal="center" vertical="center"/>
    </xf>
    <xf numFmtId="0" fontId="25" fillId="9" borderId="7" xfId="4" applyFont="1" applyFill="1" applyBorder="1" applyAlignment="1">
      <alignment horizontal="center" vertical="center"/>
    </xf>
    <xf numFmtId="168" fontId="25" fillId="9" borderId="7" xfId="2" applyNumberFormat="1" applyFont="1" applyFill="1" applyBorder="1" applyAlignment="1" applyProtection="1">
      <alignment horizontal="center"/>
    </xf>
    <xf numFmtId="0" fontId="25" fillId="9" borderId="0" xfId="4" applyFont="1" applyFill="1" applyBorder="1"/>
    <xf numFmtId="170" fontId="25" fillId="9" borderId="0" xfId="4" applyNumberFormat="1" applyFont="1" applyFill="1" applyBorder="1"/>
    <xf numFmtId="0" fontId="25" fillId="9" borderId="0" xfId="4" applyFont="1" applyFill="1" applyBorder="1" applyAlignment="1">
      <alignment horizontal="center" vertical="center"/>
    </xf>
    <xf numFmtId="0" fontId="25" fillId="0" borderId="0" xfId="4" applyFont="1" applyBorder="1"/>
    <xf numFmtId="168" fontId="25" fillId="9" borderId="35" xfId="2" applyNumberFormat="1" applyFont="1" applyFill="1" applyBorder="1" applyAlignment="1" applyProtection="1">
      <alignment horizontal="center"/>
    </xf>
    <xf numFmtId="172" fontId="35" fillId="0" borderId="8" xfId="2" applyNumberFormat="1" applyFont="1" applyBorder="1" applyAlignment="1" applyProtection="1">
      <alignment horizontal="center" vertical="center"/>
    </xf>
    <xf numFmtId="168" fontId="25" fillId="9" borderId="11" xfId="2" applyNumberFormat="1" applyFont="1" applyFill="1" applyBorder="1" applyAlignment="1" applyProtection="1">
      <alignment horizontal="center"/>
    </xf>
    <xf numFmtId="168" fontId="25" fillId="9" borderId="12" xfId="2" applyNumberFormat="1" applyFont="1" applyFill="1" applyBorder="1" applyAlignment="1" applyProtection="1">
      <alignment horizontal="center"/>
    </xf>
    <xf numFmtId="0" fontId="25" fillId="0" borderId="12" xfId="4" applyFont="1" applyBorder="1"/>
    <xf numFmtId="172" fontId="35" fillId="0" borderId="13" xfId="2" applyNumberFormat="1" applyFont="1" applyBorder="1" applyAlignment="1" applyProtection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9" fillId="9" borderId="1" xfId="4" applyFont="1" applyFill="1" applyBorder="1" applyAlignment="1">
      <alignment horizontal="center" vertical="center"/>
    </xf>
    <xf numFmtId="0" fontId="28" fillId="0" borderId="1" xfId="4" applyFont="1" applyBorder="1" applyAlignment="1">
      <alignment horizontal="center" vertical="center"/>
    </xf>
    <xf numFmtId="0" fontId="30" fillId="11" borderId="1" xfId="4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3" fontId="28" fillId="0" borderId="1" xfId="2" applyNumberFormat="1" applyFont="1" applyBorder="1" applyAlignment="1" applyProtection="1">
      <alignment horizontal="center" vertical="center"/>
    </xf>
    <xf numFmtId="0" fontId="26" fillId="10" borderId="32" xfId="0" applyFont="1" applyFill="1" applyBorder="1" applyAlignment="1">
      <alignment horizontal="center"/>
    </xf>
    <xf numFmtId="49" fontId="27" fillId="10" borderId="27" xfId="0" applyNumberFormat="1" applyFont="1" applyFill="1" applyBorder="1" applyAlignment="1">
      <alignment horizontal="center" vertical="center" wrapText="1"/>
    </xf>
    <xf numFmtId="169" fontId="27" fillId="10" borderId="28" xfId="0" applyNumberFormat="1" applyFont="1" applyFill="1" applyBorder="1" applyAlignment="1">
      <alignment horizontal="center" vertical="center" wrapText="1"/>
    </xf>
    <xf numFmtId="49" fontId="27" fillId="10" borderId="36" xfId="0" applyNumberFormat="1" applyFont="1" applyFill="1" applyBorder="1" applyAlignment="1">
      <alignment horizontal="center" vertical="center" wrapText="1"/>
    </xf>
    <xf numFmtId="49" fontId="27" fillId="10" borderId="15" xfId="0" applyNumberFormat="1" applyFont="1" applyFill="1" applyBorder="1" applyAlignment="1">
      <alignment horizontal="center" vertical="center" wrapText="1"/>
    </xf>
    <xf numFmtId="49" fontId="27" fillId="10" borderId="30" xfId="0" applyNumberFormat="1" applyFont="1" applyFill="1" applyBorder="1" applyAlignment="1">
      <alignment horizontal="center" vertical="center" wrapText="1"/>
    </xf>
    <xf numFmtId="165" fontId="31" fillId="0" borderId="1" xfId="2" applyNumberFormat="1" applyFont="1" applyBorder="1" applyAlignment="1" applyProtection="1">
      <alignment horizontal="center" vertical="center"/>
    </xf>
    <xf numFmtId="0" fontId="28" fillId="0" borderId="20" xfId="0" applyFont="1" applyBorder="1" applyAlignment="1">
      <alignment horizontal="left" vertical="center"/>
    </xf>
    <xf numFmtId="165" fontId="31" fillId="0" borderId="19" xfId="1" applyNumberFormat="1" applyFont="1" applyBorder="1" applyAlignment="1" applyProtection="1">
      <alignment horizontal="center" vertical="center"/>
    </xf>
    <xf numFmtId="3" fontId="28" fillId="0" borderId="19" xfId="1" applyNumberFormat="1" applyFont="1" applyBorder="1" applyAlignment="1" applyProtection="1">
      <alignment horizontal="center" vertical="center"/>
    </xf>
    <xf numFmtId="0" fontId="30" fillId="11" borderId="37" xfId="4" applyFont="1" applyFill="1" applyBorder="1" applyAlignment="1">
      <alignment horizontal="center" vertical="center"/>
    </xf>
    <xf numFmtId="10" fontId="29" fillId="12" borderId="30" xfId="4" applyNumberFormat="1" applyFont="1" applyFill="1" applyBorder="1" applyAlignment="1">
      <alignment horizontal="center" vertical="center" wrapText="1"/>
    </xf>
    <xf numFmtId="172" fontId="35" fillId="0" borderId="38" xfId="2" applyNumberFormat="1" applyFont="1" applyBorder="1" applyAlignment="1" applyProtection="1">
      <alignment horizontal="center" vertical="center"/>
    </xf>
    <xf numFmtId="0" fontId="34" fillId="11" borderId="29" xfId="4" applyFont="1" applyFill="1" applyBorder="1" applyAlignment="1">
      <alignment horizontal="center"/>
    </xf>
    <xf numFmtId="0" fontId="34" fillId="11" borderId="24" xfId="4" applyFont="1" applyFill="1" applyBorder="1" applyAlignment="1">
      <alignment horizontal="center"/>
    </xf>
    <xf numFmtId="0" fontId="34" fillId="11" borderId="21" xfId="4" applyFont="1" applyFill="1" applyBorder="1" applyAlignment="1">
      <alignment horizontal="center"/>
    </xf>
    <xf numFmtId="165" fontId="25" fillId="0" borderId="31" xfId="1" applyNumberFormat="1" applyFont="1" applyBorder="1" applyAlignment="1" applyProtection="1">
      <alignment horizontal="center" vertical="center" wrapText="1"/>
    </xf>
    <xf numFmtId="165" fontId="25" fillId="0" borderId="25" xfId="1" applyNumberFormat="1" applyFont="1" applyBorder="1" applyAlignment="1" applyProtection="1">
      <alignment horizontal="center" vertical="center" wrapText="1"/>
    </xf>
    <xf numFmtId="165" fontId="25" fillId="0" borderId="39" xfId="1" applyNumberFormat="1" applyFont="1" applyBorder="1" applyAlignment="1" applyProtection="1">
      <alignment horizontal="center" vertical="center" wrapText="1"/>
    </xf>
    <xf numFmtId="165" fontId="25" fillId="0" borderId="22" xfId="1" applyNumberFormat="1" applyFont="1" applyBorder="1" applyAlignment="1" applyProtection="1">
      <alignment horizontal="center" vertical="center" wrapText="1"/>
    </xf>
    <xf numFmtId="165" fontId="25" fillId="0" borderId="23" xfId="1" applyNumberFormat="1" applyFont="1" applyBorder="1" applyAlignment="1" applyProtection="1">
      <alignment horizontal="center" vertical="center" wrapText="1"/>
    </xf>
    <xf numFmtId="168" fontId="28" fillId="0" borderId="0" xfId="2" applyNumberFormat="1" applyFont="1" applyBorder="1" applyAlignment="1" applyProtection="1">
      <alignment vertical="center"/>
    </xf>
  </cellXfs>
  <cellStyles count="5">
    <cellStyle name="Millares 2" xfId="2" xr:uid="{00000000-0005-0000-0000-000006000000}"/>
    <cellStyle name="Normal" xfId="0" builtinId="0"/>
    <cellStyle name="Normal 2" xfId="3" xr:uid="{00000000-0005-0000-0000-000007000000}"/>
    <cellStyle name="Normal 2 2" xfId="4" xr:uid="{00000000-0005-0000-0000-000008000000}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DB9CA"/>
      <rgbColor rgb="FF7F7F7F"/>
      <rgbColor rgb="FF9999FF"/>
      <rgbColor rgb="FF993366"/>
      <rgbColor rgb="FFFFF2CC"/>
      <rgbColor rgb="FFE2F0D9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E7E6E6"/>
      <rgbColor rgb="FFD0CECE"/>
      <rgbColor rgb="FFFF99CC"/>
      <rgbColor rgb="FFC5E0B4"/>
      <rgbColor rgb="FFFFC7CE"/>
      <rgbColor rgb="FF2E75B6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003300"/>
      <rgbColor rgb="FF333300"/>
      <rgbColor rgb="FF843C0B"/>
      <rgbColor rgb="FF993366"/>
      <rgbColor rgb="FF44546A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523800</xdr:colOff>
      <xdr:row>12</xdr:row>
      <xdr:rowOff>1080</xdr:rowOff>
    </xdr:from>
    <xdr:to>
      <xdr:col>23</xdr:col>
      <xdr:colOff>38880</xdr:colOff>
      <xdr:row>14</xdr:row>
      <xdr:rowOff>126720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7816040" y="2296440"/>
          <a:ext cx="2287440" cy="50688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Relaves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13</xdr:col>
      <xdr:colOff>423000</xdr:colOff>
      <xdr:row>26</xdr:row>
      <xdr:rowOff>104040</xdr:rowOff>
    </xdr:from>
    <xdr:to>
      <xdr:col>13</xdr:col>
      <xdr:colOff>645120</xdr:colOff>
      <xdr:row>27</xdr:row>
      <xdr:rowOff>116640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0614240" y="5066640"/>
          <a:ext cx="222120" cy="203040"/>
        </a:xfrm>
        <a:prstGeom prst="ellipse">
          <a:avLst/>
        </a:prstGeom>
        <a:solidFill>
          <a:schemeClr val="accent1">
            <a:lumMod val="50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16</xdr:col>
      <xdr:colOff>612360</xdr:colOff>
      <xdr:row>3</xdr:row>
      <xdr:rowOff>61560</xdr:rowOff>
    </xdr:from>
    <xdr:to>
      <xdr:col>16</xdr:col>
      <xdr:colOff>630000</xdr:colOff>
      <xdr:row>7</xdr:row>
      <xdr:rowOff>38520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H="1">
          <a:off x="13032360" y="642600"/>
          <a:ext cx="18000" cy="73944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10</xdr:col>
      <xdr:colOff>750960</xdr:colOff>
      <xdr:row>8</xdr:row>
      <xdr:rowOff>8280</xdr:rowOff>
    </xdr:from>
    <xdr:to>
      <xdr:col>11</xdr:col>
      <xdr:colOff>567000</xdr:colOff>
      <xdr:row>10</xdr:row>
      <xdr:rowOff>160200</xdr:rowOff>
    </xdr:to>
    <xdr:sp macro="" textlink="">
      <xdr:nvSpPr>
        <xdr:cNvPr id="5" name="Triángulo isóscele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8157600" y="1541880"/>
          <a:ext cx="732240" cy="53280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10</xdr:col>
      <xdr:colOff>282240</xdr:colOff>
      <xdr:row>6</xdr:row>
      <xdr:rowOff>174960</xdr:rowOff>
    </xdr:from>
    <xdr:to>
      <xdr:col>11</xdr:col>
      <xdr:colOff>534600</xdr:colOff>
      <xdr:row>8</xdr:row>
      <xdr:rowOff>158760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7688880" y="1327320"/>
          <a:ext cx="1168560" cy="365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P55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10</xdr:col>
      <xdr:colOff>750960</xdr:colOff>
      <xdr:row>19</xdr:row>
      <xdr:rowOff>165960</xdr:rowOff>
    </xdr:from>
    <xdr:to>
      <xdr:col>11</xdr:col>
      <xdr:colOff>567000</xdr:colOff>
      <xdr:row>22</xdr:row>
      <xdr:rowOff>133560</xdr:rowOff>
    </xdr:to>
    <xdr:sp macro="" textlink="">
      <xdr:nvSpPr>
        <xdr:cNvPr id="7" name="Triángulo isósceles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8157600" y="3795120"/>
          <a:ext cx="732240" cy="5389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10</xdr:col>
      <xdr:colOff>243720</xdr:colOff>
      <xdr:row>18</xdr:row>
      <xdr:rowOff>173880</xdr:rowOff>
    </xdr:from>
    <xdr:to>
      <xdr:col>11</xdr:col>
      <xdr:colOff>496080</xdr:colOff>
      <xdr:row>20</xdr:row>
      <xdr:rowOff>157680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7650360" y="3612240"/>
          <a:ext cx="1168560" cy="365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Alianza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10</xdr:col>
      <xdr:colOff>743400</xdr:colOff>
      <xdr:row>30</xdr:row>
      <xdr:rowOff>1440</xdr:rowOff>
    </xdr:from>
    <xdr:to>
      <xdr:col>11</xdr:col>
      <xdr:colOff>559440</xdr:colOff>
      <xdr:row>32</xdr:row>
      <xdr:rowOff>154080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8150040" y="5725800"/>
          <a:ext cx="732240" cy="53388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10</xdr:col>
      <xdr:colOff>224280</xdr:colOff>
      <xdr:row>29</xdr:row>
      <xdr:rowOff>90360</xdr:rowOff>
    </xdr:from>
    <xdr:to>
      <xdr:col>11</xdr:col>
      <xdr:colOff>476640</xdr:colOff>
      <xdr:row>31</xdr:row>
      <xdr:rowOff>74160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7630920" y="5624280"/>
          <a:ext cx="1168560" cy="365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P40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11</xdr:col>
      <xdr:colOff>9720</xdr:colOff>
      <xdr:row>50</xdr:row>
      <xdr:rowOff>37440</xdr:rowOff>
    </xdr:from>
    <xdr:to>
      <xdr:col>11</xdr:col>
      <xdr:colOff>587880</xdr:colOff>
      <xdr:row>53</xdr:row>
      <xdr:rowOff>5040</xdr:rowOff>
    </xdr:to>
    <xdr:sp macro="" textlink="">
      <xdr:nvSpPr>
        <xdr:cNvPr id="11" name="Triángulo isósceles 1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8332560" y="9572040"/>
          <a:ext cx="578160" cy="5389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10</xdr:col>
      <xdr:colOff>282240</xdr:colOff>
      <xdr:row>50</xdr:row>
      <xdr:rowOff>42840</xdr:rowOff>
    </xdr:from>
    <xdr:to>
      <xdr:col>11</xdr:col>
      <xdr:colOff>98280</xdr:colOff>
      <xdr:row>51</xdr:row>
      <xdr:rowOff>132120</xdr:rowOff>
    </xdr:to>
    <xdr:sp macro="" textlink="">
      <xdr:nvSpPr>
        <xdr:cNvPr id="12" name="Rectángulo 13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7688880" y="9577440"/>
          <a:ext cx="732240" cy="2797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GC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16</xdr:col>
      <xdr:colOff>19080</xdr:colOff>
      <xdr:row>7</xdr:row>
      <xdr:rowOff>38880</xdr:rowOff>
    </xdr:from>
    <xdr:to>
      <xdr:col>17</xdr:col>
      <xdr:colOff>443880</xdr:colOff>
      <xdr:row>9</xdr:row>
      <xdr:rowOff>164520</xdr:rowOff>
    </xdr:to>
    <xdr:sp macro="" textlink="">
      <xdr:nvSpPr>
        <xdr:cNvPr id="13" name="Rectángulo 14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2439080" y="1382040"/>
          <a:ext cx="1167840" cy="50652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Rougher 1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16</xdr:col>
      <xdr:colOff>9360</xdr:colOff>
      <xdr:row>12</xdr:row>
      <xdr:rowOff>163440</xdr:rowOff>
    </xdr:from>
    <xdr:to>
      <xdr:col>17</xdr:col>
      <xdr:colOff>434160</xdr:colOff>
      <xdr:row>15</xdr:row>
      <xdr:rowOff>87840</xdr:rowOff>
    </xdr:to>
    <xdr:sp macro="" textlink="">
      <xdr:nvSpPr>
        <xdr:cNvPr id="14" name="Rectángulo 1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2429360" y="2458800"/>
          <a:ext cx="1167840" cy="49608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Rougher 2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711000</xdr:colOff>
      <xdr:row>26</xdr:row>
      <xdr:rowOff>114120</xdr:rowOff>
    </xdr:from>
    <xdr:to>
      <xdr:col>17</xdr:col>
      <xdr:colOff>489240</xdr:colOff>
      <xdr:row>29</xdr:row>
      <xdr:rowOff>58320</xdr:rowOff>
    </xdr:to>
    <xdr:sp macro="" textlink="">
      <xdr:nvSpPr>
        <xdr:cNvPr id="15" name="Rectángulo 16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12387960" y="5076720"/>
          <a:ext cx="1264320" cy="51552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HIDROSEPARACIÓN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709200</xdr:colOff>
      <xdr:row>33</xdr:row>
      <xdr:rowOff>110880</xdr:rowOff>
    </xdr:from>
    <xdr:to>
      <xdr:col>17</xdr:col>
      <xdr:colOff>487440</xdr:colOff>
      <xdr:row>36</xdr:row>
      <xdr:rowOff>55080</xdr:rowOff>
    </xdr:to>
    <xdr:sp macro="" textlink="">
      <xdr:nvSpPr>
        <xdr:cNvPr id="16" name="Rectángulo 1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2386160" y="6406920"/>
          <a:ext cx="1264320" cy="51552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FINISHER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716760</xdr:colOff>
      <xdr:row>40</xdr:row>
      <xdr:rowOff>1800</xdr:rowOff>
    </xdr:from>
    <xdr:to>
      <xdr:col>17</xdr:col>
      <xdr:colOff>495000</xdr:colOff>
      <xdr:row>42</xdr:row>
      <xdr:rowOff>126000</xdr:rowOff>
    </xdr:to>
    <xdr:sp macro="" textlink="">
      <xdr:nvSpPr>
        <xdr:cNvPr id="17" name="Rectángulo 1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2393720" y="7631280"/>
          <a:ext cx="1264320" cy="50508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FLOTACIÓN MAGNETICA 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640080</xdr:colOff>
      <xdr:row>49</xdr:row>
      <xdr:rowOff>64440</xdr:rowOff>
    </xdr:from>
    <xdr:to>
      <xdr:col>17</xdr:col>
      <xdr:colOff>418320</xdr:colOff>
      <xdr:row>52</xdr:row>
      <xdr:rowOff>8640</xdr:rowOff>
    </xdr:to>
    <xdr:sp macro="" textlink="">
      <xdr:nvSpPr>
        <xdr:cNvPr id="18" name="Rectángulo 19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2317040" y="9408600"/>
          <a:ext cx="1264320" cy="51552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ESPESADOR 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13</xdr:col>
      <xdr:colOff>14040</xdr:colOff>
      <xdr:row>56</xdr:row>
      <xdr:rowOff>114480</xdr:rowOff>
    </xdr:from>
    <xdr:to>
      <xdr:col>14</xdr:col>
      <xdr:colOff>64440</xdr:colOff>
      <xdr:row>57</xdr:row>
      <xdr:rowOff>267840</xdr:rowOff>
    </xdr:to>
    <xdr:sp macro="" textlink="">
      <xdr:nvSpPr>
        <xdr:cNvPr id="19" name="Triángulo isósceles 2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10205280" y="10849320"/>
          <a:ext cx="793080" cy="5533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12</xdr:col>
      <xdr:colOff>702360</xdr:colOff>
      <xdr:row>57</xdr:row>
      <xdr:rowOff>91440</xdr:rowOff>
    </xdr:from>
    <xdr:to>
      <xdr:col>14</xdr:col>
      <xdr:colOff>77400</xdr:colOff>
      <xdr:row>59</xdr:row>
      <xdr:rowOff>75240</xdr:rowOff>
    </xdr:to>
    <xdr:sp macro="" textlink="">
      <xdr:nvSpPr>
        <xdr:cNvPr id="20" name="Rectángulo 2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9941760" y="11226240"/>
          <a:ext cx="1069560" cy="7837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INTERMEDIO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16</xdr:col>
      <xdr:colOff>122760</xdr:colOff>
      <xdr:row>1</xdr:row>
      <xdr:rowOff>83880</xdr:rowOff>
    </xdr:from>
    <xdr:to>
      <xdr:col>17</xdr:col>
      <xdr:colOff>375120</xdr:colOff>
      <xdr:row>3</xdr:row>
      <xdr:rowOff>61560</xdr:rowOff>
    </xdr:to>
    <xdr:sp macro="" textlink="">
      <xdr:nvSpPr>
        <xdr:cNvPr id="21" name="Rectángulo 2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12542760" y="284040"/>
          <a:ext cx="995400" cy="35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1" strike="noStrike" spc="-1">
              <a:solidFill>
                <a:srgbClr val="000000"/>
              </a:solidFill>
              <a:latin typeface="Calibri"/>
            </a:rPr>
            <a:t>ALIMENTACIÓN CMCC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10</xdr:col>
      <xdr:colOff>194040</xdr:colOff>
      <xdr:row>9</xdr:row>
      <xdr:rowOff>74520</xdr:rowOff>
    </xdr:from>
    <xdr:to>
      <xdr:col>11</xdr:col>
      <xdr:colOff>133560</xdr:colOff>
      <xdr:row>9</xdr:row>
      <xdr:rowOff>84240</xdr:rowOff>
    </xdr:to>
    <xdr:cxnSp macro="">
      <xdr:nvCxnSpPr>
        <xdr:cNvPr id="22" name="Conector recto de flecha 23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>
          <a:off x="7600680" y="1798560"/>
          <a:ext cx="856080" cy="1008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10</xdr:col>
      <xdr:colOff>117720</xdr:colOff>
      <xdr:row>21</xdr:row>
      <xdr:rowOff>54360</xdr:rowOff>
    </xdr:from>
    <xdr:to>
      <xdr:col>11</xdr:col>
      <xdr:colOff>133560</xdr:colOff>
      <xdr:row>21</xdr:row>
      <xdr:rowOff>59040</xdr:rowOff>
    </xdr:to>
    <xdr:cxnSp macro="">
      <xdr:nvCxnSpPr>
        <xdr:cNvPr id="23" name="Conector recto de flecha 2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/>
      </xdr:nvCxnSpPr>
      <xdr:spPr>
        <a:xfrm>
          <a:off x="7524360" y="4064400"/>
          <a:ext cx="932400" cy="504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10</xdr:col>
      <xdr:colOff>11520</xdr:colOff>
      <xdr:row>31</xdr:row>
      <xdr:rowOff>77400</xdr:rowOff>
    </xdr:from>
    <xdr:to>
      <xdr:col>11</xdr:col>
      <xdr:colOff>125640</xdr:colOff>
      <xdr:row>31</xdr:row>
      <xdr:rowOff>87120</xdr:rowOff>
    </xdr:to>
    <xdr:cxnSp macro="">
      <xdr:nvCxnSpPr>
        <xdr:cNvPr id="24" name="Conector recto de flecha 25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 flipV="1">
          <a:off x="7418160" y="5992560"/>
          <a:ext cx="1030680" cy="1008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11</xdr:col>
      <xdr:colOff>422640</xdr:colOff>
      <xdr:row>21</xdr:row>
      <xdr:rowOff>59040</xdr:rowOff>
    </xdr:from>
    <xdr:to>
      <xdr:col>13</xdr:col>
      <xdr:colOff>423000</xdr:colOff>
      <xdr:row>27</xdr:row>
      <xdr:rowOff>19440</xdr:rowOff>
    </xdr:to>
    <xdr:cxnSp macro="">
      <xdr:nvCxnSpPr>
        <xdr:cNvPr id="25" name="Conector: angular 27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8745480" y="4069080"/>
          <a:ext cx="1869120" cy="1103760"/>
        </a:xfrm>
        <a:prstGeom prst="bentConnector3">
          <a:avLst>
            <a:gd name="adj1" fmla="val 50009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11</xdr:col>
      <xdr:colOff>415080</xdr:colOff>
      <xdr:row>27</xdr:row>
      <xdr:rowOff>19440</xdr:rowOff>
    </xdr:from>
    <xdr:to>
      <xdr:col>13</xdr:col>
      <xdr:colOff>423000</xdr:colOff>
      <xdr:row>31</xdr:row>
      <xdr:rowOff>77760</xdr:rowOff>
    </xdr:to>
    <xdr:cxnSp macro="">
      <xdr:nvCxnSpPr>
        <xdr:cNvPr id="26" name="Conector: angular 2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V="1">
          <a:off x="8737920" y="5172480"/>
          <a:ext cx="1876680" cy="82080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11</xdr:col>
      <xdr:colOff>443520</xdr:colOff>
      <xdr:row>27</xdr:row>
      <xdr:rowOff>19440</xdr:rowOff>
    </xdr:from>
    <xdr:to>
      <xdr:col>13</xdr:col>
      <xdr:colOff>423000</xdr:colOff>
      <xdr:row>51</xdr:row>
      <xdr:rowOff>111960</xdr:rowOff>
    </xdr:to>
    <xdr:cxnSp macro="">
      <xdr:nvCxnSpPr>
        <xdr:cNvPr id="27" name="Conector: angular 30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 rot="5400000" flipH="1" flipV="1">
          <a:off x="7357680" y="6580800"/>
          <a:ext cx="4664880" cy="1848240"/>
        </a:xfrm>
        <a:prstGeom prst="bentConnector3">
          <a:avLst>
            <a:gd name="adj1" fmla="val 49996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11</xdr:col>
      <xdr:colOff>422640</xdr:colOff>
      <xdr:row>9</xdr:row>
      <xdr:rowOff>84240</xdr:rowOff>
    </xdr:from>
    <xdr:to>
      <xdr:col>13</xdr:col>
      <xdr:colOff>423000</xdr:colOff>
      <xdr:row>27</xdr:row>
      <xdr:rowOff>19440</xdr:rowOff>
    </xdr:to>
    <xdr:cxnSp macro="">
      <xdr:nvCxnSpPr>
        <xdr:cNvPr id="28" name="Conector: angular 3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 rot="16200000" flipH="1">
          <a:off x="7997760" y="2555640"/>
          <a:ext cx="3364560" cy="1869120"/>
        </a:xfrm>
        <a:prstGeom prst="bentConnector3">
          <a:avLst>
            <a:gd name="adj1" fmla="val 50005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10</xdr:col>
      <xdr:colOff>95040</xdr:colOff>
      <xdr:row>51</xdr:row>
      <xdr:rowOff>113400</xdr:rowOff>
    </xdr:from>
    <xdr:to>
      <xdr:col>11</xdr:col>
      <xdr:colOff>154440</xdr:colOff>
      <xdr:row>51</xdr:row>
      <xdr:rowOff>113400</xdr:rowOff>
    </xdr:to>
    <xdr:cxnSp macro="">
      <xdr:nvCxnSpPr>
        <xdr:cNvPr id="29" name="Conector recto de flecha 3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>
          <a:off x="7501680" y="9838440"/>
          <a:ext cx="975960" cy="3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13</xdr:col>
      <xdr:colOff>455760</xdr:colOff>
      <xdr:row>27</xdr:row>
      <xdr:rowOff>116640</xdr:rowOff>
    </xdr:from>
    <xdr:to>
      <xdr:col>13</xdr:col>
      <xdr:colOff>534240</xdr:colOff>
      <xdr:row>56</xdr:row>
      <xdr:rowOff>114120</xdr:rowOff>
    </xdr:to>
    <xdr:cxnSp macro="">
      <xdr:nvCxnSpPr>
        <xdr:cNvPr id="30" name="Conector recto de flecha 33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flipV="1">
          <a:off x="10647000" y="5269680"/>
          <a:ext cx="78840" cy="557964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16</xdr:col>
      <xdr:colOff>600120</xdr:colOff>
      <xdr:row>23</xdr:row>
      <xdr:rowOff>36000</xdr:rowOff>
    </xdr:from>
    <xdr:to>
      <xdr:col>16</xdr:col>
      <xdr:colOff>603000</xdr:colOff>
      <xdr:row>26</xdr:row>
      <xdr:rowOff>113760</xdr:rowOff>
    </xdr:to>
    <xdr:cxnSp macro="">
      <xdr:nvCxnSpPr>
        <xdr:cNvPr id="31" name="Conector: angular 3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/>
      </xdr:nvCxnSpPr>
      <xdr:spPr>
        <a:xfrm rot="5400000">
          <a:off x="12696840" y="4750200"/>
          <a:ext cx="649800" cy="324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16</xdr:col>
      <xdr:colOff>646200</xdr:colOff>
      <xdr:row>9</xdr:row>
      <xdr:rowOff>164520</xdr:rowOff>
    </xdr:from>
    <xdr:to>
      <xdr:col>16</xdr:col>
      <xdr:colOff>651600</xdr:colOff>
      <xdr:row>12</xdr:row>
      <xdr:rowOff>67680</xdr:rowOff>
    </xdr:to>
    <xdr:cxnSp macro="">
      <xdr:nvCxnSpPr>
        <xdr:cNvPr id="32" name="Conector recto de flecha 35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>
          <a:off x="13066200" y="1888560"/>
          <a:ext cx="5760" cy="47484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16</xdr:col>
      <xdr:colOff>636840</xdr:colOff>
      <xdr:row>15</xdr:row>
      <xdr:rowOff>88200</xdr:rowOff>
    </xdr:from>
    <xdr:to>
      <xdr:col>16</xdr:col>
      <xdr:colOff>636840</xdr:colOff>
      <xdr:row>21</xdr:row>
      <xdr:rowOff>36720</xdr:rowOff>
    </xdr:to>
    <xdr:cxnSp macro="">
      <xdr:nvCxnSpPr>
        <xdr:cNvPr id="33" name="Conector recto de flecha 36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CxnSpPr/>
      </xdr:nvCxnSpPr>
      <xdr:spPr>
        <a:xfrm>
          <a:off x="13056840" y="2955240"/>
          <a:ext cx="360" cy="109188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16</xdr:col>
      <xdr:colOff>598320</xdr:colOff>
      <xdr:row>29</xdr:row>
      <xdr:rowOff>58320</xdr:rowOff>
    </xdr:from>
    <xdr:to>
      <xdr:col>16</xdr:col>
      <xdr:colOff>600120</xdr:colOff>
      <xdr:row>33</xdr:row>
      <xdr:rowOff>110880</xdr:rowOff>
    </xdr:to>
    <xdr:cxnSp macro="">
      <xdr:nvCxnSpPr>
        <xdr:cNvPr id="34" name="Conector recto de flecha 37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/>
      </xdr:nvCxnSpPr>
      <xdr:spPr>
        <a:xfrm flipH="1">
          <a:off x="13018320" y="5592240"/>
          <a:ext cx="2160" cy="81504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16</xdr:col>
      <xdr:colOff>598320</xdr:colOff>
      <xdr:row>36</xdr:row>
      <xdr:rowOff>55440</xdr:rowOff>
    </xdr:from>
    <xdr:to>
      <xdr:col>16</xdr:col>
      <xdr:colOff>606240</xdr:colOff>
      <xdr:row>40</xdr:row>
      <xdr:rowOff>1440</xdr:rowOff>
    </xdr:to>
    <xdr:cxnSp macro="">
      <xdr:nvCxnSpPr>
        <xdr:cNvPr id="35" name="Conector recto de flecha 38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>
          <a:off x="13018320" y="6922800"/>
          <a:ext cx="8280" cy="70848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16</xdr:col>
      <xdr:colOff>589320</xdr:colOff>
      <xdr:row>42</xdr:row>
      <xdr:rowOff>126000</xdr:rowOff>
    </xdr:from>
    <xdr:to>
      <xdr:col>16</xdr:col>
      <xdr:colOff>606240</xdr:colOff>
      <xdr:row>45</xdr:row>
      <xdr:rowOff>82080</xdr:rowOff>
    </xdr:to>
    <xdr:cxnSp macro="">
      <xdr:nvCxnSpPr>
        <xdr:cNvPr id="36" name="Conector recto de flecha 39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/>
      </xdr:nvCxnSpPr>
      <xdr:spPr>
        <a:xfrm flipH="1">
          <a:off x="13009320" y="8136360"/>
          <a:ext cx="17280" cy="52812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15</xdr:col>
      <xdr:colOff>640080</xdr:colOff>
      <xdr:row>46</xdr:row>
      <xdr:rowOff>87120</xdr:rowOff>
    </xdr:from>
    <xdr:to>
      <xdr:col>15</xdr:col>
      <xdr:colOff>674280</xdr:colOff>
      <xdr:row>50</xdr:row>
      <xdr:rowOff>133920</xdr:rowOff>
    </xdr:to>
    <xdr:cxnSp macro="">
      <xdr:nvCxnSpPr>
        <xdr:cNvPr id="37" name="Conector: angular 40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/>
      </xdr:nvCxnSpPr>
      <xdr:spPr>
        <a:xfrm rot="5400000" flipH="1" flipV="1">
          <a:off x="11929320" y="9246960"/>
          <a:ext cx="809280" cy="34560"/>
        </a:xfrm>
        <a:prstGeom prst="bentConnector3">
          <a:avLst>
            <a:gd name="adj1" fmla="val 49977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13</xdr:col>
      <xdr:colOff>676440</xdr:colOff>
      <xdr:row>52</xdr:row>
      <xdr:rowOff>8640</xdr:rowOff>
    </xdr:from>
    <xdr:to>
      <xdr:col>16</xdr:col>
      <xdr:colOff>529200</xdr:colOff>
      <xdr:row>56</xdr:row>
      <xdr:rowOff>395640</xdr:rowOff>
    </xdr:to>
    <xdr:cxnSp macro="">
      <xdr:nvCxnSpPr>
        <xdr:cNvPr id="38" name="Conector: angular 4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CxnSpPr/>
      </xdr:nvCxnSpPr>
      <xdr:spPr>
        <a:xfrm rot="10800000" flipV="1">
          <a:off x="10867680" y="9923760"/>
          <a:ext cx="2081880" cy="12067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17</xdr:col>
      <xdr:colOff>418680</xdr:colOff>
      <xdr:row>50</xdr:row>
      <xdr:rowOff>128520</xdr:rowOff>
    </xdr:from>
    <xdr:to>
      <xdr:col>17</xdr:col>
      <xdr:colOff>611280</xdr:colOff>
      <xdr:row>61</xdr:row>
      <xdr:rowOff>95760</xdr:rowOff>
    </xdr:to>
    <xdr:cxnSp macro="">
      <xdr:nvCxnSpPr>
        <xdr:cNvPr id="39" name="Conector: angular 4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CxnSpPr/>
      </xdr:nvCxnSpPr>
      <xdr:spPr>
        <a:xfrm rot="16200000" flipH="1">
          <a:off x="12094200" y="11150280"/>
          <a:ext cx="3168000" cy="192960"/>
        </a:xfrm>
        <a:prstGeom prst="bentConnector3">
          <a:avLst>
            <a:gd name="adj1" fmla="val 50005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17</xdr:col>
      <xdr:colOff>495360</xdr:colOff>
      <xdr:row>13</xdr:row>
      <xdr:rowOff>63720</xdr:rowOff>
    </xdr:from>
    <xdr:to>
      <xdr:col>21</xdr:col>
      <xdr:colOff>523800</xdr:colOff>
      <xdr:row>41</xdr:row>
      <xdr:rowOff>61560</xdr:rowOff>
    </xdr:to>
    <xdr:cxnSp macro="">
      <xdr:nvCxnSpPr>
        <xdr:cNvPr id="40" name="Conector: angular 4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 rot="5400000" flipH="1" flipV="1">
          <a:off x="13071240" y="3137040"/>
          <a:ext cx="5331960" cy="415800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17</xdr:col>
      <xdr:colOff>487440</xdr:colOff>
      <xdr:row>13</xdr:row>
      <xdr:rowOff>63720</xdr:rowOff>
    </xdr:from>
    <xdr:to>
      <xdr:col>21</xdr:col>
      <xdr:colOff>523800</xdr:colOff>
      <xdr:row>34</xdr:row>
      <xdr:rowOff>173880</xdr:rowOff>
    </xdr:to>
    <xdr:cxnSp macro="">
      <xdr:nvCxnSpPr>
        <xdr:cNvPr id="41" name="Conector: angular 44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CxnSpPr/>
      </xdr:nvCxnSpPr>
      <xdr:spPr>
        <a:xfrm flipV="1">
          <a:off x="13650480" y="2549880"/>
          <a:ext cx="4165920" cy="4110840"/>
        </a:xfrm>
        <a:prstGeom prst="bentConnector3">
          <a:avLst>
            <a:gd name="adj1" fmla="val 50004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17</xdr:col>
      <xdr:colOff>489600</xdr:colOff>
      <xdr:row>13</xdr:row>
      <xdr:rowOff>63720</xdr:rowOff>
    </xdr:from>
    <xdr:to>
      <xdr:col>21</xdr:col>
      <xdr:colOff>523800</xdr:colOff>
      <xdr:row>27</xdr:row>
      <xdr:rowOff>176760</xdr:rowOff>
    </xdr:to>
    <xdr:cxnSp macro="">
      <xdr:nvCxnSpPr>
        <xdr:cNvPr id="42" name="Conector: angular 45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CxnSpPr/>
      </xdr:nvCxnSpPr>
      <xdr:spPr>
        <a:xfrm flipV="1">
          <a:off x="13652640" y="2549880"/>
          <a:ext cx="4163760" cy="2780280"/>
        </a:xfrm>
        <a:prstGeom prst="bentConnector3">
          <a:avLst>
            <a:gd name="adj1" fmla="val 50004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17</xdr:col>
      <xdr:colOff>434520</xdr:colOff>
      <xdr:row>13</xdr:row>
      <xdr:rowOff>63720</xdr:rowOff>
    </xdr:from>
    <xdr:to>
      <xdr:col>21</xdr:col>
      <xdr:colOff>523800</xdr:colOff>
      <xdr:row>14</xdr:row>
      <xdr:rowOff>28440</xdr:rowOff>
    </xdr:to>
    <xdr:cxnSp macro="">
      <xdr:nvCxnSpPr>
        <xdr:cNvPr id="43" name="Conector: angular 46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/>
      </xdr:nvCxnSpPr>
      <xdr:spPr>
        <a:xfrm flipV="1">
          <a:off x="13597560" y="2549880"/>
          <a:ext cx="4218840" cy="1555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17</xdr:col>
      <xdr:colOff>443880</xdr:colOff>
      <xdr:row>8</xdr:row>
      <xdr:rowOff>101520</xdr:rowOff>
    </xdr:from>
    <xdr:to>
      <xdr:col>21</xdr:col>
      <xdr:colOff>523800</xdr:colOff>
      <xdr:row>13</xdr:row>
      <xdr:rowOff>63720</xdr:rowOff>
    </xdr:to>
    <xdr:cxnSp macro="">
      <xdr:nvCxnSpPr>
        <xdr:cNvPr id="44" name="Conector: angular 47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/>
      </xdr:nvCxnSpPr>
      <xdr:spPr>
        <a:xfrm>
          <a:off x="13606920" y="1635120"/>
          <a:ext cx="4209480" cy="9151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13</xdr:col>
      <xdr:colOff>559800</xdr:colOff>
      <xdr:row>22</xdr:row>
      <xdr:rowOff>36360</xdr:rowOff>
    </xdr:from>
    <xdr:to>
      <xdr:col>16</xdr:col>
      <xdr:colOff>63360</xdr:colOff>
      <xdr:row>26</xdr:row>
      <xdr:rowOff>137520</xdr:rowOff>
    </xdr:to>
    <xdr:cxnSp macro="">
      <xdr:nvCxnSpPr>
        <xdr:cNvPr id="45" name="Conector: angular 5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/>
      </xdr:nvCxnSpPr>
      <xdr:spPr>
        <a:xfrm flipV="1">
          <a:off x="10751040" y="4236840"/>
          <a:ext cx="1732680" cy="86364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16</xdr:col>
      <xdr:colOff>63360</xdr:colOff>
      <xdr:row>21</xdr:row>
      <xdr:rowOff>37080</xdr:rowOff>
    </xdr:from>
    <xdr:to>
      <xdr:col>17</xdr:col>
      <xdr:colOff>380160</xdr:colOff>
      <xdr:row>23</xdr:row>
      <xdr:rowOff>36000</xdr:rowOff>
    </xdr:to>
    <xdr:sp macro="" textlink="">
      <xdr:nvSpPr>
        <xdr:cNvPr id="46" name="Rectángulo 66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12483360" y="4047120"/>
          <a:ext cx="1059840" cy="37980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Molienda /clasif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17</xdr:col>
      <xdr:colOff>380520</xdr:colOff>
      <xdr:row>13</xdr:row>
      <xdr:rowOff>63720</xdr:rowOff>
    </xdr:from>
    <xdr:to>
      <xdr:col>21</xdr:col>
      <xdr:colOff>523800</xdr:colOff>
      <xdr:row>22</xdr:row>
      <xdr:rowOff>36360</xdr:rowOff>
    </xdr:to>
    <xdr:cxnSp macro="">
      <xdr:nvCxnSpPr>
        <xdr:cNvPr id="47" name="Conector: angular 69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 flipV="1">
          <a:off x="13543560" y="2549880"/>
          <a:ext cx="4272840" cy="16873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10</xdr:col>
      <xdr:colOff>578520</xdr:colOff>
      <xdr:row>57</xdr:row>
      <xdr:rowOff>28440</xdr:rowOff>
    </xdr:from>
    <xdr:to>
      <xdr:col>11</xdr:col>
      <xdr:colOff>578880</xdr:colOff>
      <xdr:row>59</xdr:row>
      <xdr:rowOff>155160</xdr:rowOff>
    </xdr:to>
    <xdr:sp macro="" textlink="">
      <xdr:nvSpPr>
        <xdr:cNvPr id="48" name="Triángulo isósceles 79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7985160" y="11163240"/>
          <a:ext cx="916560" cy="92664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10</xdr:col>
      <xdr:colOff>706680</xdr:colOff>
      <xdr:row>64</xdr:row>
      <xdr:rowOff>135360</xdr:rowOff>
    </xdr:from>
    <xdr:to>
      <xdr:col>11</xdr:col>
      <xdr:colOff>522720</xdr:colOff>
      <xdr:row>67</xdr:row>
      <xdr:rowOff>102960</xdr:rowOff>
    </xdr:to>
    <xdr:sp macro="" textlink="">
      <xdr:nvSpPr>
        <xdr:cNvPr id="49" name="Triángulo isósceles 80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8113320" y="14070600"/>
          <a:ext cx="732240" cy="7675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10</xdr:col>
      <xdr:colOff>676800</xdr:colOff>
      <xdr:row>71</xdr:row>
      <xdr:rowOff>87480</xdr:rowOff>
    </xdr:from>
    <xdr:to>
      <xdr:col>11</xdr:col>
      <xdr:colOff>492840</xdr:colOff>
      <xdr:row>74</xdr:row>
      <xdr:rowOff>51840</xdr:rowOff>
    </xdr:to>
    <xdr:sp macro="" textlink="">
      <xdr:nvSpPr>
        <xdr:cNvPr id="50" name="Triángulo isósceles 8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/>
      </xdr:nvSpPr>
      <xdr:spPr>
        <a:xfrm>
          <a:off x="8083440" y="15651360"/>
          <a:ext cx="732240" cy="58356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9</xdr:col>
      <xdr:colOff>380880</xdr:colOff>
      <xdr:row>59</xdr:row>
      <xdr:rowOff>32040</xdr:rowOff>
    </xdr:from>
    <xdr:to>
      <xdr:col>10</xdr:col>
      <xdr:colOff>595440</xdr:colOff>
      <xdr:row>59</xdr:row>
      <xdr:rowOff>32040</xdr:rowOff>
    </xdr:to>
    <xdr:cxnSp macro="">
      <xdr:nvCxnSpPr>
        <xdr:cNvPr id="51" name="Conector recto de flecha 55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>
          <a:off x="7044480" y="11966760"/>
          <a:ext cx="957960" cy="3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10</xdr:col>
      <xdr:colOff>16920</xdr:colOff>
      <xdr:row>66</xdr:row>
      <xdr:rowOff>97920</xdr:rowOff>
    </xdr:from>
    <xdr:to>
      <xdr:col>11</xdr:col>
      <xdr:colOff>57240</xdr:colOff>
      <xdr:row>66</xdr:row>
      <xdr:rowOff>97920</xdr:rowOff>
    </xdr:to>
    <xdr:cxnSp macro="">
      <xdr:nvCxnSpPr>
        <xdr:cNvPr id="52" name="Conector recto de flecha 57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>
          <a:off x="7423560" y="14632920"/>
          <a:ext cx="956880" cy="3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10</xdr:col>
      <xdr:colOff>12600</xdr:colOff>
      <xdr:row>73</xdr:row>
      <xdr:rowOff>23400</xdr:rowOff>
    </xdr:from>
    <xdr:to>
      <xdr:col>11</xdr:col>
      <xdr:colOff>72000</xdr:colOff>
      <xdr:row>73</xdr:row>
      <xdr:rowOff>23400</xdr:rowOff>
    </xdr:to>
    <xdr:cxnSp macro="">
      <xdr:nvCxnSpPr>
        <xdr:cNvPr id="53" name="Conector recto de flecha 58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/>
      </xdr:nvCxnSpPr>
      <xdr:spPr>
        <a:xfrm>
          <a:off x="7419240" y="16016040"/>
          <a:ext cx="975960" cy="3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11</xdr:col>
      <xdr:colOff>331920</xdr:colOff>
      <xdr:row>27</xdr:row>
      <xdr:rowOff>174600</xdr:rowOff>
    </xdr:from>
    <xdr:to>
      <xdr:col>12</xdr:col>
      <xdr:colOff>492120</xdr:colOff>
      <xdr:row>58</xdr:row>
      <xdr:rowOff>91440</xdr:rowOff>
    </xdr:to>
    <xdr:cxnSp macro="">
      <xdr:nvCxnSpPr>
        <xdr:cNvPr id="54" name="Conector: angular 59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/>
      </xdr:nvCxnSpPr>
      <xdr:spPr>
        <a:xfrm rot="5400000" flipH="1" flipV="1">
          <a:off x="6043680" y="7938720"/>
          <a:ext cx="6298920" cy="10771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11</xdr:col>
      <xdr:colOff>378360</xdr:colOff>
      <xdr:row>28</xdr:row>
      <xdr:rowOff>79200</xdr:rowOff>
    </xdr:from>
    <xdr:to>
      <xdr:col>12</xdr:col>
      <xdr:colOff>475920</xdr:colOff>
      <xdr:row>66</xdr:row>
      <xdr:rowOff>23760</xdr:rowOff>
    </xdr:to>
    <xdr:cxnSp macro="">
      <xdr:nvCxnSpPr>
        <xdr:cNvPr id="55" name="Conector: angular 61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/>
      </xdr:nvCxnSpPr>
      <xdr:spPr>
        <a:xfrm rot="5400000" flipH="1" flipV="1">
          <a:off x="4640040" y="9483840"/>
          <a:ext cx="9136440" cy="101448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11</xdr:col>
      <xdr:colOff>348480</xdr:colOff>
      <xdr:row>28</xdr:row>
      <xdr:rowOff>183240</xdr:rowOff>
    </xdr:from>
    <xdr:to>
      <xdr:col>12</xdr:col>
      <xdr:colOff>512640</xdr:colOff>
      <xdr:row>72</xdr:row>
      <xdr:rowOff>162000</xdr:rowOff>
    </xdr:to>
    <xdr:cxnSp macro="">
      <xdr:nvCxnSpPr>
        <xdr:cNvPr id="56" name="Conector: angular 6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CxnSpPr/>
      </xdr:nvCxnSpPr>
      <xdr:spPr>
        <a:xfrm rot="5400000" flipH="1" flipV="1">
          <a:off x="4016880" y="10181160"/>
          <a:ext cx="10389960" cy="108108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14</xdr:col>
      <xdr:colOff>29160</xdr:colOff>
      <xdr:row>14</xdr:row>
      <xdr:rowOff>171000</xdr:rowOff>
    </xdr:from>
    <xdr:to>
      <xdr:col>15</xdr:col>
      <xdr:colOff>98640</xdr:colOff>
      <xdr:row>18</xdr:row>
      <xdr:rowOff>56520</xdr:rowOff>
    </xdr:to>
    <xdr:sp macro="" textlink="">
      <xdr:nvSpPr>
        <xdr:cNvPr id="57" name="Rectángulo 50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10963080" y="2847600"/>
          <a:ext cx="812520" cy="64728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100" b="0" strike="noStrike" spc="-1">
              <a:solidFill>
                <a:srgbClr val="000000"/>
              </a:solidFill>
              <a:latin typeface="Calibri"/>
            </a:rPr>
            <a:t>Desaguado</a:t>
          </a:r>
          <a:endParaRPr lang="es-CL" sz="1100" b="0" strike="noStrike" spc="-1">
            <a:latin typeface="Times New Roman"/>
          </a:endParaRPr>
        </a:p>
      </xdr:txBody>
    </xdr:sp>
    <xdr:clientData/>
  </xdr:twoCellAnchor>
  <xdr:twoCellAnchor>
    <xdr:from>
      <xdr:col>14</xdr:col>
      <xdr:colOff>542520</xdr:colOff>
      <xdr:row>18</xdr:row>
      <xdr:rowOff>56520</xdr:rowOff>
    </xdr:from>
    <xdr:to>
      <xdr:col>15</xdr:col>
      <xdr:colOff>710640</xdr:colOff>
      <xdr:row>27</xdr:row>
      <xdr:rowOff>183600</xdr:rowOff>
    </xdr:to>
    <xdr:cxnSp macro="">
      <xdr:nvCxnSpPr>
        <xdr:cNvPr id="58" name="Conector: angular 6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/>
      </xdr:nvCxnSpPr>
      <xdr:spPr>
        <a:xfrm rot="16200000" flipH="1">
          <a:off x="11010960" y="3960000"/>
          <a:ext cx="1842120" cy="911520"/>
        </a:xfrm>
        <a:prstGeom prst="bentConnector3">
          <a:avLst>
            <a:gd name="adj1" fmla="val 50000"/>
          </a:avLst>
        </a:prstGeom>
        <a:ln w="12700"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14</xdr:col>
      <xdr:colOff>52920</xdr:colOff>
      <xdr:row>12</xdr:row>
      <xdr:rowOff>75960</xdr:rowOff>
    </xdr:from>
    <xdr:to>
      <xdr:col>14</xdr:col>
      <xdr:colOff>66240</xdr:colOff>
      <xdr:row>16</xdr:row>
      <xdr:rowOff>111600</xdr:rowOff>
    </xdr:to>
    <xdr:cxnSp macro="">
      <xdr:nvCxnSpPr>
        <xdr:cNvPr id="59" name="Conector recto de flecha 70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CxnSpPr/>
      </xdr:nvCxnSpPr>
      <xdr:spPr>
        <a:xfrm flipH="1" flipV="1">
          <a:off x="10986840" y="2371320"/>
          <a:ext cx="13680" cy="798120"/>
        </a:xfrm>
        <a:prstGeom prst="straightConnector1">
          <a:avLst/>
        </a:prstGeom>
        <a:ln w="12700"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13</xdr:col>
      <xdr:colOff>86040</xdr:colOff>
      <xdr:row>8</xdr:row>
      <xdr:rowOff>182520</xdr:rowOff>
    </xdr:from>
    <xdr:to>
      <xdr:col>14</xdr:col>
      <xdr:colOff>52920</xdr:colOff>
      <xdr:row>12</xdr:row>
      <xdr:rowOff>40680</xdr:rowOff>
    </xdr:to>
    <xdr:sp macro="" textlink="">
      <xdr:nvSpPr>
        <xdr:cNvPr id="60" name="Triángulo isósceles 71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0277280" y="1716120"/>
          <a:ext cx="709560" cy="6199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13</xdr:col>
      <xdr:colOff>85680</xdr:colOff>
      <xdr:row>12</xdr:row>
      <xdr:rowOff>41040</xdr:rowOff>
    </xdr:from>
    <xdr:to>
      <xdr:col>13</xdr:col>
      <xdr:colOff>455400</xdr:colOff>
      <xdr:row>27</xdr:row>
      <xdr:rowOff>87120</xdr:rowOff>
    </xdr:to>
    <xdr:cxnSp macro="">
      <xdr:nvCxnSpPr>
        <xdr:cNvPr id="61" name="Conector: angular 73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/>
      </xdr:nvCxnSpPr>
      <xdr:spPr>
        <a:xfrm rot="16200000" flipH="1">
          <a:off x="9009720" y="3603240"/>
          <a:ext cx="2904120" cy="370080"/>
        </a:xfrm>
        <a:prstGeom prst="bentConnector3">
          <a:avLst>
            <a:gd name="adj1" fmla="val 50000"/>
          </a:avLst>
        </a:prstGeom>
        <a:ln w="12700"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15</xdr:col>
      <xdr:colOff>699840</xdr:colOff>
      <xdr:row>45</xdr:row>
      <xdr:rowOff>82080</xdr:rowOff>
    </xdr:from>
    <xdr:to>
      <xdr:col>17</xdr:col>
      <xdr:colOff>478080</xdr:colOff>
      <xdr:row>48</xdr:row>
      <xdr:rowOff>15840</xdr:rowOff>
    </xdr:to>
    <xdr:sp macro="" textlink="">
      <xdr:nvSpPr>
        <xdr:cNvPr id="62" name="Rectángulo 18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12376800" y="8664120"/>
          <a:ext cx="1264320" cy="50508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FLOTACIÓN NEUMATICA 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16</xdr:col>
      <xdr:colOff>529920</xdr:colOff>
      <xdr:row>48</xdr:row>
      <xdr:rowOff>15840</xdr:rowOff>
    </xdr:from>
    <xdr:to>
      <xdr:col>16</xdr:col>
      <xdr:colOff>529920</xdr:colOff>
      <xdr:row>49</xdr:row>
      <xdr:rowOff>39600</xdr:rowOff>
    </xdr:to>
    <xdr:cxnSp macro="">
      <xdr:nvCxnSpPr>
        <xdr:cNvPr id="63" name="Conector recto de flecha 39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/>
      </xdr:nvCxnSpPr>
      <xdr:spPr>
        <a:xfrm>
          <a:off x="12949920" y="9169200"/>
          <a:ext cx="360" cy="21492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17</xdr:col>
      <xdr:colOff>478440</xdr:colOff>
      <xdr:row>14</xdr:row>
      <xdr:rowOff>126720</xdr:rowOff>
    </xdr:from>
    <xdr:to>
      <xdr:col>22</xdr:col>
      <xdr:colOff>281160</xdr:colOff>
      <xdr:row>46</xdr:row>
      <xdr:rowOff>146160</xdr:rowOff>
    </xdr:to>
    <xdr:cxnSp macro="">
      <xdr:nvCxnSpPr>
        <xdr:cNvPr id="64" name="Conector: angular 4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CxnSpPr/>
      </xdr:nvCxnSpPr>
      <xdr:spPr>
        <a:xfrm rot="5400000" flipH="1" flipV="1">
          <a:off x="13448520" y="2995920"/>
          <a:ext cx="6115680" cy="5730120"/>
        </a:xfrm>
        <a:prstGeom prst="bentConnector3">
          <a:avLst>
            <a:gd name="adj1" fmla="val 49997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16</xdr:col>
      <xdr:colOff>499320</xdr:colOff>
      <xdr:row>17</xdr:row>
      <xdr:rowOff>96840</xdr:rowOff>
    </xdr:from>
    <xdr:to>
      <xdr:col>16</xdr:col>
      <xdr:colOff>721440</xdr:colOff>
      <xdr:row>18</xdr:row>
      <xdr:rowOff>109440</xdr:rowOff>
    </xdr:to>
    <xdr:sp macro="" textlink="">
      <xdr:nvSpPr>
        <xdr:cNvPr id="65" name="Elips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12919320" y="3344760"/>
          <a:ext cx="222120" cy="203040"/>
        </a:xfrm>
        <a:prstGeom prst="ellipse">
          <a:avLst/>
        </a:prstGeom>
        <a:solidFill>
          <a:schemeClr val="accent1">
            <a:lumMod val="50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15</xdr:col>
      <xdr:colOff>75960</xdr:colOff>
      <xdr:row>18</xdr:row>
      <xdr:rowOff>5760</xdr:rowOff>
    </xdr:from>
    <xdr:to>
      <xdr:col>16</xdr:col>
      <xdr:colOff>499320</xdr:colOff>
      <xdr:row>18</xdr:row>
      <xdr:rowOff>8280</xdr:rowOff>
    </xdr:to>
    <xdr:cxnSp macro="">
      <xdr:nvCxnSpPr>
        <xdr:cNvPr id="66" name="Conector recto de flecha 70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CxnSpPr/>
      </xdr:nvCxnSpPr>
      <xdr:spPr>
        <a:xfrm flipH="1">
          <a:off x="11752920" y="3444120"/>
          <a:ext cx="1166760" cy="2880"/>
        </a:xfrm>
        <a:prstGeom prst="straightConnector1">
          <a:avLst/>
        </a:prstGeom>
        <a:ln w="12700"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5</xdr:col>
      <xdr:colOff>9720</xdr:colOff>
      <xdr:row>35</xdr:row>
      <xdr:rowOff>37440</xdr:rowOff>
    </xdr:from>
    <xdr:to>
      <xdr:col>5</xdr:col>
      <xdr:colOff>587880</xdr:colOff>
      <xdr:row>38</xdr:row>
      <xdr:rowOff>5040</xdr:rowOff>
    </xdr:to>
    <xdr:sp macro="" textlink="">
      <xdr:nvSpPr>
        <xdr:cNvPr id="67" name="Triángulo isósceles 12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3251520" y="6714360"/>
          <a:ext cx="578160" cy="53928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282240</xdr:colOff>
      <xdr:row>35</xdr:row>
      <xdr:rowOff>42840</xdr:rowOff>
    </xdr:from>
    <xdr:to>
      <xdr:col>5</xdr:col>
      <xdr:colOff>98280</xdr:colOff>
      <xdr:row>36</xdr:row>
      <xdr:rowOff>132120</xdr:rowOff>
    </xdr:to>
    <xdr:sp macro="" textlink="">
      <xdr:nvSpPr>
        <xdr:cNvPr id="68" name="Rectángulo 13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/>
      </xdr:nvSpPr>
      <xdr:spPr>
        <a:xfrm>
          <a:off x="2781000" y="6719760"/>
          <a:ext cx="559080" cy="2797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CL" sz="1000" b="0" strike="noStrike" spc="-1">
              <a:solidFill>
                <a:srgbClr val="000000"/>
              </a:solidFill>
              <a:latin typeface="Calibri"/>
            </a:rPr>
            <a:t>T1</a:t>
          </a:r>
          <a:endParaRPr lang="es-CL" sz="10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95040</xdr:colOff>
      <xdr:row>37</xdr:row>
      <xdr:rowOff>99000</xdr:rowOff>
    </xdr:from>
    <xdr:to>
      <xdr:col>5</xdr:col>
      <xdr:colOff>154440</xdr:colOff>
      <xdr:row>37</xdr:row>
      <xdr:rowOff>99000</xdr:rowOff>
    </xdr:to>
    <xdr:cxnSp macro="">
      <xdr:nvCxnSpPr>
        <xdr:cNvPr id="69" name="Conector recto de flecha 32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CxnSpPr/>
      </xdr:nvCxnSpPr>
      <xdr:spPr>
        <a:xfrm>
          <a:off x="2593800" y="7157160"/>
          <a:ext cx="802800" cy="3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5</xdr:col>
      <xdr:colOff>720</xdr:colOff>
      <xdr:row>42</xdr:row>
      <xdr:rowOff>28440</xdr:rowOff>
    </xdr:from>
    <xdr:to>
      <xdr:col>5</xdr:col>
      <xdr:colOff>578880</xdr:colOff>
      <xdr:row>44</xdr:row>
      <xdr:rowOff>177480</xdr:rowOff>
    </xdr:to>
    <xdr:sp macro="" textlink="">
      <xdr:nvSpPr>
        <xdr:cNvPr id="70" name="Triángulo isósceles 7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/>
      </xdr:nvSpPr>
      <xdr:spPr>
        <a:xfrm>
          <a:off x="3242520" y="8038800"/>
          <a:ext cx="578160" cy="53028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706680</xdr:colOff>
      <xdr:row>49</xdr:row>
      <xdr:rowOff>135360</xdr:rowOff>
    </xdr:from>
    <xdr:to>
      <xdr:col>5</xdr:col>
      <xdr:colOff>522720</xdr:colOff>
      <xdr:row>52</xdr:row>
      <xdr:rowOff>102960</xdr:rowOff>
    </xdr:to>
    <xdr:sp macro="" textlink="">
      <xdr:nvSpPr>
        <xdr:cNvPr id="71" name="Triángulo isósceles 8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>
          <a:off x="3205440" y="9479520"/>
          <a:ext cx="559080" cy="53892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522000</xdr:colOff>
      <xdr:row>56</xdr:row>
      <xdr:rowOff>87480</xdr:rowOff>
    </xdr:from>
    <xdr:to>
      <xdr:col>5</xdr:col>
      <xdr:colOff>492840</xdr:colOff>
      <xdr:row>58</xdr:row>
      <xdr:rowOff>140760</xdr:rowOff>
    </xdr:to>
    <xdr:sp macro="" textlink="">
      <xdr:nvSpPr>
        <xdr:cNvPr id="72" name="Triángulo isósceles 8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>
          <a:off x="3020760" y="10822320"/>
          <a:ext cx="713880" cy="85320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0</xdr:colOff>
      <xdr:row>44</xdr:row>
      <xdr:rowOff>18000</xdr:rowOff>
    </xdr:from>
    <xdr:to>
      <xdr:col>5</xdr:col>
      <xdr:colOff>59040</xdr:colOff>
      <xdr:row>44</xdr:row>
      <xdr:rowOff>18000</xdr:rowOff>
    </xdr:to>
    <xdr:cxnSp macro="">
      <xdr:nvCxnSpPr>
        <xdr:cNvPr id="73" name="Conector recto de flecha 55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CxnSpPr/>
      </xdr:nvCxnSpPr>
      <xdr:spPr>
        <a:xfrm>
          <a:off x="2498760" y="8409600"/>
          <a:ext cx="802440" cy="3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4</xdr:col>
      <xdr:colOff>16920</xdr:colOff>
      <xdr:row>51</xdr:row>
      <xdr:rowOff>97920</xdr:rowOff>
    </xdr:from>
    <xdr:to>
      <xdr:col>5</xdr:col>
      <xdr:colOff>57240</xdr:colOff>
      <xdr:row>51</xdr:row>
      <xdr:rowOff>97920</xdr:rowOff>
    </xdr:to>
    <xdr:cxnSp macro="">
      <xdr:nvCxnSpPr>
        <xdr:cNvPr id="74" name="Conector recto de flecha 57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CxnSpPr/>
      </xdr:nvCxnSpPr>
      <xdr:spPr>
        <a:xfrm>
          <a:off x="2515680" y="9822960"/>
          <a:ext cx="783720" cy="3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3</xdr:col>
      <xdr:colOff>520560</xdr:colOff>
      <xdr:row>57</xdr:row>
      <xdr:rowOff>178560</xdr:rowOff>
    </xdr:from>
    <xdr:to>
      <xdr:col>4</xdr:col>
      <xdr:colOff>579960</xdr:colOff>
      <xdr:row>57</xdr:row>
      <xdr:rowOff>178560</xdr:rowOff>
    </xdr:to>
    <xdr:cxnSp macro="">
      <xdr:nvCxnSpPr>
        <xdr:cNvPr id="75" name="Conector recto de flecha 58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CxnSpPr/>
      </xdr:nvCxnSpPr>
      <xdr:spPr>
        <a:xfrm>
          <a:off x="2276280" y="11313360"/>
          <a:ext cx="802800" cy="3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5</xdr:col>
      <xdr:colOff>444960</xdr:colOff>
      <xdr:row>36</xdr:row>
      <xdr:rowOff>124560</xdr:rowOff>
    </xdr:from>
    <xdr:to>
      <xdr:col>12</xdr:col>
      <xdr:colOff>451440</xdr:colOff>
      <xdr:row>36</xdr:row>
      <xdr:rowOff>140760</xdr:rowOff>
    </xdr:to>
    <xdr:cxnSp macro="">
      <xdr:nvCxnSpPr>
        <xdr:cNvPr id="76" name="Conector recto de flecha 32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CxnSpPr/>
      </xdr:nvCxnSpPr>
      <xdr:spPr>
        <a:xfrm>
          <a:off x="3686760" y="6991920"/>
          <a:ext cx="6004440" cy="165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5</xdr:col>
      <xdr:colOff>484560</xdr:colOff>
      <xdr:row>44</xdr:row>
      <xdr:rowOff>1800</xdr:rowOff>
    </xdr:from>
    <xdr:to>
      <xdr:col>12</xdr:col>
      <xdr:colOff>491040</xdr:colOff>
      <xdr:row>44</xdr:row>
      <xdr:rowOff>11160</xdr:rowOff>
    </xdr:to>
    <xdr:cxnSp macro="">
      <xdr:nvCxnSpPr>
        <xdr:cNvPr id="77" name="Conector recto de flecha 3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CxnSpPr/>
      </xdr:nvCxnSpPr>
      <xdr:spPr>
        <a:xfrm>
          <a:off x="3726360" y="8393400"/>
          <a:ext cx="6004440" cy="972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5</xdr:col>
      <xdr:colOff>360720</xdr:colOff>
      <xdr:row>46</xdr:row>
      <xdr:rowOff>42120</xdr:rowOff>
    </xdr:from>
    <xdr:to>
      <xdr:col>12</xdr:col>
      <xdr:colOff>479520</xdr:colOff>
      <xdr:row>51</xdr:row>
      <xdr:rowOff>20520</xdr:rowOff>
    </xdr:to>
    <xdr:cxnSp macro="">
      <xdr:nvCxnSpPr>
        <xdr:cNvPr id="78" name="Conector: angular 42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CxnSpPr/>
      </xdr:nvCxnSpPr>
      <xdr:spPr>
        <a:xfrm flipV="1">
          <a:off x="3602520" y="8814600"/>
          <a:ext cx="6116760" cy="9313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5</xdr:col>
      <xdr:colOff>291960</xdr:colOff>
      <xdr:row>49</xdr:row>
      <xdr:rowOff>126720</xdr:rowOff>
    </xdr:from>
    <xdr:to>
      <xdr:col>12</xdr:col>
      <xdr:colOff>465480</xdr:colOff>
      <xdr:row>57</xdr:row>
      <xdr:rowOff>114120</xdr:rowOff>
    </xdr:to>
    <xdr:cxnSp macro="">
      <xdr:nvCxnSpPr>
        <xdr:cNvPr id="79" name="Conector: angular 42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CxnSpPr/>
      </xdr:nvCxnSpPr>
      <xdr:spPr>
        <a:xfrm flipV="1">
          <a:off x="3533760" y="9470880"/>
          <a:ext cx="6171480" cy="177840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2</xdr:col>
      <xdr:colOff>589320</xdr:colOff>
      <xdr:row>7</xdr:row>
      <xdr:rowOff>185760</xdr:rowOff>
    </xdr:from>
    <xdr:to>
      <xdr:col>3</xdr:col>
      <xdr:colOff>684000</xdr:colOff>
      <xdr:row>8</xdr:row>
      <xdr:rowOff>5040</xdr:rowOff>
    </xdr:to>
    <xdr:cxnSp macro="">
      <xdr:nvCxnSpPr>
        <xdr:cNvPr id="80" name="Conector recto de flecha 23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CxnSpPr/>
      </xdr:nvCxnSpPr>
      <xdr:spPr>
        <a:xfrm>
          <a:off x="1602000" y="1528920"/>
          <a:ext cx="838080" cy="1008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  <xdr:twoCellAnchor>
    <xdr:from>
      <xdr:col>23</xdr:col>
      <xdr:colOff>14040</xdr:colOff>
      <xdr:row>13</xdr:row>
      <xdr:rowOff>28080</xdr:rowOff>
    </xdr:from>
    <xdr:to>
      <xdr:col>24</xdr:col>
      <xdr:colOff>451440</xdr:colOff>
      <xdr:row>13</xdr:row>
      <xdr:rowOff>28080</xdr:rowOff>
    </xdr:to>
    <xdr:cxnSp macro="">
      <xdr:nvCxnSpPr>
        <xdr:cNvPr id="81" name="Conector recto de flecha 23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CxnSpPr/>
      </xdr:nvCxnSpPr>
      <xdr:spPr>
        <a:xfrm>
          <a:off x="20078640" y="2514240"/>
          <a:ext cx="1623960" cy="360"/>
        </a:xfrm>
        <a:prstGeom prst="straightConnector1">
          <a:avLst/>
        </a:prstGeom>
        <a:ln>
          <a:solidFill>
            <a:srgbClr val="4472C4"/>
          </a:solidFill>
          <a:tailEnd type="triangle" w="med" len="med"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71280</xdr:colOff>
      <xdr:row>1</xdr:row>
      <xdr:rowOff>108360</xdr:rowOff>
    </xdr:from>
    <xdr:to>
      <xdr:col>2</xdr:col>
      <xdr:colOff>761400</xdr:colOff>
      <xdr:row>4</xdr:row>
      <xdr:rowOff>24480</xdr:rowOff>
    </xdr:to>
    <xdr:pic>
      <xdr:nvPicPr>
        <xdr:cNvPr id="80" name="Imagen 1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69720" y="270360"/>
          <a:ext cx="937080" cy="40176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pmineria-my.sharepoint.com/personal/lbravo_cmp_cl/Documents/BALANCES%20MAGNETITA/Balances%20METALURGICOS%20mensuales/2022/12.%20Diciembre%202022/BALANCE%20final%20Octubre%202022%20PM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cion Planta"/>
      <sheetName val="Calc Nodos Stock"/>
      <sheetName val="Bal Fe Tot"/>
      <sheetName val="Bal FeMag"/>
      <sheetName val="Diagrama Fe T"/>
    </sheetNames>
    <sheetDataSet>
      <sheetData sheetId="0">
        <row r="41">
          <cell r="B41" t="str">
            <v>R1</v>
          </cell>
          <cell r="C41" t="str">
            <v>R2</v>
          </cell>
          <cell r="D41" t="str">
            <v>Hidro</v>
          </cell>
          <cell r="E41" t="str">
            <v>Finisher</v>
          </cell>
          <cell r="F41" t="str">
            <v>Flot Magn</v>
          </cell>
          <cell r="G41" t="str">
            <v>Flot Neum</v>
          </cell>
          <cell r="H41" t="str">
            <v>Esp. Conc</v>
          </cell>
        </row>
      </sheetData>
      <sheetData sheetId="1">
        <row r="12">
          <cell r="E12">
            <v>2097.3996419743298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78"/>
  <sheetViews>
    <sheetView view="pageBreakPreview" topLeftCell="A91" zoomScaleNormal="65" workbookViewId="0">
      <selection activeCell="H106" sqref="H106"/>
    </sheetView>
  </sheetViews>
  <sheetFormatPr baseColWidth="10" defaultColWidth="11.5" defaultRowHeight="15" outlineLevelCol="1" x14ac:dyDescent="0.2"/>
  <cols>
    <col min="1" max="8" width="11.5" outlineLevel="1"/>
    <col min="9" max="9" width="9" customWidth="1" outlineLevel="1"/>
    <col min="10" max="10" width="5.33203125" customWidth="1"/>
    <col min="11" max="11" width="27.6640625" customWidth="1"/>
    <col min="14" max="14" width="24.83203125" customWidth="1"/>
    <col min="29" max="29" width="16.33203125" customWidth="1"/>
  </cols>
  <sheetData>
    <row r="1" spans="1:83" x14ac:dyDescent="0.2">
      <c r="A1" s="14">
        <v>14466</v>
      </c>
      <c r="B1" s="14">
        <v>14466</v>
      </c>
      <c r="C1" s="14">
        <v>58.33</v>
      </c>
      <c r="D1" s="14">
        <v>58.966186647999997</v>
      </c>
      <c r="E1" s="14">
        <v>56.51</v>
      </c>
      <c r="F1" s="14">
        <v>55.895282921000003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4"/>
      <c r="T1" s="14"/>
    </row>
    <row r="2" spans="1:83" x14ac:dyDescent="0.2">
      <c r="A2" s="14">
        <v>5414</v>
      </c>
      <c r="B2" s="14">
        <v>5459.26</v>
      </c>
      <c r="C2" s="14">
        <v>58.33</v>
      </c>
      <c r="D2" s="14">
        <v>58.091105566000003</v>
      </c>
      <c r="E2" s="14">
        <v>56.51</v>
      </c>
      <c r="F2" s="14">
        <v>56.745731634999999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4"/>
      <c r="T2" s="14"/>
      <c r="AN2">
        <v>1</v>
      </c>
      <c r="AO2">
        <f t="shared" ref="AO2:CE2" si="0">AN2+1</f>
        <v>2</v>
      </c>
      <c r="AP2">
        <f t="shared" si="0"/>
        <v>3</v>
      </c>
      <c r="AQ2">
        <f t="shared" si="0"/>
        <v>4</v>
      </c>
      <c r="AR2">
        <f t="shared" si="0"/>
        <v>5</v>
      </c>
      <c r="AS2">
        <f t="shared" si="0"/>
        <v>6</v>
      </c>
      <c r="AT2">
        <f t="shared" si="0"/>
        <v>7</v>
      </c>
      <c r="AU2">
        <f t="shared" si="0"/>
        <v>8</v>
      </c>
      <c r="AV2">
        <f t="shared" si="0"/>
        <v>9</v>
      </c>
      <c r="AW2">
        <f t="shared" si="0"/>
        <v>10</v>
      </c>
      <c r="AX2">
        <f t="shared" si="0"/>
        <v>11</v>
      </c>
      <c r="AY2">
        <f t="shared" si="0"/>
        <v>12</v>
      </c>
      <c r="AZ2">
        <f t="shared" si="0"/>
        <v>13</v>
      </c>
      <c r="BA2">
        <f t="shared" si="0"/>
        <v>14</v>
      </c>
      <c r="BB2">
        <f t="shared" si="0"/>
        <v>15</v>
      </c>
      <c r="BC2">
        <f t="shared" si="0"/>
        <v>16</v>
      </c>
      <c r="BD2">
        <f t="shared" si="0"/>
        <v>17</v>
      </c>
      <c r="BE2">
        <f t="shared" si="0"/>
        <v>18</v>
      </c>
      <c r="BF2">
        <f t="shared" si="0"/>
        <v>19</v>
      </c>
      <c r="BG2">
        <f t="shared" si="0"/>
        <v>20</v>
      </c>
      <c r="BH2">
        <f t="shared" si="0"/>
        <v>21</v>
      </c>
      <c r="BI2">
        <f t="shared" si="0"/>
        <v>22</v>
      </c>
      <c r="BJ2">
        <f t="shared" si="0"/>
        <v>23</v>
      </c>
      <c r="BK2">
        <f t="shared" si="0"/>
        <v>24</v>
      </c>
      <c r="BL2">
        <f t="shared" si="0"/>
        <v>25</v>
      </c>
      <c r="BM2">
        <f t="shared" si="0"/>
        <v>26</v>
      </c>
      <c r="BN2">
        <f t="shared" si="0"/>
        <v>27</v>
      </c>
      <c r="BO2">
        <f t="shared" si="0"/>
        <v>28</v>
      </c>
      <c r="BP2">
        <f t="shared" si="0"/>
        <v>29</v>
      </c>
      <c r="BQ2">
        <f t="shared" si="0"/>
        <v>30</v>
      </c>
      <c r="BR2">
        <f t="shared" si="0"/>
        <v>31</v>
      </c>
      <c r="BS2">
        <f t="shared" si="0"/>
        <v>32</v>
      </c>
      <c r="BT2">
        <f t="shared" si="0"/>
        <v>33</v>
      </c>
      <c r="BU2">
        <f t="shared" si="0"/>
        <v>34</v>
      </c>
      <c r="BV2">
        <f t="shared" si="0"/>
        <v>35</v>
      </c>
      <c r="BW2">
        <f t="shared" si="0"/>
        <v>36</v>
      </c>
      <c r="BX2">
        <f t="shared" si="0"/>
        <v>37</v>
      </c>
      <c r="BY2">
        <f t="shared" si="0"/>
        <v>38</v>
      </c>
      <c r="BZ2">
        <f t="shared" si="0"/>
        <v>39</v>
      </c>
      <c r="CA2">
        <f t="shared" si="0"/>
        <v>40</v>
      </c>
      <c r="CB2">
        <f t="shared" si="0"/>
        <v>41</v>
      </c>
      <c r="CC2">
        <f t="shared" si="0"/>
        <v>42</v>
      </c>
      <c r="CD2">
        <f t="shared" si="0"/>
        <v>43</v>
      </c>
      <c r="CE2">
        <f t="shared" si="0"/>
        <v>44</v>
      </c>
    </row>
    <row r="3" spans="1:83" s="22" customFormat="1" ht="45" customHeight="1" x14ac:dyDescent="0.25">
      <c r="A3" s="14">
        <v>9052</v>
      </c>
      <c r="B3" s="14">
        <v>9006.74</v>
      </c>
      <c r="C3" s="14">
        <v>58.33</v>
      </c>
      <c r="D3" s="14">
        <v>59.496600000000001</v>
      </c>
      <c r="E3" s="14">
        <v>56.51</v>
      </c>
      <c r="F3" s="14">
        <v>55.379800000000003</v>
      </c>
      <c r="G3" s="15"/>
      <c r="H3" s="16"/>
      <c r="I3" s="16"/>
      <c r="J3" s="16"/>
      <c r="K3" s="17"/>
      <c r="L3" s="18"/>
      <c r="M3" s="18"/>
      <c r="N3" s="18"/>
      <c r="O3" s="18"/>
      <c r="P3" s="18"/>
      <c r="Q3" s="18"/>
      <c r="R3" s="18"/>
      <c r="S3" s="19"/>
      <c r="T3" s="19"/>
      <c r="U3" s="20"/>
      <c r="V3" s="20"/>
      <c r="W3" s="20"/>
      <c r="X3" s="20"/>
      <c r="Y3" s="20"/>
      <c r="Z3" s="20"/>
      <c r="AA3" s="20"/>
      <c r="AB3" s="20"/>
      <c r="AC3" s="20"/>
      <c r="AD3" s="20"/>
      <c r="AE3" s="21"/>
      <c r="AF3" s="21"/>
      <c r="AG3" s="21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U3" s="24"/>
      <c r="BV3" s="24"/>
    </row>
    <row r="4" spans="1:83" ht="18" customHeight="1" x14ac:dyDescent="0.25">
      <c r="A4" s="14">
        <v>2756</v>
      </c>
      <c r="B4" s="14">
        <v>2756</v>
      </c>
      <c r="C4" s="14">
        <v>44.12</v>
      </c>
      <c r="D4" s="14">
        <v>44.371713479</v>
      </c>
      <c r="E4" s="14">
        <v>41.35</v>
      </c>
      <c r="F4" s="14">
        <v>41.114201516000001</v>
      </c>
      <c r="G4" s="15"/>
      <c r="H4" s="15"/>
      <c r="I4" s="15"/>
      <c r="J4" s="15"/>
      <c r="K4" s="25"/>
      <c r="L4" s="15"/>
      <c r="M4" s="15"/>
      <c r="N4" s="15"/>
      <c r="O4" s="15"/>
      <c r="P4" s="15"/>
      <c r="Q4" s="15"/>
      <c r="R4" s="15"/>
      <c r="S4" s="14"/>
      <c r="T4" s="14"/>
      <c r="AL4" s="22"/>
      <c r="AM4" s="20"/>
    </row>
    <row r="5" spans="1:83" ht="18" customHeight="1" x14ac:dyDescent="0.25">
      <c r="A5" s="14">
        <v>1675</v>
      </c>
      <c r="B5" s="14">
        <v>1679.41</v>
      </c>
      <c r="C5" s="14">
        <v>44.12</v>
      </c>
      <c r="D5" s="14">
        <v>43.967410299999997</v>
      </c>
      <c r="E5" s="14">
        <v>41.35</v>
      </c>
      <c r="F5" s="14">
        <v>41.493192733999997</v>
      </c>
      <c r="G5" s="15"/>
      <c r="H5" s="15"/>
      <c r="I5" s="15"/>
      <c r="J5" s="15"/>
      <c r="K5" s="25"/>
      <c r="L5" s="15"/>
      <c r="M5" s="15"/>
      <c r="N5" s="15"/>
      <c r="O5" s="15"/>
      <c r="P5" s="15"/>
      <c r="Q5" s="15"/>
      <c r="R5" s="15"/>
      <c r="S5" s="14"/>
      <c r="T5" s="14"/>
      <c r="AL5" s="22"/>
      <c r="AM5" s="20"/>
    </row>
    <row r="6" spans="1:83" ht="18" customHeight="1" x14ac:dyDescent="0.25">
      <c r="A6" s="14">
        <v>1082</v>
      </c>
      <c r="B6" s="14">
        <v>1076.5899999999999</v>
      </c>
      <c r="C6" s="14">
        <v>44.12</v>
      </c>
      <c r="D6" s="14">
        <v>45.002400000000002</v>
      </c>
      <c r="E6" s="14">
        <v>41.35</v>
      </c>
      <c r="F6" s="14">
        <v>40.523000000000003</v>
      </c>
      <c r="G6" s="15"/>
      <c r="H6" s="15"/>
      <c r="I6" s="15"/>
      <c r="J6" s="15"/>
      <c r="K6" s="25"/>
      <c r="L6" s="15"/>
      <c r="M6" s="15"/>
      <c r="N6" s="15"/>
      <c r="O6" s="15"/>
      <c r="P6" s="15"/>
      <c r="Q6" s="15"/>
      <c r="R6" s="15"/>
      <c r="S6" s="14"/>
      <c r="T6" s="14"/>
      <c r="AL6" s="22"/>
      <c r="AM6" s="20"/>
    </row>
    <row r="7" spans="1:83" ht="18" customHeight="1" x14ac:dyDescent="0.25">
      <c r="A7" s="14">
        <v>10839</v>
      </c>
      <c r="B7" s="14">
        <v>10839</v>
      </c>
      <c r="C7" s="14">
        <v>52.79</v>
      </c>
      <c r="D7" s="14">
        <v>53.040222434999997</v>
      </c>
      <c r="E7" s="14">
        <v>51.25</v>
      </c>
      <c r="F7" s="14">
        <v>51.212916135</v>
      </c>
      <c r="G7" s="15"/>
      <c r="H7" s="15"/>
      <c r="I7" s="15"/>
      <c r="J7" s="15"/>
      <c r="K7" s="25"/>
      <c r="L7" s="15"/>
      <c r="M7" s="15"/>
      <c r="N7" s="15"/>
      <c r="O7" s="15"/>
      <c r="P7" s="15"/>
      <c r="Q7" s="15"/>
      <c r="R7" s="15"/>
      <c r="S7" s="14"/>
      <c r="T7" s="14"/>
      <c r="AL7" s="22"/>
      <c r="AM7" s="20"/>
    </row>
    <row r="8" spans="1:83" ht="18" customHeight="1" x14ac:dyDescent="0.25">
      <c r="A8" s="14">
        <v>8560</v>
      </c>
      <c r="B8" s="14">
        <v>8571.3950000000004</v>
      </c>
      <c r="C8" s="14">
        <v>52.79</v>
      </c>
      <c r="D8" s="14">
        <v>52.592336834999998</v>
      </c>
      <c r="E8" s="14">
        <v>51.25</v>
      </c>
      <c r="F8" s="14">
        <v>51.279826350999997</v>
      </c>
      <c r="G8" s="15"/>
      <c r="H8" s="15"/>
      <c r="I8" s="15"/>
      <c r="J8" s="15"/>
      <c r="K8" s="25"/>
      <c r="L8" s="15"/>
      <c r="M8" s="15"/>
      <c r="N8" s="15"/>
      <c r="O8" s="15"/>
      <c r="P8" s="15"/>
      <c r="Q8" s="15"/>
      <c r="R8" s="15"/>
      <c r="S8" s="14"/>
      <c r="T8" s="14"/>
      <c r="AL8" s="22"/>
      <c r="AM8" s="20"/>
    </row>
    <row r="9" spans="1:83" ht="18" customHeight="1" x14ac:dyDescent="0.25">
      <c r="A9" s="14">
        <v>2279</v>
      </c>
      <c r="B9" s="14">
        <v>2267.605</v>
      </c>
      <c r="C9" s="14">
        <v>53.66</v>
      </c>
      <c r="D9" s="14">
        <v>54.733199999999997</v>
      </c>
      <c r="E9" s="14">
        <v>52</v>
      </c>
      <c r="F9" s="14">
        <v>50.96</v>
      </c>
      <c r="G9" s="15"/>
      <c r="H9" s="15"/>
      <c r="I9" s="15"/>
      <c r="J9" s="15"/>
      <c r="K9" s="25"/>
      <c r="L9" s="15"/>
      <c r="M9" s="15"/>
      <c r="N9" s="15"/>
      <c r="O9" s="15"/>
      <c r="P9" s="15"/>
      <c r="Q9" s="15"/>
      <c r="R9" s="15"/>
      <c r="S9" s="14"/>
      <c r="T9" s="14"/>
      <c r="AL9" s="22"/>
      <c r="AM9" s="20"/>
    </row>
    <row r="10" spans="1:83" ht="18" customHeight="1" x14ac:dyDescent="0.25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/>
      <c r="H10" s="15"/>
      <c r="I10" s="15"/>
      <c r="J10" s="15"/>
      <c r="K10" s="25"/>
      <c r="L10" s="15"/>
      <c r="M10" s="15"/>
      <c r="N10" s="15"/>
      <c r="O10" s="15"/>
      <c r="P10" s="15"/>
      <c r="Q10" s="15"/>
      <c r="R10" s="15"/>
      <c r="S10" s="14"/>
      <c r="T10" s="14"/>
      <c r="AL10" s="22"/>
      <c r="AM10" s="20"/>
    </row>
    <row r="11" spans="1:83" ht="18" customHeight="1" x14ac:dyDescent="0.25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5"/>
      <c r="H11" s="15"/>
      <c r="I11" s="15"/>
      <c r="J11" s="15"/>
      <c r="K11" s="25"/>
      <c r="L11" s="15"/>
      <c r="M11" s="15"/>
      <c r="N11" s="15"/>
      <c r="O11" s="15"/>
      <c r="P11" s="15"/>
      <c r="Q11" s="15"/>
      <c r="R11" s="15"/>
      <c r="S11" s="14"/>
      <c r="T11" s="14"/>
      <c r="AL11" s="22"/>
      <c r="AM11" s="20"/>
    </row>
    <row r="12" spans="1:83" ht="18" customHeight="1" x14ac:dyDescent="0.25">
      <c r="A12" s="14">
        <v>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/>
      <c r="H12" s="15"/>
      <c r="I12" s="15"/>
      <c r="J12" s="15"/>
      <c r="K12" s="25"/>
      <c r="L12" s="15"/>
      <c r="M12" s="15"/>
      <c r="N12" s="15"/>
      <c r="O12" s="15"/>
      <c r="P12" s="15"/>
      <c r="Q12" s="15"/>
      <c r="R12" s="15"/>
      <c r="S12" s="14"/>
      <c r="T12" s="14"/>
      <c r="AL12" s="22"/>
      <c r="AM12" s="20"/>
    </row>
    <row r="13" spans="1:83" ht="18" customHeight="1" x14ac:dyDescent="0.25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5"/>
      <c r="H13" s="15"/>
      <c r="I13" s="15"/>
      <c r="J13" s="15"/>
      <c r="K13" s="25"/>
      <c r="L13" s="15"/>
      <c r="M13" s="15"/>
      <c r="N13" s="15"/>
      <c r="O13" s="15"/>
      <c r="P13" s="15"/>
      <c r="Q13" s="15"/>
      <c r="R13" s="15"/>
      <c r="S13" s="14"/>
      <c r="T13" s="14"/>
      <c r="AL13" s="22"/>
      <c r="AM13" s="20"/>
    </row>
    <row r="14" spans="1:83" ht="18" customHeight="1" x14ac:dyDescent="0.25">
      <c r="A14" s="14">
        <v>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5"/>
      <c r="H14" s="15"/>
      <c r="I14" s="15"/>
      <c r="J14" s="15"/>
      <c r="K14" s="25"/>
      <c r="L14" s="15"/>
      <c r="M14" s="15"/>
      <c r="N14" s="15"/>
      <c r="O14" s="15"/>
      <c r="P14" s="15"/>
      <c r="Q14" s="15"/>
      <c r="R14" s="15"/>
      <c r="S14" s="14"/>
      <c r="T14" s="14"/>
      <c r="AL14" s="22"/>
      <c r="AM14" s="20"/>
    </row>
    <row r="15" spans="1:83" ht="18" customHeight="1" x14ac:dyDescent="0.25">
      <c r="A15" s="14">
        <v>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5"/>
      <c r="H15" s="15"/>
      <c r="I15" s="15"/>
      <c r="J15" s="15"/>
      <c r="K15" s="25"/>
      <c r="L15" s="15"/>
      <c r="M15" s="15"/>
      <c r="N15" s="15"/>
      <c r="O15" s="15"/>
      <c r="P15" s="15"/>
      <c r="Q15" s="15"/>
      <c r="R15" s="15"/>
      <c r="S15" s="14"/>
      <c r="T15" s="14"/>
      <c r="AL15" s="22"/>
      <c r="AM15" s="20"/>
    </row>
    <row r="16" spans="1:83" ht="18" customHeight="1" x14ac:dyDescent="0.25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/>
      <c r="H16" s="15"/>
      <c r="I16" s="15"/>
      <c r="J16" s="15"/>
      <c r="K16" s="25"/>
      <c r="L16" s="15"/>
      <c r="M16" s="15"/>
      <c r="N16" s="15"/>
      <c r="O16" s="15"/>
      <c r="P16" s="15"/>
      <c r="Q16" s="15"/>
      <c r="R16" s="15"/>
      <c r="S16" s="14"/>
      <c r="T16" s="14"/>
      <c r="AL16" s="22"/>
      <c r="AM16" s="20"/>
    </row>
    <row r="17" spans="1:39" ht="18" customHeight="1" x14ac:dyDescent="0.25">
      <c r="A17" s="14">
        <v>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/>
      <c r="H17" s="15"/>
      <c r="I17" s="15"/>
      <c r="J17" s="15"/>
      <c r="K17" s="25"/>
      <c r="L17" s="15"/>
      <c r="M17" s="15"/>
      <c r="N17" s="15"/>
      <c r="O17" s="15"/>
      <c r="P17" s="15"/>
      <c r="Q17" s="15"/>
      <c r="R17" s="15"/>
      <c r="S17" s="14"/>
      <c r="T17" s="14"/>
      <c r="AL17" s="22"/>
      <c r="AM17" s="20"/>
    </row>
    <row r="18" spans="1:39" ht="18" customHeight="1" x14ac:dyDescent="0.25">
      <c r="A18" s="14">
        <v>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/>
      <c r="H18" s="15"/>
      <c r="I18" s="15"/>
      <c r="J18" s="15"/>
      <c r="K18" s="25"/>
      <c r="L18" s="15"/>
      <c r="M18" s="15"/>
      <c r="N18" s="15"/>
      <c r="O18" s="15"/>
      <c r="P18" s="15"/>
      <c r="Q18" s="15"/>
      <c r="R18" s="15"/>
      <c r="S18" s="14"/>
      <c r="T18" s="14"/>
      <c r="AL18" s="22"/>
      <c r="AM18" s="20"/>
    </row>
    <row r="19" spans="1:39" ht="18" customHeight="1" x14ac:dyDescent="0.25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/>
      <c r="H19" s="15"/>
      <c r="I19" s="15"/>
      <c r="J19" s="15"/>
      <c r="K19" s="25"/>
      <c r="L19" s="15"/>
      <c r="M19" s="15"/>
      <c r="N19" s="15"/>
      <c r="O19" s="15"/>
      <c r="P19" s="15"/>
      <c r="Q19" s="15"/>
      <c r="R19" s="15"/>
      <c r="S19" s="14"/>
      <c r="T19" s="14"/>
      <c r="AL19" s="22"/>
      <c r="AM19" s="20"/>
    </row>
    <row r="20" spans="1:39" ht="18" customHeight="1" x14ac:dyDescent="0.25">
      <c r="A20" s="14">
        <v>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/>
      <c r="H20" s="15"/>
      <c r="I20" s="15"/>
      <c r="J20" s="15"/>
      <c r="K20" s="25"/>
      <c r="L20" s="15"/>
      <c r="M20" s="15"/>
      <c r="N20" s="15"/>
      <c r="O20" s="15"/>
      <c r="P20" s="15"/>
      <c r="Q20" s="15"/>
      <c r="R20" s="15"/>
      <c r="S20" s="14"/>
      <c r="T20" s="14"/>
      <c r="AL20" s="22"/>
      <c r="AM20" s="20"/>
    </row>
    <row r="21" spans="1:39" ht="18" customHeight="1" x14ac:dyDescent="0.25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5"/>
      <c r="H21" s="15"/>
      <c r="I21" s="15"/>
      <c r="J21" s="15"/>
      <c r="K21" s="25"/>
      <c r="L21" s="15"/>
      <c r="M21" s="15"/>
      <c r="N21" s="15"/>
      <c r="O21" s="15"/>
      <c r="P21" s="15"/>
      <c r="Q21" s="15"/>
      <c r="R21" s="15"/>
      <c r="S21" s="14"/>
      <c r="T21" s="14"/>
      <c r="AL21" s="22"/>
      <c r="AM21" s="20"/>
    </row>
    <row r="22" spans="1:39" ht="18" customHeight="1" x14ac:dyDescent="0.25">
      <c r="A22" s="14">
        <v>1566</v>
      </c>
      <c r="B22" s="14">
        <v>1566</v>
      </c>
      <c r="C22" s="14">
        <v>52.01</v>
      </c>
      <c r="D22" s="14">
        <v>52.011388218999997</v>
      </c>
      <c r="E22" s="14">
        <v>43.53</v>
      </c>
      <c r="F22" s="14">
        <v>43.529996953999998</v>
      </c>
      <c r="G22" s="15"/>
      <c r="H22" s="15"/>
      <c r="I22" s="15"/>
      <c r="J22" s="15"/>
      <c r="K22" s="25"/>
      <c r="L22" s="15"/>
      <c r="M22" s="15"/>
      <c r="N22" s="15"/>
      <c r="O22" s="15"/>
      <c r="P22" s="15"/>
      <c r="Q22" s="15"/>
      <c r="R22" s="15"/>
      <c r="S22" s="14"/>
      <c r="T22" s="14"/>
      <c r="AL22" s="22"/>
      <c r="AM22" s="20"/>
    </row>
    <row r="23" spans="1:39" ht="18" customHeight="1" x14ac:dyDescent="0.25">
      <c r="A23" s="14">
        <v>1566</v>
      </c>
      <c r="B23" s="14">
        <v>1566</v>
      </c>
      <c r="C23" s="14">
        <v>52.01</v>
      </c>
      <c r="D23" s="14">
        <v>52.011388218999997</v>
      </c>
      <c r="E23" s="14">
        <v>43.53</v>
      </c>
      <c r="F23" s="14">
        <v>43.529996953999998</v>
      </c>
      <c r="G23" s="15"/>
      <c r="H23" s="15"/>
      <c r="I23" s="15"/>
      <c r="J23" s="15"/>
      <c r="K23" s="25"/>
      <c r="L23" s="15"/>
      <c r="M23" s="15"/>
      <c r="N23" s="15"/>
      <c r="O23" s="15"/>
      <c r="P23" s="15"/>
      <c r="Q23" s="15"/>
      <c r="R23" s="15"/>
      <c r="S23" s="14"/>
      <c r="T23" s="14"/>
      <c r="AL23" s="22"/>
      <c r="AM23" s="21"/>
    </row>
    <row r="24" spans="1:39" ht="18" customHeight="1" x14ac:dyDescent="0.25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5"/>
      <c r="H24" s="15"/>
      <c r="I24" s="15"/>
      <c r="J24" s="15"/>
      <c r="K24" s="25"/>
      <c r="L24" s="15"/>
      <c r="M24" s="15"/>
      <c r="N24" s="15"/>
      <c r="O24" s="15"/>
      <c r="P24" s="15"/>
      <c r="Q24" s="15"/>
      <c r="R24" s="15"/>
      <c r="S24" s="14"/>
      <c r="T24" s="14"/>
      <c r="AL24" s="22"/>
      <c r="AM24" s="21"/>
    </row>
    <row r="25" spans="1:39" ht="18" customHeight="1" x14ac:dyDescent="0.25">
      <c r="A25" s="14">
        <v>2120</v>
      </c>
      <c r="B25" s="14">
        <v>2120</v>
      </c>
      <c r="C25" s="14">
        <v>52.83</v>
      </c>
      <c r="D25" s="14">
        <v>52.831856305000002</v>
      </c>
      <c r="E25" s="14">
        <v>44.69</v>
      </c>
      <c r="F25" s="14">
        <v>44.690690525999997</v>
      </c>
      <c r="G25" s="15"/>
      <c r="H25" s="15"/>
      <c r="I25" s="15"/>
      <c r="J25" s="15"/>
      <c r="K25" s="25"/>
      <c r="L25" s="15"/>
      <c r="M25" s="15"/>
      <c r="N25" s="15"/>
      <c r="O25" s="15"/>
      <c r="P25" s="15"/>
      <c r="Q25" s="15"/>
      <c r="R25" s="15"/>
      <c r="S25" s="14"/>
      <c r="T25" s="14"/>
      <c r="AL25" s="22"/>
      <c r="AM25" s="21"/>
    </row>
    <row r="26" spans="1:39" ht="18" customHeight="1" x14ac:dyDescent="0.25">
      <c r="A26" s="14">
        <v>2120</v>
      </c>
      <c r="B26" s="14">
        <v>2120</v>
      </c>
      <c r="C26" s="14">
        <v>52.83</v>
      </c>
      <c r="D26" s="14">
        <v>52.831856305000002</v>
      </c>
      <c r="E26" s="14">
        <v>44.69</v>
      </c>
      <c r="F26" s="14">
        <v>44.690690525999997</v>
      </c>
      <c r="G26" s="15"/>
      <c r="H26" s="15"/>
      <c r="I26" s="15"/>
      <c r="J26" s="15"/>
      <c r="K26" s="25"/>
      <c r="L26" s="15"/>
      <c r="M26" s="15"/>
      <c r="N26" s="15"/>
      <c r="O26" s="15"/>
      <c r="P26" s="15"/>
      <c r="Q26" s="15"/>
      <c r="R26" s="15"/>
      <c r="S26" s="14"/>
      <c r="T26" s="14"/>
    </row>
    <row r="27" spans="1:39" ht="18" customHeight="1" x14ac:dyDescent="0.25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5"/>
      <c r="H27" s="15"/>
      <c r="I27" s="15"/>
      <c r="J27" s="15"/>
      <c r="K27" s="25"/>
      <c r="L27" s="15"/>
      <c r="M27" s="15"/>
      <c r="N27" s="15"/>
      <c r="O27" s="15"/>
      <c r="P27" s="15"/>
      <c r="Q27" s="15"/>
      <c r="R27" s="15"/>
      <c r="S27" s="14"/>
      <c r="T27" s="14"/>
    </row>
    <row r="28" spans="1:39" ht="18" customHeight="1" x14ac:dyDescent="0.25">
      <c r="A28" s="14">
        <v>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25"/>
      <c r="H28" s="15"/>
      <c r="I28" s="15"/>
      <c r="J28" s="15"/>
      <c r="K28" s="25"/>
      <c r="L28" s="15"/>
      <c r="M28" s="15"/>
      <c r="N28" s="15"/>
      <c r="O28" s="15"/>
      <c r="P28" s="15"/>
      <c r="Q28" s="15"/>
      <c r="R28" s="15"/>
      <c r="S28" s="14"/>
      <c r="T28" s="14"/>
    </row>
    <row r="29" spans="1:39" ht="18" customHeight="1" x14ac:dyDescent="0.25">
      <c r="A29" s="14">
        <v>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5"/>
      <c r="H29" s="15"/>
      <c r="I29" s="15"/>
      <c r="J29" s="15"/>
      <c r="K29" s="25"/>
      <c r="L29" s="15"/>
      <c r="M29" s="15"/>
      <c r="N29" s="15"/>
      <c r="O29" s="15"/>
      <c r="P29" s="15"/>
      <c r="Q29" s="15"/>
      <c r="R29" s="15"/>
      <c r="S29" s="14"/>
      <c r="T29" s="14"/>
    </row>
    <row r="30" spans="1:39" ht="18" customHeight="1" x14ac:dyDescent="0.25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5"/>
      <c r="H30" s="15"/>
      <c r="I30" s="15"/>
      <c r="J30" s="15"/>
      <c r="K30" s="25"/>
      <c r="L30" s="15"/>
      <c r="M30" s="15"/>
      <c r="N30" s="15"/>
      <c r="O30" s="15"/>
      <c r="P30" s="15"/>
      <c r="Q30" s="15"/>
      <c r="R30" s="15"/>
      <c r="S30" s="14"/>
      <c r="T30" s="14"/>
    </row>
    <row r="31" spans="1:39" ht="18" customHeight="1" x14ac:dyDescent="0.25">
      <c r="A31" s="14">
        <v>0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5"/>
      <c r="H31" s="15"/>
      <c r="I31" s="15"/>
      <c r="J31" s="15"/>
      <c r="K31" s="25"/>
      <c r="L31" s="15"/>
      <c r="M31" s="15"/>
      <c r="N31" s="15"/>
      <c r="O31" s="15"/>
      <c r="P31" s="15"/>
      <c r="Q31" s="15"/>
      <c r="R31" s="15"/>
      <c r="S31" s="14"/>
      <c r="T31" s="14"/>
    </row>
    <row r="32" spans="1:39" ht="18" customHeight="1" x14ac:dyDescent="0.25">
      <c r="A32" s="14">
        <v>0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5"/>
      <c r="H32" s="15"/>
      <c r="I32" s="15"/>
      <c r="J32" s="15"/>
      <c r="K32" s="25"/>
      <c r="L32" s="15"/>
      <c r="M32" s="15"/>
      <c r="N32" s="15"/>
      <c r="O32" s="15"/>
      <c r="P32" s="15"/>
      <c r="Q32" s="15"/>
      <c r="R32" s="15"/>
      <c r="S32" s="14"/>
      <c r="T32" s="14"/>
    </row>
    <row r="33" spans="1:41" ht="18" customHeight="1" x14ac:dyDescent="0.25">
      <c r="A33" s="14">
        <v>0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/>
      <c r="H33" s="15"/>
      <c r="I33" s="15"/>
      <c r="J33" s="15"/>
      <c r="K33" s="25"/>
      <c r="L33" s="15"/>
      <c r="M33" s="15"/>
      <c r="N33" s="15"/>
      <c r="O33" s="15"/>
      <c r="P33" s="15"/>
      <c r="Q33" s="15"/>
      <c r="R33" s="15"/>
      <c r="S33" s="14"/>
      <c r="T33" s="14"/>
      <c r="AN33" s="26"/>
      <c r="AO33" s="26"/>
    </row>
    <row r="34" spans="1:41" ht="18" customHeight="1" x14ac:dyDescent="0.25">
      <c r="A34" s="14">
        <v>0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/>
      <c r="H34" s="15"/>
      <c r="I34" s="15"/>
      <c r="J34" s="15"/>
      <c r="K34" s="25"/>
      <c r="L34" s="15"/>
      <c r="M34" s="15"/>
      <c r="N34" s="15"/>
      <c r="O34" s="15"/>
      <c r="P34" s="15"/>
      <c r="Q34" s="15"/>
      <c r="R34" s="15"/>
      <c r="S34" s="14"/>
      <c r="T34" s="14"/>
      <c r="AN34" s="26"/>
      <c r="AO34" s="26"/>
    </row>
    <row r="35" spans="1:41" ht="18" customHeight="1" x14ac:dyDescent="0.25">
      <c r="A35" s="14">
        <v>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/>
      <c r="H35" s="15"/>
      <c r="I35" s="15"/>
      <c r="J35" s="15"/>
      <c r="K35" s="25"/>
      <c r="L35" s="15"/>
      <c r="M35" s="15"/>
      <c r="N35" s="15"/>
      <c r="O35" s="15"/>
      <c r="P35" s="15"/>
      <c r="Q35" s="15"/>
      <c r="R35" s="15"/>
      <c r="S35" s="14"/>
      <c r="T35" s="14"/>
      <c r="AN35" s="26"/>
      <c r="AO35" s="26"/>
    </row>
    <row r="36" spans="1:41" ht="18" customHeight="1" x14ac:dyDescent="0.25">
      <c r="A36" s="14">
        <v>0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5"/>
      <c r="H36" s="15"/>
      <c r="I36" s="15"/>
      <c r="J36" s="15"/>
      <c r="K36" s="25"/>
      <c r="L36" s="15"/>
      <c r="M36" s="15"/>
      <c r="N36" s="15"/>
      <c r="O36" s="15"/>
      <c r="P36" s="15"/>
      <c r="Q36" s="15"/>
      <c r="R36" s="15"/>
      <c r="S36" s="14"/>
      <c r="T36" s="14"/>
      <c r="AN36" s="26"/>
      <c r="AO36" s="26"/>
    </row>
    <row r="37" spans="1:41" ht="18" customHeight="1" x14ac:dyDescent="0.25">
      <c r="A37" s="14">
        <v>0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5"/>
      <c r="H37" s="15"/>
      <c r="I37" s="15"/>
      <c r="J37" s="15"/>
      <c r="K37" s="27"/>
      <c r="L37" s="15"/>
      <c r="M37" s="15"/>
      <c r="N37" s="15"/>
      <c r="O37" s="15"/>
      <c r="P37" s="15"/>
      <c r="Q37" s="15"/>
      <c r="R37" s="15"/>
      <c r="S37" s="14"/>
      <c r="T37" s="14"/>
      <c r="AN37" s="26"/>
      <c r="AO37" s="26"/>
    </row>
    <row r="38" spans="1:41" ht="18" customHeight="1" x14ac:dyDescent="0.25">
      <c r="A38" s="14">
        <v>0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5"/>
      <c r="H38" s="15"/>
      <c r="I38" s="15"/>
      <c r="J38" s="15"/>
      <c r="K38" s="27"/>
      <c r="L38" s="15"/>
      <c r="M38" s="15"/>
      <c r="N38" s="15"/>
      <c r="O38" s="15"/>
      <c r="P38" s="15"/>
      <c r="Q38" s="15"/>
      <c r="R38" s="15"/>
      <c r="S38" s="14"/>
      <c r="T38" s="14"/>
      <c r="AN38" s="26"/>
      <c r="AO38" s="26"/>
    </row>
    <row r="39" spans="1:41" ht="18" customHeight="1" x14ac:dyDescent="0.25">
      <c r="A39" s="14">
        <v>0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5"/>
      <c r="H39" s="15"/>
      <c r="I39" s="15"/>
      <c r="J39" s="15"/>
      <c r="K39" s="25"/>
      <c r="L39" s="15"/>
      <c r="M39" s="15"/>
      <c r="N39" s="15"/>
      <c r="O39" s="15"/>
      <c r="P39" s="15"/>
      <c r="Q39" s="15"/>
      <c r="R39" s="15"/>
      <c r="S39" s="14"/>
      <c r="T39" s="14"/>
      <c r="AN39" s="26"/>
      <c r="AO39" s="26"/>
    </row>
    <row r="40" spans="1:41" ht="18" customHeight="1" x14ac:dyDescent="0.25">
      <c r="A40" s="14">
        <v>1286252</v>
      </c>
      <c r="B40" s="14">
        <v>1286252</v>
      </c>
      <c r="C40" s="14">
        <v>13.3</v>
      </c>
      <c r="D40" s="14">
        <v>12.901</v>
      </c>
      <c r="E40" s="14">
        <v>8.01</v>
      </c>
      <c r="F40" s="14">
        <v>7.7697000000000003</v>
      </c>
      <c r="G40" s="15"/>
      <c r="H40" s="15"/>
      <c r="I40" s="15"/>
      <c r="J40" s="15"/>
      <c r="K40" s="25"/>
      <c r="L40" s="15"/>
      <c r="M40" s="15"/>
      <c r="N40" s="15"/>
      <c r="O40" s="15"/>
      <c r="P40" s="15"/>
      <c r="Q40" s="15"/>
      <c r="R40" s="15"/>
      <c r="S40" s="14"/>
      <c r="T40" s="14"/>
      <c r="AN40" s="26"/>
      <c r="AO40" s="26"/>
    </row>
    <row r="41" spans="1:41" ht="18" customHeight="1" x14ac:dyDescent="0.25">
      <c r="A41" s="14">
        <v>933086</v>
      </c>
      <c r="B41" s="14">
        <v>930860.77135000005</v>
      </c>
      <c r="C41" s="14">
        <v>6.53</v>
      </c>
      <c r="D41" s="14">
        <v>6.0500690776999999</v>
      </c>
      <c r="E41" s="14">
        <v>0.3</v>
      </c>
      <c r="F41" s="14">
        <v>0.39</v>
      </c>
      <c r="G41" s="15"/>
      <c r="H41" s="15"/>
      <c r="I41" s="15"/>
      <c r="J41" s="15"/>
      <c r="K41" s="25"/>
      <c r="L41" s="15"/>
      <c r="M41" s="15"/>
      <c r="N41" s="15"/>
      <c r="O41" s="15"/>
      <c r="P41" s="15"/>
      <c r="Q41" s="15"/>
      <c r="R41" s="15"/>
      <c r="S41" s="14"/>
      <c r="T41" s="14"/>
      <c r="AN41" s="26"/>
      <c r="AO41" s="26"/>
    </row>
    <row r="42" spans="1:41" ht="18" customHeight="1" x14ac:dyDescent="0.25">
      <c r="A42" s="14">
        <v>353166</v>
      </c>
      <c r="B42" s="14">
        <v>355391.22865</v>
      </c>
      <c r="C42" s="14">
        <v>31.2</v>
      </c>
      <c r="D42" s="14">
        <v>30.845345072000001</v>
      </c>
      <c r="E42" s="14">
        <v>27.9</v>
      </c>
      <c r="F42" s="14">
        <v>27.099026895000002</v>
      </c>
      <c r="G42" s="15"/>
      <c r="H42" s="15"/>
      <c r="I42" s="15"/>
      <c r="J42" s="15"/>
      <c r="K42" s="25"/>
      <c r="L42" s="15"/>
      <c r="M42" s="15"/>
      <c r="N42" s="15"/>
      <c r="O42" s="15"/>
      <c r="P42" s="15"/>
      <c r="Q42" s="15"/>
      <c r="R42" s="15"/>
      <c r="S42" s="14"/>
      <c r="T42" s="14"/>
      <c r="AN42" s="26"/>
      <c r="AO42" s="26"/>
    </row>
    <row r="43" spans="1:41" ht="18" customHeight="1" x14ac:dyDescent="0.25">
      <c r="A43" s="14">
        <v>84618</v>
      </c>
      <c r="B43" s="14">
        <v>82288.421426999994</v>
      </c>
      <c r="C43" s="14">
        <v>7</v>
      </c>
      <c r="D43" s="14">
        <v>6.9554272239000001</v>
      </c>
      <c r="E43" s="14">
        <v>0.23</v>
      </c>
      <c r="F43" s="14">
        <v>0.23541023115000001</v>
      </c>
      <c r="G43" s="15"/>
      <c r="H43" s="15"/>
      <c r="I43" s="15"/>
      <c r="J43" s="15"/>
      <c r="K43" s="25"/>
      <c r="L43" s="15"/>
      <c r="M43" s="15"/>
      <c r="N43" s="15"/>
      <c r="O43" s="15"/>
      <c r="P43" s="15"/>
      <c r="Q43" s="15"/>
      <c r="R43" s="15"/>
      <c r="S43" s="14"/>
      <c r="T43" s="14"/>
      <c r="AN43" s="26"/>
      <c r="AO43" s="26"/>
    </row>
    <row r="44" spans="1:41" ht="18" customHeight="1" x14ac:dyDescent="0.25">
      <c r="A44" s="14">
        <v>268548</v>
      </c>
      <c r="B44" s="14">
        <v>273102.80722000002</v>
      </c>
      <c r="C44" s="14">
        <v>38.82</v>
      </c>
      <c r="D44" s="14">
        <v>38.043599999999998</v>
      </c>
      <c r="E44" s="14">
        <v>35.9</v>
      </c>
      <c r="F44" s="14">
        <v>35.193284994000003</v>
      </c>
      <c r="G44" s="25"/>
      <c r="H44" s="15"/>
      <c r="I44" s="15"/>
      <c r="J44" s="15"/>
      <c r="K44" s="25"/>
      <c r="L44" s="15"/>
      <c r="M44" s="15"/>
      <c r="N44" s="15"/>
      <c r="O44" s="15"/>
      <c r="P44" s="15"/>
      <c r="Q44" s="15"/>
      <c r="R44" s="15"/>
      <c r="S44" s="14"/>
      <c r="T44" s="14"/>
      <c r="AN44" s="26"/>
      <c r="AO44" s="26"/>
    </row>
    <row r="45" spans="1:41" ht="18" customHeight="1" x14ac:dyDescent="0.25">
      <c r="A45" s="14">
        <v>0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5"/>
      <c r="H45" s="15"/>
      <c r="I45" s="15"/>
      <c r="J45" s="15"/>
      <c r="K45" s="25"/>
      <c r="L45" s="15"/>
      <c r="M45" s="15"/>
      <c r="N45" s="15"/>
      <c r="O45" s="15"/>
      <c r="P45" s="15"/>
      <c r="Q45" s="15"/>
      <c r="R45" s="15"/>
      <c r="S45" s="14"/>
      <c r="T45" s="14"/>
      <c r="AN45" s="26"/>
      <c r="AO45" s="26"/>
    </row>
    <row r="46" spans="1:41" ht="18" customHeight="1" x14ac:dyDescent="0.25">
      <c r="A46" s="14">
        <v>12412</v>
      </c>
      <c r="B46" s="14">
        <v>12350.934999999999</v>
      </c>
      <c r="C46" s="14">
        <v>56.24</v>
      </c>
      <c r="D46" s="14">
        <v>57.358638749999997</v>
      </c>
      <c r="E46" s="14">
        <v>54.36</v>
      </c>
      <c r="F46" s="14">
        <v>53.27331633</v>
      </c>
      <c r="G46" s="15"/>
      <c r="H46" s="15"/>
      <c r="I46" s="15"/>
      <c r="J46" s="15"/>
      <c r="K46" s="25"/>
      <c r="L46" s="15"/>
      <c r="M46" s="15"/>
      <c r="N46" s="15"/>
      <c r="O46" s="15"/>
      <c r="P46" s="15"/>
      <c r="Q46" s="15"/>
      <c r="R46" s="15"/>
      <c r="S46" s="14"/>
      <c r="T46" s="14"/>
      <c r="AN46" s="26"/>
      <c r="AO46" s="26"/>
    </row>
    <row r="47" spans="1:41" ht="18" customHeight="1" x14ac:dyDescent="0.25">
      <c r="A47" s="14">
        <v>282121</v>
      </c>
      <c r="B47" s="14">
        <v>285453.74222000001</v>
      </c>
      <c r="C47" s="14">
        <v>38.229999999999997</v>
      </c>
      <c r="D47" s="14">
        <v>38.879317851000003</v>
      </c>
      <c r="E47" s="14">
        <v>34.11</v>
      </c>
      <c r="F47" s="14">
        <v>35.975566880000002</v>
      </c>
      <c r="G47" s="15"/>
      <c r="H47" s="15"/>
      <c r="I47" s="15"/>
      <c r="J47" s="15"/>
      <c r="K47" s="25"/>
      <c r="L47" s="15"/>
      <c r="M47" s="15"/>
      <c r="N47" s="15"/>
      <c r="O47" s="15"/>
      <c r="P47" s="15"/>
      <c r="Q47" s="15"/>
      <c r="R47" s="15"/>
      <c r="S47" s="14"/>
      <c r="T47" s="14"/>
      <c r="AN47" s="26"/>
      <c r="AO47" s="26"/>
    </row>
    <row r="48" spans="1:41" ht="18" customHeight="1" x14ac:dyDescent="0.25">
      <c r="A48" s="14">
        <v>69078</v>
      </c>
      <c r="B48" s="14">
        <v>63723.153369</v>
      </c>
      <c r="C48" s="14">
        <v>6.24</v>
      </c>
      <c r="D48" s="14">
        <v>5.4912000000000001</v>
      </c>
      <c r="E48" s="14">
        <v>0.38</v>
      </c>
      <c r="F48" s="14">
        <v>0.40845177728999998</v>
      </c>
      <c r="G48" s="15"/>
      <c r="H48" s="15"/>
      <c r="I48" s="15"/>
      <c r="J48" s="15"/>
      <c r="K48" s="25"/>
      <c r="L48" s="15"/>
      <c r="M48" s="15"/>
      <c r="N48" s="15"/>
      <c r="O48" s="15"/>
      <c r="P48" s="15"/>
      <c r="Q48" s="15"/>
      <c r="R48" s="15"/>
      <c r="S48" s="14"/>
      <c r="T48" s="14"/>
      <c r="AN48" s="26"/>
      <c r="AO48" s="26"/>
    </row>
    <row r="49" spans="1:41" ht="18" customHeight="1" x14ac:dyDescent="0.25">
      <c r="A49" s="14">
        <v>213043</v>
      </c>
      <c r="B49" s="14">
        <v>221730.58885</v>
      </c>
      <c r="C49" s="14">
        <v>48.61</v>
      </c>
      <c r="D49" s="14">
        <v>48.474728956</v>
      </c>
      <c r="E49" s="14">
        <v>47.14</v>
      </c>
      <c r="F49" s="14">
        <v>46.197200000000002</v>
      </c>
      <c r="G49" s="15"/>
      <c r="H49" s="15"/>
      <c r="I49" s="15"/>
      <c r="J49" s="15"/>
      <c r="K49" s="25"/>
      <c r="L49" s="15"/>
      <c r="M49" s="15"/>
      <c r="N49" s="15"/>
      <c r="O49" s="15"/>
      <c r="P49" s="15"/>
      <c r="Q49" s="15"/>
      <c r="R49" s="15"/>
      <c r="S49" s="14"/>
      <c r="T49" s="14"/>
      <c r="AN49" s="26"/>
      <c r="AO49" s="26"/>
    </row>
    <row r="50" spans="1:41" ht="18" customHeight="1" x14ac:dyDescent="0.25">
      <c r="A50" s="14">
        <v>50421</v>
      </c>
      <c r="B50" s="14">
        <v>50012.979618999998</v>
      </c>
      <c r="C50" s="14">
        <v>6.52</v>
      </c>
      <c r="D50" s="14">
        <v>5.7375999999999996</v>
      </c>
      <c r="E50" s="14">
        <v>0.87</v>
      </c>
      <c r="F50" s="14">
        <v>0.97440000000000004</v>
      </c>
      <c r="G50" s="15"/>
      <c r="H50" s="15"/>
      <c r="I50" s="15"/>
      <c r="J50" s="15"/>
      <c r="K50" s="25"/>
      <c r="L50" s="15"/>
      <c r="M50" s="15"/>
      <c r="N50" s="15"/>
      <c r="O50" s="15"/>
      <c r="P50" s="15"/>
      <c r="Q50" s="15"/>
      <c r="R50" s="15"/>
      <c r="S50" s="14"/>
      <c r="T50" s="14"/>
      <c r="AN50" s="26"/>
      <c r="AO50" s="26"/>
    </row>
    <row r="51" spans="1:41" ht="18" customHeight="1" x14ac:dyDescent="0.25">
      <c r="A51" s="14">
        <v>162622</v>
      </c>
      <c r="B51" s="14">
        <v>171717.60923</v>
      </c>
      <c r="C51" s="14">
        <v>61.65</v>
      </c>
      <c r="D51" s="14">
        <v>60.921973993999998</v>
      </c>
      <c r="E51" s="14">
        <v>60.58</v>
      </c>
      <c r="F51" s="14">
        <v>59.368400000000001</v>
      </c>
      <c r="G51" s="15"/>
      <c r="H51" s="15"/>
      <c r="I51" s="15"/>
      <c r="J51" s="15"/>
      <c r="K51" s="25"/>
      <c r="L51" s="15"/>
      <c r="M51" s="15"/>
      <c r="N51" s="15"/>
      <c r="O51" s="15"/>
      <c r="P51" s="15"/>
      <c r="Q51" s="15"/>
      <c r="R51" s="15"/>
      <c r="S51" s="14"/>
      <c r="T51" s="14"/>
      <c r="AN51" s="26"/>
      <c r="AO51" s="26"/>
    </row>
    <row r="52" spans="1:41" ht="18" customHeight="1" x14ac:dyDescent="0.25">
      <c r="A52" s="14">
        <v>5463</v>
      </c>
      <c r="B52" s="14">
        <v>2119.4037752999998</v>
      </c>
      <c r="C52" s="14">
        <v>8.9499999999999993</v>
      </c>
      <c r="D52" s="14">
        <v>8.6177368921999999</v>
      </c>
      <c r="E52" s="14">
        <v>3.16</v>
      </c>
      <c r="F52" s="14">
        <v>3.2680413365000001</v>
      </c>
      <c r="G52" s="15"/>
      <c r="H52" s="15"/>
      <c r="I52" s="15"/>
      <c r="J52" s="15"/>
      <c r="K52" s="25"/>
      <c r="L52" s="15"/>
      <c r="M52" s="15"/>
      <c r="N52" s="15"/>
      <c r="O52" s="15"/>
      <c r="P52" s="15"/>
      <c r="Q52" s="15"/>
      <c r="R52" s="15"/>
      <c r="S52" s="14"/>
      <c r="T52" s="14"/>
      <c r="AN52" s="26"/>
      <c r="AO52" s="26"/>
    </row>
    <row r="53" spans="1:41" ht="18" customHeight="1" x14ac:dyDescent="0.25">
      <c r="A53" s="14">
        <v>157158</v>
      </c>
      <c r="B53" s="14">
        <v>169598.20546</v>
      </c>
      <c r="C53" s="14">
        <v>63.48</v>
      </c>
      <c r="D53" s="14">
        <v>61.575600000000001</v>
      </c>
      <c r="E53" s="14">
        <v>62.57</v>
      </c>
      <c r="F53" s="14">
        <v>60.069464682000003</v>
      </c>
      <c r="G53" s="15"/>
      <c r="H53" s="15"/>
      <c r="I53" s="15"/>
      <c r="J53" s="15"/>
      <c r="K53" s="25"/>
      <c r="L53" s="15"/>
      <c r="M53" s="15"/>
      <c r="N53" s="15"/>
      <c r="O53" s="15"/>
      <c r="P53" s="15"/>
      <c r="Q53" s="15"/>
      <c r="R53" s="15"/>
      <c r="S53" s="14"/>
      <c r="T53" s="14"/>
      <c r="AN53" s="26"/>
      <c r="AO53" s="26"/>
    </row>
    <row r="54" spans="1:41" ht="18" customHeight="1" x14ac:dyDescent="0.25">
      <c r="A54" s="15">
        <v>32338</v>
      </c>
      <c r="B54" s="15">
        <v>81933.205455000003</v>
      </c>
      <c r="C54" s="15">
        <v>55.56</v>
      </c>
      <c r="D54" s="15">
        <v>57.194768394</v>
      </c>
      <c r="E54" s="15">
        <v>47.74</v>
      </c>
      <c r="F54" s="15">
        <v>54.901000000000003</v>
      </c>
      <c r="G54" s="15"/>
      <c r="H54" s="15"/>
      <c r="I54" s="15"/>
      <c r="J54" s="15"/>
      <c r="K54" s="25"/>
      <c r="L54" s="15"/>
      <c r="M54" s="15"/>
      <c r="N54" s="15"/>
      <c r="O54" s="15"/>
      <c r="P54" s="15"/>
      <c r="Q54" s="15"/>
      <c r="R54" s="15"/>
      <c r="S54" s="14"/>
      <c r="T54" s="14"/>
      <c r="AN54" s="26"/>
      <c r="AO54" s="26"/>
    </row>
    <row r="55" spans="1:41" ht="18" customHeight="1" x14ac:dyDescent="0.25">
      <c r="A55" s="15">
        <v>123659</v>
      </c>
      <c r="B55" s="15">
        <v>88829.063989999995</v>
      </c>
      <c r="C55" s="15">
        <v>65.540000000000006</v>
      </c>
      <c r="D55" s="15">
        <v>65.538078753999997</v>
      </c>
      <c r="E55" s="15">
        <v>64.77</v>
      </c>
      <c r="F55" s="15">
        <v>64.675357070999993</v>
      </c>
      <c r="G55" s="15"/>
      <c r="H55" s="15"/>
      <c r="I55" s="15"/>
      <c r="J55" s="15"/>
      <c r="K55" s="25"/>
      <c r="L55" s="15"/>
      <c r="M55" s="15"/>
      <c r="N55" s="15"/>
      <c r="O55" s="15"/>
      <c r="P55" s="15"/>
      <c r="Q55" s="15"/>
      <c r="R55" s="15"/>
      <c r="S55" s="14"/>
      <c r="T55" s="14"/>
      <c r="AN55" s="26"/>
      <c r="AO55" s="26"/>
    </row>
    <row r="56" spans="1:41" ht="18" customHeight="1" x14ac:dyDescent="0.25">
      <c r="A56" s="15">
        <v>1161</v>
      </c>
      <c r="B56" s="15">
        <v>1164.0639900000001</v>
      </c>
      <c r="C56" s="15">
        <v>55.62</v>
      </c>
      <c r="D56" s="15">
        <v>55.603164372000002</v>
      </c>
      <c r="E56" s="15">
        <v>47.75</v>
      </c>
      <c r="F56" s="15">
        <v>47.757625255999997</v>
      </c>
      <c r="G56" s="15"/>
      <c r="H56" s="15"/>
      <c r="I56" s="15"/>
      <c r="J56" s="15"/>
      <c r="K56" s="25"/>
      <c r="L56" s="15"/>
      <c r="M56" s="15"/>
      <c r="N56" s="15"/>
      <c r="O56" s="15"/>
      <c r="P56" s="15"/>
      <c r="Q56" s="15"/>
      <c r="R56" s="15"/>
      <c r="S56" s="14"/>
      <c r="T56" s="14"/>
      <c r="AN56" s="26"/>
      <c r="AO56" s="26"/>
    </row>
    <row r="57" spans="1:41" x14ac:dyDescent="0.2">
      <c r="A57" s="15">
        <v>0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4"/>
      <c r="T57" s="14"/>
      <c r="AN57" s="26"/>
      <c r="AO57" s="26"/>
    </row>
    <row r="58" spans="1:41" x14ac:dyDescent="0.2">
      <c r="A58" s="15">
        <v>87665</v>
      </c>
      <c r="B58" s="15">
        <v>87665</v>
      </c>
      <c r="C58" s="15">
        <v>65.67</v>
      </c>
      <c r="D58" s="15">
        <v>65.67</v>
      </c>
      <c r="E58" s="15">
        <v>64.900000000000006</v>
      </c>
      <c r="F58" s="15">
        <v>64.900000000000006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4"/>
      <c r="T58" s="14"/>
      <c r="AN58" s="26"/>
      <c r="AO58" s="26"/>
    </row>
    <row r="59" spans="1:41" x14ac:dyDescent="0.2">
      <c r="A59" s="15">
        <v>1175005</v>
      </c>
      <c r="B59" s="15">
        <v>1210937.9350000001</v>
      </c>
      <c r="C59" s="15">
        <v>7.9</v>
      </c>
      <c r="D59" s="15">
        <v>9.5342700787000005</v>
      </c>
      <c r="E59" s="15">
        <v>1.64</v>
      </c>
      <c r="F59" s="15">
        <v>4.0979052586</v>
      </c>
      <c r="G59" s="28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4"/>
      <c r="T59" s="14"/>
      <c r="AN59" s="26"/>
      <c r="AO59" s="26"/>
    </row>
    <row r="60" spans="1:41" x14ac:dyDescent="0.2">
      <c r="A60" s="15">
        <v>0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4"/>
      <c r="T60" s="14"/>
      <c r="AN60" s="26"/>
      <c r="AO60" s="26"/>
    </row>
    <row r="61" spans="1:41" x14ac:dyDescent="0.2">
      <c r="A61" s="15">
        <v>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4"/>
      <c r="T61" s="14"/>
      <c r="AN61" s="26"/>
      <c r="AO61" s="26"/>
    </row>
    <row r="62" spans="1:41" x14ac:dyDescent="0.2">
      <c r="A62" s="15">
        <v>268548</v>
      </c>
      <c r="B62" s="15">
        <v>273102.80722000002</v>
      </c>
      <c r="C62" s="15">
        <v>38.82</v>
      </c>
      <c r="D62" s="15">
        <v>38.043599999999998</v>
      </c>
      <c r="E62" s="15">
        <v>35.9</v>
      </c>
      <c r="F62" s="15">
        <v>35.193284994000003</v>
      </c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4"/>
      <c r="T62" s="14"/>
      <c r="AN62" s="26"/>
      <c r="AO62" s="26"/>
    </row>
    <row r="63" spans="1:4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4"/>
      <c r="T63" s="14"/>
      <c r="AN63" s="26"/>
      <c r="AO63" s="26"/>
    </row>
    <row r="64" spans="1:4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4"/>
      <c r="T64" s="14"/>
      <c r="AN64" s="26"/>
      <c r="AO64" s="26"/>
    </row>
    <row r="65" spans="1:41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4"/>
      <c r="T65" s="14"/>
      <c r="AN65" s="26"/>
      <c r="AO65" s="26"/>
    </row>
    <row r="66" spans="1:41" ht="24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3"/>
      <c r="M66" s="13"/>
      <c r="N66" s="15"/>
      <c r="O66" s="12" t="s">
        <v>0</v>
      </c>
      <c r="P66" s="12"/>
      <c r="Q66" s="12"/>
      <c r="R66" s="15"/>
      <c r="S66" s="11"/>
      <c r="T66" s="11"/>
      <c r="W66" s="24"/>
      <c r="AB66" s="10"/>
      <c r="AC66" s="10"/>
      <c r="AD66" s="10"/>
      <c r="AE66" s="10"/>
      <c r="AN66" s="26"/>
      <c r="AO66" s="26"/>
    </row>
    <row r="67" spans="1:41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30"/>
      <c r="M67" s="30"/>
      <c r="N67" s="15"/>
      <c r="O67" s="30" t="s">
        <v>1</v>
      </c>
      <c r="P67" s="30" t="s">
        <v>2</v>
      </c>
      <c r="Q67" s="30" t="s">
        <v>3</v>
      </c>
      <c r="R67" s="15"/>
      <c r="S67" s="31"/>
      <c r="T67" s="31"/>
      <c r="U67" s="32"/>
      <c r="W67" s="32"/>
      <c r="AN67" s="26"/>
      <c r="AO67" s="26"/>
    </row>
    <row r="68" spans="1:41" ht="1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33"/>
      <c r="M68" s="34"/>
      <c r="N68" s="15" t="s">
        <v>4</v>
      </c>
      <c r="O68" s="33">
        <f t="shared" ref="O68:O99" si="1">B1</f>
        <v>14466</v>
      </c>
      <c r="P68" s="34">
        <f t="shared" ref="P68:P99" si="2">IF(D$1&gt;1,D1/100,D1)</f>
        <v>0.58966186647999996</v>
      </c>
      <c r="Q68" s="34">
        <f t="shared" ref="Q68:Q99" si="3">IF(F$1&gt;1,F1/100,F1)</f>
        <v>0.55895282921</v>
      </c>
      <c r="R68" s="35">
        <f t="shared" ref="R68:R99" si="4">P68*O68</f>
        <v>8530.0485604996793</v>
      </c>
      <c r="S68" s="36"/>
      <c r="T68" s="36"/>
      <c r="U68" s="37"/>
      <c r="V68" s="38"/>
      <c r="W68" s="37"/>
      <c r="X68" s="38"/>
      <c r="AB68" s="20"/>
      <c r="AN68" s="26"/>
      <c r="AO68" s="26"/>
    </row>
    <row r="69" spans="1:41" ht="15" customHeight="1" x14ac:dyDescent="0.25">
      <c r="A69" s="15"/>
      <c r="B69" s="15"/>
      <c r="C69" s="15"/>
      <c r="D69" s="15"/>
      <c r="E69" s="15"/>
      <c r="F69" s="15"/>
      <c r="G69" s="15"/>
      <c r="H69" s="15"/>
      <c r="I69" s="33"/>
      <c r="J69" s="15"/>
      <c r="K69" s="15"/>
      <c r="L69" s="33"/>
      <c r="M69" s="34"/>
      <c r="N69" s="15" t="s">
        <v>5</v>
      </c>
      <c r="O69" s="33">
        <f t="shared" si="1"/>
        <v>5459.26</v>
      </c>
      <c r="P69" s="34">
        <f t="shared" si="2"/>
        <v>0.58091105566000001</v>
      </c>
      <c r="Q69" s="34">
        <f t="shared" si="3"/>
        <v>0.56745731634999996</v>
      </c>
      <c r="R69" s="35">
        <f t="shared" si="4"/>
        <v>3171.3444897224117</v>
      </c>
      <c r="S69" s="36"/>
      <c r="T69" s="36"/>
      <c r="U69" s="37"/>
      <c r="V69" s="38"/>
      <c r="W69" s="37"/>
      <c r="X69" s="38"/>
      <c r="AB69" s="20"/>
      <c r="AN69" s="26"/>
      <c r="AO69" s="26"/>
    </row>
    <row r="70" spans="1:41" ht="15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33"/>
      <c r="M70" s="34"/>
      <c r="N70" s="15" t="s">
        <v>6</v>
      </c>
      <c r="O70" s="33">
        <f t="shared" si="1"/>
        <v>9006.74</v>
      </c>
      <c r="P70" s="34">
        <f t="shared" si="2"/>
        <v>0.59496599999999999</v>
      </c>
      <c r="Q70" s="34">
        <f t="shared" si="3"/>
        <v>0.55379800000000001</v>
      </c>
      <c r="R70" s="35">
        <f t="shared" si="4"/>
        <v>5358.70407084</v>
      </c>
      <c r="S70" s="36"/>
      <c r="T70" s="36"/>
      <c r="U70" s="37"/>
      <c r="V70" s="38"/>
      <c r="W70" s="37"/>
      <c r="X70" s="38"/>
      <c r="AB70" s="20"/>
      <c r="AN70" s="26"/>
      <c r="AO70" s="26"/>
    </row>
    <row r="71" spans="1:41" ht="15" customHeight="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33"/>
      <c r="M71" s="34"/>
      <c r="N71" s="15" t="s">
        <v>7</v>
      </c>
      <c r="O71" s="33">
        <f t="shared" si="1"/>
        <v>2756</v>
      </c>
      <c r="P71" s="34">
        <f t="shared" si="2"/>
        <v>0.44371713479000002</v>
      </c>
      <c r="Q71" s="34">
        <f t="shared" si="3"/>
        <v>0.41114201516000004</v>
      </c>
      <c r="R71" s="35">
        <f t="shared" si="4"/>
        <v>1222.88442348124</v>
      </c>
      <c r="S71" s="36"/>
      <c r="T71" s="36"/>
      <c r="U71" s="37"/>
      <c r="V71" s="38"/>
      <c r="W71" s="37"/>
      <c r="X71" s="38"/>
      <c r="AB71" s="20"/>
      <c r="AN71" s="26"/>
      <c r="AO71" s="26"/>
    </row>
    <row r="72" spans="1:41" ht="15" customHeight="1" x14ac:dyDescent="0.25">
      <c r="A72" s="15"/>
      <c r="B72" s="15"/>
      <c r="C72" s="15"/>
      <c r="D72" s="15"/>
      <c r="E72" s="15"/>
      <c r="F72" s="15"/>
      <c r="G72" s="15"/>
      <c r="H72" s="15"/>
      <c r="I72" s="33"/>
      <c r="J72" s="15"/>
      <c r="K72" s="15"/>
      <c r="L72" s="33"/>
      <c r="M72" s="34"/>
      <c r="N72" s="15" t="s">
        <v>8</v>
      </c>
      <c r="O72" s="33">
        <f t="shared" si="1"/>
        <v>1679.41</v>
      </c>
      <c r="P72" s="34">
        <f t="shared" si="2"/>
        <v>0.43967410299999998</v>
      </c>
      <c r="Q72" s="34">
        <f t="shared" si="3"/>
        <v>0.41493192733999995</v>
      </c>
      <c r="R72" s="35">
        <f t="shared" si="4"/>
        <v>738.39308531922995</v>
      </c>
      <c r="S72" s="36"/>
      <c r="T72" s="36"/>
      <c r="U72" s="37"/>
      <c r="V72" s="38"/>
      <c r="W72" s="37"/>
      <c r="X72" s="38"/>
      <c r="AB72" s="20"/>
      <c r="AN72" s="26"/>
      <c r="AO72" s="26"/>
    </row>
    <row r="73" spans="1:41" ht="15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33"/>
      <c r="M73" s="34"/>
      <c r="N73" s="15" t="s">
        <v>9</v>
      </c>
      <c r="O73" s="33">
        <f t="shared" si="1"/>
        <v>1076.5899999999999</v>
      </c>
      <c r="P73" s="34">
        <f t="shared" si="2"/>
        <v>0.45002400000000004</v>
      </c>
      <c r="Q73" s="34">
        <f t="shared" si="3"/>
        <v>0.40523000000000003</v>
      </c>
      <c r="R73" s="35">
        <f t="shared" si="4"/>
        <v>484.49133816</v>
      </c>
      <c r="S73" s="36"/>
      <c r="T73" s="36"/>
      <c r="U73" s="37"/>
      <c r="V73" s="38"/>
      <c r="W73" s="37"/>
      <c r="X73" s="38"/>
      <c r="AB73" s="20"/>
      <c r="AN73" s="26"/>
      <c r="AO73" s="26"/>
    </row>
    <row r="74" spans="1:41" ht="15" customHeight="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33"/>
      <c r="M74" s="34"/>
      <c r="N74" s="15" t="s">
        <v>10</v>
      </c>
      <c r="O74" s="33">
        <f t="shared" si="1"/>
        <v>10839</v>
      </c>
      <c r="P74" s="34">
        <f t="shared" si="2"/>
        <v>0.53040222434999995</v>
      </c>
      <c r="Q74" s="34">
        <f t="shared" si="3"/>
        <v>0.51212916134999997</v>
      </c>
      <c r="R74" s="35">
        <f t="shared" si="4"/>
        <v>5749.0297097296498</v>
      </c>
      <c r="S74" s="36"/>
      <c r="T74" s="36"/>
      <c r="U74" s="37"/>
      <c r="V74" s="38"/>
      <c r="W74" s="37"/>
      <c r="X74" s="38"/>
      <c r="AB74" s="20"/>
      <c r="AN74" s="26"/>
      <c r="AO74" s="26"/>
    </row>
    <row r="75" spans="1:41" ht="15" customHeight="1" x14ac:dyDescent="0.25">
      <c r="A75" s="15"/>
      <c r="B75" s="15"/>
      <c r="C75" s="15"/>
      <c r="D75" s="15"/>
      <c r="E75" s="15"/>
      <c r="F75" s="15"/>
      <c r="G75" s="15"/>
      <c r="H75" s="15"/>
      <c r="I75" s="33"/>
      <c r="J75" s="15"/>
      <c r="K75" s="15"/>
      <c r="L75" s="33"/>
      <c r="M75" s="34"/>
      <c r="N75" s="15" t="s">
        <v>11</v>
      </c>
      <c r="O75" s="33">
        <f t="shared" si="1"/>
        <v>8571.3950000000004</v>
      </c>
      <c r="P75" s="34">
        <f t="shared" si="2"/>
        <v>0.52592336834999998</v>
      </c>
      <c r="Q75" s="34">
        <f t="shared" si="3"/>
        <v>0.51279826351000002</v>
      </c>
      <c r="R75" s="35">
        <f t="shared" si="4"/>
        <v>4507.8969298583479</v>
      </c>
      <c r="S75" s="36"/>
      <c r="T75" s="36"/>
      <c r="U75" s="37"/>
      <c r="V75" s="38"/>
      <c r="W75" s="37"/>
      <c r="X75" s="38"/>
      <c r="AB75" s="20"/>
      <c r="AN75" s="26"/>
      <c r="AO75" s="26"/>
    </row>
    <row r="76" spans="1:41" ht="15" customHeight="1" x14ac:dyDescent="0.25">
      <c r="A76" s="15"/>
      <c r="B76" s="15"/>
      <c r="C76" s="15"/>
      <c r="D76" s="30"/>
      <c r="E76" s="30"/>
      <c r="F76" s="30"/>
      <c r="G76" s="30"/>
      <c r="H76" s="30"/>
      <c r="I76" s="15"/>
      <c r="J76" s="15"/>
      <c r="K76" s="15"/>
      <c r="L76" s="33"/>
      <c r="M76" s="34"/>
      <c r="N76" s="15" t="s">
        <v>12</v>
      </c>
      <c r="O76" s="33">
        <f t="shared" si="1"/>
        <v>2267.605</v>
      </c>
      <c r="P76" s="34">
        <f t="shared" si="2"/>
        <v>0.54733199999999993</v>
      </c>
      <c r="Q76" s="34">
        <f t="shared" si="3"/>
        <v>0.50960000000000005</v>
      </c>
      <c r="R76" s="35">
        <f t="shared" si="4"/>
        <v>1241.1327798599998</v>
      </c>
      <c r="S76" s="36"/>
      <c r="T76" s="36"/>
      <c r="U76" s="37"/>
      <c r="V76" s="38"/>
      <c r="W76" s="37"/>
      <c r="X76" s="38"/>
      <c r="AB76" s="20"/>
      <c r="AN76" s="26"/>
      <c r="AO76" s="26"/>
    </row>
    <row r="77" spans="1:41" ht="15" customHeight="1" x14ac:dyDescent="0.25">
      <c r="A77" s="15"/>
      <c r="B77" s="15"/>
      <c r="C77" s="15"/>
      <c r="D77" s="39"/>
      <c r="E77" s="39"/>
      <c r="F77" s="39"/>
      <c r="G77" s="39"/>
      <c r="H77" s="39"/>
      <c r="I77" s="15"/>
      <c r="J77" s="15"/>
      <c r="K77" s="15"/>
      <c r="L77" s="33"/>
      <c r="M77" s="34"/>
      <c r="N77" s="15" t="s">
        <v>13</v>
      </c>
      <c r="O77" s="33">
        <f t="shared" si="1"/>
        <v>0</v>
      </c>
      <c r="P77" s="34">
        <f t="shared" si="2"/>
        <v>0</v>
      </c>
      <c r="Q77" s="34">
        <f t="shared" si="3"/>
        <v>0</v>
      </c>
      <c r="R77" s="35">
        <f t="shared" si="4"/>
        <v>0</v>
      </c>
      <c r="S77" s="36"/>
      <c r="T77" s="36"/>
      <c r="U77" s="37"/>
      <c r="V77" s="38"/>
      <c r="W77" s="37"/>
      <c r="X77" s="38"/>
      <c r="AB77" s="20"/>
      <c r="AN77" s="26"/>
      <c r="AO77" s="26"/>
    </row>
    <row r="78" spans="1:41" ht="15" customHeight="1" x14ac:dyDescent="0.25">
      <c r="A78" s="15"/>
      <c r="B78" s="15"/>
      <c r="C78" s="15"/>
      <c r="D78" s="39"/>
      <c r="E78" s="39"/>
      <c r="F78" s="39"/>
      <c r="G78" s="39"/>
      <c r="H78" s="39"/>
      <c r="I78" s="33"/>
      <c r="J78" s="15"/>
      <c r="K78" s="15"/>
      <c r="L78" s="33"/>
      <c r="M78" s="34"/>
      <c r="N78" s="15" t="s">
        <v>14</v>
      </c>
      <c r="O78" s="33">
        <f t="shared" si="1"/>
        <v>0</v>
      </c>
      <c r="P78" s="34">
        <f t="shared" si="2"/>
        <v>0</v>
      </c>
      <c r="Q78" s="34">
        <f t="shared" si="3"/>
        <v>0</v>
      </c>
      <c r="R78" s="35">
        <f t="shared" si="4"/>
        <v>0</v>
      </c>
      <c r="S78" s="36"/>
      <c r="T78" s="36"/>
      <c r="U78" s="37"/>
      <c r="V78" s="38"/>
      <c r="W78" s="37"/>
      <c r="X78" s="38"/>
      <c r="AB78" s="20"/>
      <c r="AN78" s="26"/>
      <c r="AO78" s="26"/>
    </row>
    <row r="79" spans="1:41" ht="15" customHeight="1" x14ac:dyDescent="0.25">
      <c r="A79" s="15"/>
      <c r="B79" s="15"/>
      <c r="C79" s="15"/>
      <c r="D79" s="39"/>
      <c r="E79" s="39"/>
      <c r="F79" s="39"/>
      <c r="G79" s="39"/>
      <c r="H79" s="39"/>
      <c r="I79" s="15"/>
      <c r="J79" s="15"/>
      <c r="K79" s="15"/>
      <c r="L79" s="33"/>
      <c r="M79" s="34"/>
      <c r="N79" s="15" t="s">
        <v>15</v>
      </c>
      <c r="O79" s="33">
        <f t="shared" si="1"/>
        <v>0</v>
      </c>
      <c r="P79" s="34">
        <f t="shared" si="2"/>
        <v>0</v>
      </c>
      <c r="Q79" s="34">
        <f t="shared" si="3"/>
        <v>0</v>
      </c>
      <c r="R79" s="35">
        <f t="shared" si="4"/>
        <v>0</v>
      </c>
      <c r="S79" s="36"/>
      <c r="T79" s="36"/>
      <c r="U79" s="37"/>
      <c r="V79" s="38"/>
      <c r="W79" s="37"/>
      <c r="X79" s="38"/>
      <c r="AB79" s="20"/>
      <c r="AN79" s="26"/>
      <c r="AO79" s="26"/>
    </row>
    <row r="80" spans="1:41" ht="15" customHeight="1" x14ac:dyDescent="0.25">
      <c r="A80" s="15"/>
      <c r="B80" s="39"/>
      <c r="C80" s="39"/>
      <c r="D80" s="39"/>
      <c r="E80" s="39"/>
      <c r="F80" s="39"/>
      <c r="G80" s="39"/>
      <c r="H80" s="39"/>
      <c r="I80" s="15"/>
      <c r="J80" s="15"/>
      <c r="K80" s="15"/>
      <c r="L80" s="33"/>
      <c r="M80" s="34"/>
      <c r="N80" s="15" t="s">
        <v>16</v>
      </c>
      <c r="O80" s="33">
        <f t="shared" si="1"/>
        <v>0</v>
      </c>
      <c r="P80" s="34">
        <f t="shared" si="2"/>
        <v>0</v>
      </c>
      <c r="Q80" s="34">
        <f t="shared" si="3"/>
        <v>0</v>
      </c>
      <c r="R80" s="35">
        <f t="shared" si="4"/>
        <v>0</v>
      </c>
      <c r="S80" s="36"/>
      <c r="T80" s="36"/>
      <c r="U80" s="37"/>
      <c r="V80" s="38"/>
      <c r="W80" s="37"/>
      <c r="X80" s="38"/>
      <c r="AB80" s="20"/>
      <c r="AN80" s="26"/>
      <c r="AO80" s="26"/>
    </row>
    <row r="81" spans="1:41" ht="15" customHeight="1" x14ac:dyDescent="0.25">
      <c r="A81" s="15"/>
      <c r="B81" s="15"/>
      <c r="C81" s="15"/>
      <c r="D81" s="15"/>
      <c r="E81" s="15"/>
      <c r="F81" s="15"/>
      <c r="G81" s="15"/>
      <c r="H81" s="15"/>
      <c r="I81" s="33"/>
      <c r="J81" s="15"/>
      <c r="K81" s="15"/>
      <c r="L81" s="33"/>
      <c r="M81" s="34"/>
      <c r="N81" s="15" t="s">
        <v>17</v>
      </c>
      <c r="O81" s="33">
        <f t="shared" si="1"/>
        <v>0</v>
      </c>
      <c r="P81" s="34">
        <f t="shared" si="2"/>
        <v>0</v>
      </c>
      <c r="Q81" s="34">
        <f t="shared" si="3"/>
        <v>0</v>
      </c>
      <c r="R81" s="35">
        <f t="shared" si="4"/>
        <v>0</v>
      </c>
      <c r="S81" s="36"/>
      <c r="T81" s="36"/>
      <c r="U81" s="37"/>
      <c r="V81" s="38"/>
      <c r="W81" s="37"/>
      <c r="X81" s="38"/>
      <c r="AB81" s="20"/>
      <c r="AN81" s="26"/>
      <c r="AO81" s="26"/>
    </row>
    <row r="82" spans="1:41" ht="15" customHeight="1" x14ac:dyDescent="0.25">
      <c r="A82" s="30"/>
      <c r="B82" s="39"/>
      <c r="C82" s="39"/>
      <c r="D82" s="39"/>
      <c r="E82" s="39"/>
      <c r="F82" s="39"/>
      <c r="G82" s="39"/>
      <c r="H82" s="39"/>
      <c r="I82" s="40"/>
      <c r="J82" s="15"/>
      <c r="K82" s="15"/>
      <c r="L82" s="33"/>
      <c r="M82" s="34"/>
      <c r="N82" s="15" t="s">
        <v>18</v>
      </c>
      <c r="O82" s="33">
        <f t="shared" si="1"/>
        <v>0</v>
      </c>
      <c r="P82" s="34">
        <f t="shared" si="2"/>
        <v>0</v>
      </c>
      <c r="Q82" s="34">
        <f t="shared" si="3"/>
        <v>0</v>
      </c>
      <c r="R82" s="35">
        <f t="shared" si="4"/>
        <v>0</v>
      </c>
      <c r="S82" s="36"/>
      <c r="T82" s="36"/>
      <c r="U82" s="37"/>
      <c r="V82" s="38"/>
      <c r="W82" s="37"/>
      <c r="X82" s="38"/>
      <c r="AB82" s="20"/>
      <c r="AN82" s="26"/>
      <c r="AO82" s="26"/>
    </row>
    <row r="83" spans="1:41" ht="15" customHeight="1" x14ac:dyDescent="0.25">
      <c r="A83" s="30"/>
      <c r="B83" s="40"/>
      <c r="C83" s="40"/>
      <c r="D83" s="40"/>
      <c r="E83" s="40"/>
      <c r="F83" s="40"/>
      <c r="G83" s="40"/>
      <c r="H83" s="40"/>
      <c r="I83" s="40"/>
      <c r="J83" s="15"/>
      <c r="K83" s="15"/>
      <c r="L83" s="33"/>
      <c r="M83" s="34"/>
      <c r="N83" s="15" t="s">
        <v>19</v>
      </c>
      <c r="O83" s="33">
        <f t="shared" si="1"/>
        <v>0</v>
      </c>
      <c r="P83" s="34">
        <f t="shared" si="2"/>
        <v>0</v>
      </c>
      <c r="Q83" s="34">
        <f t="shared" si="3"/>
        <v>0</v>
      </c>
      <c r="R83" s="35">
        <f t="shared" si="4"/>
        <v>0</v>
      </c>
      <c r="S83" s="36"/>
      <c r="T83" s="36"/>
      <c r="U83" s="37"/>
      <c r="V83" s="38"/>
      <c r="W83" s="37"/>
      <c r="X83" s="38"/>
      <c r="AB83" s="20"/>
      <c r="AN83" s="26"/>
      <c r="AO83" s="26"/>
    </row>
    <row r="84" spans="1:41" ht="15" customHeight="1" x14ac:dyDescent="0.25">
      <c r="A84" s="15"/>
      <c r="B84" s="15"/>
      <c r="C84" s="15"/>
      <c r="D84" s="15"/>
      <c r="E84" s="15"/>
      <c r="F84" s="15"/>
      <c r="G84" s="15"/>
      <c r="H84" s="15"/>
      <c r="I84" s="33"/>
      <c r="J84" s="15"/>
      <c r="K84" s="15"/>
      <c r="L84" s="33"/>
      <c r="M84" s="34"/>
      <c r="N84" s="15" t="s">
        <v>20</v>
      </c>
      <c r="O84" s="33">
        <f t="shared" si="1"/>
        <v>0</v>
      </c>
      <c r="P84" s="34">
        <f t="shared" si="2"/>
        <v>0</v>
      </c>
      <c r="Q84" s="34">
        <f t="shared" si="3"/>
        <v>0</v>
      </c>
      <c r="R84" s="35">
        <f t="shared" si="4"/>
        <v>0</v>
      </c>
      <c r="S84" s="36"/>
      <c r="T84" s="36"/>
      <c r="U84" s="37"/>
      <c r="V84" s="38"/>
      <c r="W84" s="37"/>
      <c r="X84" s="38"/>
      <c r="AB84" s="20"/>
      <c r="AN84" s="26"/>
      <c r="AO84" s="26"/>
    </row>
    <row r="85" spans="1:41" ht="15" customHeight="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33"/>
      <c r="M85" s="34"/>
      <c r="N85" s="15" t="s">
        <v>21</v>
      </c>
      <c r="O85" s="33">
        <f t="shared" si="1"/>
        <v>0</v>
      </c>
      <c r="P85" s="34">
        <f t="shared" si="2"/>
        <v>0</v>
      </c>
      <c r="Q85" s="34">
        <f t="shared" si="3"/>
        <v>0</v>
      </c>
      <c r="R85" s="35">
        <f t="shared" si="4"/>
        <v>0</v>
      </c>
      <c r="S85" s="36"/>
      <c r="T85" s="36"/>
      <c r="U85" s="37"/>
      <c r="V85" s="38"/>
      <c r="W85" s="37"/>
      <c r="X85" s="38"/>
      <c r="AB85" s="20"/>
      <c r="AN85" s="26"/>
      <c r="AO85" s="26"/>
    </row>
    <row r="86" spans="1:41" ht="15" customHeight="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33"/>
      <c r="M86" s="34"/>
      <c r="N86" s="15" t="s">
        <v>22</v>
      </c>
      <c r="O86" s="33">
        <f t="shared" si="1"/>
        <v>0</v>
      </c>
      <c r="P86" s="34">
        <f t="shared" si="2"/>
        <v>0</v>
      </c>
      <c r="Q86" s="34">
        <f t="shared" si="3"/>
        <v>0</v>
      </c>
      <c r="R86" s="35">
        <f t="shared" si="4"/>
        <v>0</v>
      </c>
      <c r="S86" s="36"/>
      <c r="T86" s="36"/>
      <c r="U86" s="37"/>
      <c r="V86" s="38"/>
      <c r="W86" s="37"/>
      <c r="X86" s="38"/>
      <c r="AB86" s="20"/>
    </row>
    <row r="87" spans="1:41" ht="15" customHeight="1" x14ac:dyDescent="0.25">
      <c r="A87" s="15"/>
      <c r="B87" s="15"/>
      <c r="C87" s="15"/>
      <c r="D87" s="15"/>
      <c r="E87" s="15"/>
      <c r="F87" s="15"/>
      <c r="G87" s="15"/>
      <c r="H87" s="15"/>
      <c r="I87" s="33"/>
      <c r="J87" s="15"/>
      <c r="K87" s="15"/>
      <c r="L87" s="33"/>
      <c r="M87" s="34"/>
      <c r="N87" s="15" t="s">
        <v>23</v>
      </c>
      <c r="O87" s="33">
        <f t="shared" si="1"/>
        <v>0</v>
      </c>
      <c r="P87" s="34">
        <f t="shared" si="2"/>
        <v>0</v>
      </c>
      <c r="Q87" s="34">
        <f t="shared" si="3"/>
        <v>0</v>
      </c>
      <c r="R87" s="35">
        <f t="shared" si="4"/>
        <v>0</v>
      </c>
      <c r="S87" s="36"/>
      <c r="T87" s="36"/>
      <c r="U87" s="37"/>
      <c r="V87" s="38"/>
      <c r="W87" s="37"/>
      <c r="X87" s="38"/>
      <c r="AB87" s="21"/>
    </row>
    <row r="88" spans="1:41" ht="15" customHeight="1" x14ac:dyDescent="0.25">
      <c r="A88" s="29" t="s">
        <v>2</v>
      </c>
      <c r="B88" s="30" t="str">
        <f>+'[1]Informacion Planta'!B41</f>
        <v>R1</v>
      </c>
      <c r="C88" s="30" t="str">
        <f>+'[1]Informacion Planta'!C41</f>
        <v>R2</v>
      </c>
      <c r="D88" s="30" t="str">
        <f>+'[1]Informacion Planta'!D41</f>
        <v>Hidro</v>
      </c>
      <c r="E88" s="30" t="str">
        <f>+'[1]Informacion Planta'!E41</f>
        <v>Finisher</v>
      </c>
      <c r="F88" s="30" t="str">
        <f>+'[1]Informacion Planta'!F41</f>
        <v>Flot Magn</v>
      </c>
      <c r="G88" s="30" t="str">
        <f>+'[1]Informacion Planta'!G41</f>
        <v>Flot Neum</v>
      </c>
      <c r="H88" s="30" t="str">
        <f>+'[1]Informacion Planta'!H41</f>
        <v>Esp. Conc</v>
      </c>
      <c r="I88" s="15"/>
      <c r="J88" s="15"/>
      <c r="K88" s="15"/>
      <c r="L88" s="33"/>
      <c r="M88" s="34"/>
      <c r="N88" s="15" t="s">
        <v>24</v>
      </c>
      <c r="O88" s="33">
        <f t="shared" si="1"/>
        <v>0</v>
      </c>
      <c r="P88" s="34">
        <f t="shared" si="2"/>
        <v>0</v>
      </c>
      <c r="Q88" s="34">
        <f t="shared" si="3"/>
        <v>0</v>
      </c>
      <c r="R88" s="35">
        <f t="shared" si="4"/>
        <v>0</v>
      </c>
      <c r="S88" s="36"/>
      <c r="T88" s="36"/>
      <c r="U88" s="37"/>
      <c r="V88" s="38"/>
      <c r="W88" s="37"/>
      <c r="X88" s="38"/>
      <c r="AB88" s="21"/>
    </row>
    <row r="89" spans="1:41" ht="15" customHeight="1" x14ac:dyDescent="0.25">
      <c r="A89" s="41" t="s">
        <v>25</v>
      </c>
      <c r="B89" s="42">
        <f>+P107</f>
        <v>0.12900999999999999</v>
      </c>
      <c r="C89" s="42">
        <f>+P109</f>
        <v>0.30845345072000002</v>
      </c>
      <c r="D89" s="42">
        <f>+P114</f>
        <v>0.38879317851000006</v>
      </c>
      <c r="E89" s="42">
        <f>+P116</f>
        <v>0.48474728956000002</v>
      </c>
      <c r="F89" s="42">
        <f>+P118</f>
        <v>0.60921973994</v>
      </c>
      <c r="G89" s="42">
        <f>+P120</f>
        <v>0.61575599999999997</v>
      </c>
      <c r="H89" s="42">
        <f>+P122</f>
        <v>0.65538078753999995</v>
      </c>
      <c r="I89" s="43"/>
      <c r="J89" s="15"/>
      <c r="K89" s="15"/>
      <c r="L89" s="33"/>
      <c r="M89" s="34"/>
      <c r="N89" s="15" t="s">
        <v>26</v>
      </c>
      <c r="O89" s="33">
        <f t="shared" si="1"/>
        <v>1566</v>
      </c>
      <c r="P89" s="34">
        <f t="shared" si="2"/>
        <v>0.52011388218999999</v>
      </c>
      <c r="Q89" s="34">
        <f t="shared" si="3"/>
        <v>0.43529996954</v>
      </c>
      <c r="R89" s="35">
        <f t="shared" si="4"/>
        <v>814.49833950953996</v>
      </c>
      <c r="S89" s="36"/>
      <c r="T89" s="36"/>
      <c r="U89" s="37"/>
      <c r="V89" s="38"/>
      <c r="W89" s="37"/>
      <c r="X89" s="38"/>
      <c r="AB89" s="21"/>
    </row>
    <row r="90" spans="1:41" ht="15" customHeight="1" x14ac:dyDescent="0.25">
      <c r="A90" s="41" t="s">
        <v>27</v>
      </c>
      <c r="B90" s="42">
        <f>+P109</f>
        <v>0.30845345072000002</v>
      </c>
      <c r="C90" s="42">
        <f>+P111</f>
        <v>0.380436</v>
      </c>
      <c r="D90" s="42">
        <f>+P116</f>
        <v>0.48474728956000002</v>
      </c>
      <c r="E90" s="42">
        <f>+P118</f>
        <v>0.60921973994</v>
      </c>
      <c r="F90" s="42">
        <f>+P120</f>
        <v>0.61575599999999997</v>
      </c>
      <c r="G90" s="42">
        <f>+P122</f>
        <v>0.65538078753999995</v>
      </c>
      <c r="H90" s="42">
        <f>+P125</f>
        <v>0.65670000000000006</v>
      </c>
      <c r="I90" s="44">
        <f>+'[1]Calc Nodos Stock'!E12</f>
        <v>2097.3996419743298</v>
      </c>
      <c r="J90" s="15"/>
      <c r="K90" s="15"/>
      <c r="L90" s="33"/>
      <c r="M90" s="34"/>
      <c r="N90" s="15" t="s">
        <v>28</v>
      </c>
      <c r="O90" s="33">
        <f t="shared" si="1"/>
        <v>1566</v>
      </c>
      <c r="P90" s="34">
        <f t="shared" si="2"/>
        <v>0.52011388218999999</v>
      </c>
      <c r="Q90" s="34">
        <f t="shared" si="3"/>
        <v>0.43529996954</v>
      </c>
      <c r="R90" s="35">
        <f t="shared" si="4"/>
        <v>814.49833950953996</v>
      </c>
      <c r="S90" s="36"/>
      <c r="T90" s="36"/>
      <c r="U90" s="37"/>
      <c r="V90" s="38"/>
      <c r="W90" s="37"/>
      <c r="X90" s="38"/>
    </row>
    <row r="91" spans="1:41" ht="15" customHeight="1" x14ac:dyDescent="0.25">
      <c r="A91" s="41" t="s">
        <v>29</v>
      </c>
      <c r="B91" s="42">
        <f>+P108</f>
        <v>6.0500690777000002E-2</v>
      </c>
      <c r="C91" s="42">
        <f>+P110</f>
        <v>6.9554272239000001E-2</v>
      </c>
      <c r="D91" s="42">
        <f>+P115</f>
        <v>5.4912000000000002E-2</v>
      </c>
      <c r="E91" s="42">
        <f>+P117</f>
        <v>5.7375999999999996E-2</v>
      </c>
      <c r="F91" s="42">
        <f>+P119</f>
        <v>8.6177368921999994E-2</v>
      </c>
      <c r="G91" s="42">
        <f>+P121</f>
        <v>0.57194768393999995</v>
      </c>
      <c r="H91" s="42">
        <f>+P123</f>
        <v>0.55603164372000002</v>
      </c>
      <c r="I91" s="43"/>
      <c r="J91" s="15"/>
      <c r="K91" s="15"/>
      <c r="L91" s="33"/>
      <c r="M91" s="34"/>
      <c r="N91" s="15" t="s">
        <v>30</v>
      </c>
      <c r="O91" s="33">
        <f t="shared" si="1"/>
        <v>0</v>
      </c>
      <c r="P91" s="34">
        <f t="shared" si="2"/>
        <v>0</v>
      </c>
      <c r="Q91" s="34">
        <f t="shared" si="3"/>
        <v>0</v>
      </c>
      <c r="R91" s="35">
        <f t="shared" si="4"/>
        <v>0</v>
      </c>
      <c r="S91" s="36"/>
      <c r="T91" s="36"/>
      <c r="U91" s="37"/>
      <c r="V91" s="38"/>
      <c r="W91" s="37"/>
      <c r="X91" s="38"/>
      <c r="AB91" s="45"/>
      <c r="AC91" s="45"/>
    </row>
    <row r="92" spans="1:41" ht="15" customHeight="1" x14ac:dyDescent="0.25">
      <c r="A92" s="43"/>
      <c r="B92" s="46"/>
      <c r="C92" s="46"/>
      <c r="D92" s="46"/>
      <c r="E92" s="46"/>
      <c r="F92" s="46"/>
      <c r="G92" s="46"/>
      <c r="H92" s="46"/>
      <c r="I92" s="43"/>
      <c r="J92" s="15"/>
      <c r="K92" s="15"/>
      <c r="L92" s="33"/>
      <c r="M92" s="33"/>
      <c r="N92" s="15" t="s">
        <v>31</v>
      </c>
      <c r="O92" s="33">
        <f t="shared" si="1"/>
        <v>2120</v>
      </c>
      <c r="P92" s="34">
        <f t="shared" si="2"/>
        <v>0.52831856305000002</v>
      </c>
      <c r="Q92" s="34">
        <f t="shared" si="3"/>
        <v>0.44690690525999999</v>
      </c>
      <c r="R92" s="35">
        <f t="shared" si="4"/>
        <v>1120.035353666</v>
      </c>
      <c r="S92" s="36"/>
      <c r="T92" s="36"/>
      <c r="U92" s="37"/>
      <c r="V92" s="38"/>
      <c r="W92" s="37"/>
      <c r="X92" s="38"/>
      <c r="AB92" s="45"/>
      <c r="AC92" s="45"/>
    </row>
    <row r="93" spans="1:41" ht="15" customHeight="1" x14ac:dyDescent="0.25">
      <c r="A93" s="43"/>
      <c r="B93" s="43"/>
      <c r="C93" s="43"/>
      <c r="D93" s="43"/>
      <c r="E93" s="43"/>
      <c r="F93" s="43"/>
      <c r="G93" s="43"/>
      <c r="H93" s="43"/>
      <c r="I93" s="44">
        <f>+L92-L94</f>
        <v>0</v>
      </c>
      <c r="J93" s="15"/>
      <c r="K93" s="15"/>
      <c r="L93" s="33"/>
      <c r="M93" s="33"/>
      <c r="N93" s="15" t="s">
        <v>32</v>
      </c>
      <c r="O93" s="33">
        <f t="shared" si="1"/>
        <v>2120</v>
      </c>
      <c r="P93" s="34">
        <f t="shared" si="2"/>
        <v>0.52831856305000002</v>
      </c>
      <c r="Q93" s="34">
        <f t="shared" si="3"/>
        <v>0.44690690525999999</v>
      </c>
      <c r="R93" s="35">
        <f t="shared" si="4"/>
        <v>1120.035353666</v>
      </c>
      <c r="S93" s="36"/>
      <c r="T93" s="36"/>
      <c r="U93" s="37"/>
      <c r="V93" s="38"/>
      <c r="W93" s="37"/>
      <c r="X93" s="38"/>
      <c r="AB93" s="45"/>
      <c r="AC93" s="45"/>
    </row>
    <row r="94" spans="1:41" ht="15" customHeight="1" x14ac:dyDescent="0.25">
      <c r="A94" s="47" t="s">
        <v>33</v>
      </c>
      <c r="B94" s="46">
        <f t="shared" ref="B94:H94" si="5">+IF((B90-B91)&lt;&gt;0,(B90/B89)*(B89-B91)/(B90-B91),0)</f>
        <v>0.66061267132341872</v>
      </c>
      <c r="C94" s="46">
        <f t="shared" si="5"/>
        <v>0.94778849594922632</v>
      </c>
      <c r="D94" s="46">
        <f t="shared" si="5"/>
        <v>0.96847100385632467</v>
      </c>
      <c r="E94" s="46">
        <f t="shared" si="5"/>
        <v>0.97330241380434612</v>
      </c>
      <c r="F94" s="46">
        <f t="shared" si="5"/>
        <v>0.99825410494768529</v>
      </c>
      <c r="G94" s="46">
        <f t="shared" si="5"/>
        <v>0.55886024168721493</v>
      </c>
      <c r="H94" s="46">
        <f t="shared" si="5"/>
        <v>0.98888197697411684</v>
      </c>
      <c r="I94" s="48">
        <f>+B94*C94*D94*E94*F94*G94*H94</f>
        <v>0.32559785580729284</v>
      </c>
      <c r="J94" s="15"/>
      <c r="K94" s="15"/>
      <c r="L94" s="33"/>
      <c r="M94" s="33"/>
      <c r="N94" s="15" t="s">
        <v>34</v>
      </c>
      <c r="O94" s="33">
        <f t="shared" si="1"/>
        <v>0</v>
      </c>
      <c r="P94" s="34">
        <f t="shared" si="2"/>
        <v>0</v>
      </c>
      <c r="Q94" s="34">
        <f t="shared" si="3"/>
        <v>0</v>
      </c>
      <c r="R94" s="35">
        <f t="shared" si="4"/>
        <v>0</v>
      </c>
      <c r="S94" s="36"/>
      <c r="T94" s="36"/>
      <c r="U94" s="37"/>
      <c r="V94" s="38"/>
      <c r="W94" s="37"/>
      <c r="X94" s="38"/>
    </row>
    <row r="95" spans="1:41" ht="22.5" customHeight="1" x14ac:dyDescent="0.25">
      <c r="A95" s="15"/>
      <c r="B95" s="34"/>
      <c r="C95" s="34"/>
      <c r="D95" s="34"/>
      <c r="E95" s="34"/>
      <c r="F95" s="34"/>
      <c r="G95" s="34"/>
      <c r="H95" s="34"/>
      <c r="I95" s="34"/>
      <c r="J95" s="15"/>
      <c r="K95" s="25"/>
      <c r="L95" s="49"/>
      <c r="M95" s="50"/>
      <c r="N95" s="25" t="s">
        <v>35</v>
      </c>
      <c r="O95" s="33">
        <f t="shared" si="1"/>
        <v>0</v>
      </c>
      <c r="P95" s="34">
        <f t="shared" si="2"/>
        <v>0</v>
      </c>
      <c r="Q95" s="34">
        <f t="shared" si="3"/>
        <v>0</v>
      </c>
      <c r="R95" s="35">
        <f t="shared" si="4"/>
        <v>0</v>
      </c>
      <c r="S95" s="36"/>
      <c r="T95" s="36"/>
      <c r="U95" s="37"/>
      <c r="V95" s="38"/>
      <c r="W95" s="37"/>
      <c r="X95" s="38"/>
    </row>
    <row r="96" spans="1:41" ht="1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33"/>
      <c r="M96" s="34"/>
      <c r="N96" s="15" t="s">
        <v>36</v>
      </c>
      <c r="O96" s="33">
        <f t="shared" si="1"/>
        <v>0</v>
      </c>
      <c r="P96" s="34">
        <f t="shared" si="2"/>
        <v>0</v>
      </c>
      <c r="Q96" s="34">
        <f t="shared" si="3"/>
        <v>0</v>
      </c>
      <c r="R96" s="35">
        <f t="shared" si="4"/>
        <v>0</v>
      </c>
      <c r="S96" s="36"/>
      <c r="T96" s="36"/>
      <c r="U96" s="37"/>
      <c r="V96" s="38"/>
      <c r="W96" s="37"/>
      <c r="X96" s="38"/>
    </row>
    <row r="97" spans="1:24" ht="15" customHeight="1" x14ac:dyDescent="0.25">
      <c r="A97" s="15"/>
      <c r="B97" s="39"/>
      <c r="C97" s="15"/>
      <c r="D97" s="15"/>
      <c r="E97" s="15"/>
      <c r="F97" s="15"/>
      <c r="G97" s="15"/>
      <c r="H97" s="51"/>
      <c r="I97" s="34"/>
      <c r="J97" s="15"/>
      <c r="K97" s="15"/>
      <c r="L97" s="33"/>
      <c r="M97" s="34"/>
      <c r="N97" s="15" t="s">
        <v>37</v>
      </c>
      <c r="O97" s="33">
        <f t="shared" si="1"/>
        <v>0</v>
      </c>
      <c r="P97" s="34">
        <f t="shared" si="2"/>
        <v>0</v>
      </c>
      <c r="Q97" s="34">
        <f t="shared" si="3"/>
        <v>0</v>
      </c>
      <c r="R97" s="35">
        <f t="shared" si="4"/>
        <v>0</v>
      </c>
      <c r="S97" s="36"/>
      <c r="T97" s="36"/>
      <c r="U97" s="37"/>
      <c r="V97" s="38"/>
      <c r="W97" s="37"/>
      <c r="X97" s="38"/>
    </row>
    <row r="98" spans="1:24" ht="15" customHeight="1" x14ac:dyDescent="0.25">
      <c r="A98" s="52" t="s">
        <v>3</v>
      </c>
      <c r="B98" s="41"/>
      <c r="C98" s="41"/>
      <c r="D98" s="41"/>
      <c r="E98" s="41"/>
      <c r="F98" s="41"/>
      <c r="G98" s="41"/>
      <c r="H98" s="41"/>
      <c r="I98" s="43"/>
      <c r="J98" s="15"/>
      <c r="K98" s="15"/>
      <c r="L98" s="33"/>
      <c r="M98" s="34"/>
      <c r="N98" s="15" t="s">
        <v>38</v>
      </c>
      <c r="O98" s="33">
        <f t="shared" si="1"/>
        <v>0</v>
      </c>
      <c r="P98" s="34">
        <f t="shared" si="2"/>
        <v>0</v>
      </c>
      <c r="Q98" s="34">
        <f t="shared" si="3"/>
        <v>0</v>
      </c>
      <c r="R98" s="35">
        <f t="shared" si="4"/>
        <v>0</v>
      </c>
      <c r="S98" s="36"/>
      <c r="T98" s="36"/>
      <c r="U98" s="37"/>
      <c r="V98" s="38"/>
      <c r="W98" s="37"/>
      <c r="X98" s="38"/>
    </row>
    <row r="99" spans="1:24" ht="15" customHeight="1" x14ac:dyDescent="0.25">
      <c r="A99" s="41" t="s">
        <v>25</v>
      </c>
      <c r="B99" s="42">
        <f>+Q107</f>
        <v>7.7697000000000002E-2</v>
      </c>
      <c r="C99" s="42">
        <f>+Q109</f>
        <v>0.27099026895</v>
      </c>
      <c r="D99" s="42">
        <f>+Q114</f>
        <v>0.35975566880000004</v>
      </c>
      <c r="E99" s="42">
        <f>+Q116</f>
        <v>0.46197200000000005</v>
      </c>
      <c r="F99" s="42">
        <f>+Q118</f>
        <v>0.59368399999999999</v>
      </c>
      <c r="G99" s="42">
        <f>+Q120</f>
        <v>0.60069464682000007</v>
      </c>
      <c r="H99" s="42">
        <f>+Q122</f>
        <v>0.64675357070999995</v>
      </c>
      <c r="I99" s="43"/>
      <c r="J99" s="15"/>
      <c r="K99" s="15"/>
      <c r="L99" s="33"/>
      <c r="M99" s="34"/>
      <c r="N99" s="15" t="s">
        <v>39</v>
      </c>
      <c r="O99" s="33">
        <f t="shared" si="1"/>
        <v>0</v>
      </c>
      <c r="P99" s="34">
        <f t="shared" si="2"/>
        <v>0</v>
      </c>
      <c r="Q99" s="34">
        <f t="shared" si="3"/>
        <v>0</v>
      </c>
      <c r="R99" s="35">
        <f t="shared" si="4"/>
        <v>0</v>
      </c>
      <c r="S99" s="36"/>
      <c r="T99" s="36"/>
      <c r="U99" s="37"/>
      <c r="V99" s="38"/>
      <c r="W99" s="37"/>
      <c r="X99" s="38"/>
    </row>
    <row r="100" spans="1:24" ht="19" x14ac:dyDescent="0.25">
      <c r="A100" s="41" t="s">
        <v>27</v>
      </c>
      <c r="B100" s="42">
        <f>+Q109</f>
        <v>0.27099026895</v>
      </c>
      <c r="C100" s="42">
        <f>+Q111</f>
        <v>0.35193284994000001</v>
      </c>
      <c r="D100" s="42">
        <f>+Q116</f>
        <v>0.46197200000000005</v>
      </c>
      <c r="E100" s="42">
        <f>+Q118</f>
        <v>0.59368399999999999</v>
      </c>
      <c r="F100" s="42">
        <f>+Q120</f>
        <v>0.60069464682000007</v>
      </c>
      <c r="G100" s="42">
        <f>+Q122</f>
        <v>0.64675357070999995</v>
      </c>
      <c r="H100" s="42">
        <f>+Q125</f>
        <v>0.64900000000000002</v>
      </c>
      <c r="I100" s="44">
        <f>+'[1]Calc Nodos Stock'!E22</f>
        <v>0</v>
      </c>
      <c r="J100" s="15"/>
      <c r="K100" s="15"/>
      <c r="L100" s="33"/>
      <c r="M100" s="34"/>
      <c r="N100" s="15" t="s">
        <v>40</v>
      </c>
      <c r="O100" s="33">
        <f t="shared" ref="O100:O131" si="6">B33</f>
        <v>0</v>
      </c>
      <c r="P100" s="34">
        <f t="shared" ref="P100:P131" si="7">IF(D$1&gt;1,D33/100,D33)</f>
        <v>0</v>
      </c>
      <c r="Q100" s="34">
        <f t="shared" ref="Q100:Q131" si="8">IF(F$1&gt;1,F33/100,F33)</f>
        <v>0</v>
      </c>
      <c r="R100" s="35">
        <f t="shared" ref="R100:R129" si="9">P100*O100</f>
        <v>0</v>
      </c>
      <c r="S100" s="36"/>
      <c r="T100" s="36"/>
      <c r="U100" s="37"/>
      <c r="V100" s="38"/>
      <c r="W100" s="37"/>
      <c r="X100" s="38"/>
    </row>
    <row r="101" spans="1:24" ht="28.5" customHeight="1" x14ac:dyDescent="0.25">
      <c r="A101" s="41" t="s">
        <v>29</v>
      </c>
      <c r="B101" s="42">
        <f>+Q108</f>
        <v>3.9000000000000003E-3</v>
      </c>
      <c r="C101" s="42">
        <f>+Q110</f>
        <v>2.3541023115000001E-3</v>
      </c>
      <c r="D101" s="42">
        <f>+Q115</f>
        <v>4.0845177729000003E-3</v>
      </c>
      <c r="E101" s="42">
        <f>+Q117</f>
        <v>9.7440000000000009E-3</v>
      </c>
      <c r="F101" s="42">
        <f>+Q119</f>
        <v>3.2680413365000001E-2</v>
      </c>
      <c r="G101" s="42">
        <f>+Q121</f>
        <v>0.54901</v>
      </c>
      <c r="H101" s="42">
        <f>+Q123</f>
        <v>0.47757625255999997</v>
      </c>
      <c r="I101" s="43"/>
      <c r="J101" s="15"/>
      <c r="K101" s="53"/>
      <c r="L101" s="33"/>
      <c r="M101" s="34"/>
      <c r="N101" s="15" t="s">
        <v>41</v>
      </c>
      <c r="O101" s="33">
        <f t="shared" si="6"/>
        <v>0</v>
      </c>
      <c r="P101" s="34">
        <f t="shared" si="7"/>
        <v>0</v>
      </c>
      <c r="Q101" s="34">
        <f t="shared" si="8"/>
        <v>0</v>
      </c>
      <c r="R101" s="35">
        <f t="shared" si="9"/>
        <v>0</v>
      </c>
      <c r="S101" s="36"/>
      <c r="T101" s="36"/>
      <c r="U101" s="37"/>
      <c r="V101" s="38"/>
      <c r="W101" s="37"/>
      <c r="X101" s="38"/>
    </row>
    <row r="102" spans="1:24" ht="19" x14ac:dyDescent="0.25">
      <c r="A102" s="43"/>
      <c r="B102" s="46"/>
      <c r="C102" s="46"/>
      <c r="D102" s="46"/>
      <c r="E102" s="46"/>
      <c r="F102" s="46"/>
      <c r="G102" s="46"/>
      <c r="H102" s="46"/>
      <c r="I102" s="43"/>
      <c r="J102" s="15"/>
      <c r="K102" s="53"/>
      <c r="L102" s="33"/>
      <c r="M102" s="34"/>
      <c r="N102" s="15" t="s">
        <v>42</v>
      </c>
      <c r="O102" s="33">
        <f t="shared" si="6"/>
        <v>0</v>
      </c>
      <c r="P102" s="34">
        <f t="shared" si="7"/>
        <v>0</v>
      </c>
      <c r="Q102" s="34">
        <f t="shared" si="8"/>
        <v>0</v>
      </c>
      <c r="R102" s="35">
        <f t="shared" si="9"/>
        <v>0</v>
      </c>
      <c r="S102" s="36"/>
      <c r="T102" s="36"/>
      <c r="U102" s="37"/>
      <c r="V102" s="38"/>
      <c r="W102" s="37"/>
      <c r="X102" s="38"/>
    </row>
    <row r="103" spans="1:24" ht="19" x14ac:dyDescent="0.25">
      <c r="A103" s="43"/>
      <c r="B103" s="43"/>
      <c r="C103" s="43"/>
      <c r="D103" s="43"/>
      <c r="E103" s="43"/>
      <c r="F103" s="43"/>
      <c r="G103" s="43"/>
      <c r="H103" s="43"/>
      <c r="I103" s="44">
        <f>+L102-L104</f>
        <v>0</v>
      </c>
      <c r="J103" s="15"/>
      <c r="K103" s="15"/>
      <c r="L103" s="33"/>
      <c r="M103" s="34"/>
      <c r="N103" s="15" t="s">
        <v>43</v>
      </c>
      <c r="O103" s="33">
        <f t="shared" si="6"/>
        <v>0</v>
      </c>
      <c r="P103" s="34">
        <f t="shared" si="7"/>
        <v>0</v>
      </c>
      <c r="Q103" s="34">
        <f t="shared" si="8"/>
        <v>0</v>
      </c>
      <c r="R103" s="35">
        <f t="shared" si="9"/>
        <v>0</v>
      </c>
      <c r="S103" s="36"/>
      <c r="T103" s="36"/>
      <c r="U103" s="37"/>
      <c r="V103" s="38"/>
      <c r="W103" s="37"/>
      <c r="X103" s="38"/>
    </row>
    <row r="104" spans="1:24" ht="19" x14ac:dyDescent="0.25">
      <c r="A104" s="47" t="s">
        <v>33</v>
      </c>
      <c r="B104" s="46">
        <f t="shared" ref="B104:H104" si="10">+IF((B100-B101)&lt;&gt;0,(B100/B99)*(B99-B101)/(B100-B101),0)</f>
        <v>0.96367387925900005</v>
      </c>
      <c r="C104" s="46">
        <f t="shared" si="10"/>
        <v>0.9979885758316529</v>
      </c>
      <c r="D104" s="46">
        <f t="shared" si="10"/>
        <v>0.99746548618836817</v>
      </c>
      <c r="E104" s="46">
        <f t="shared" si="10"/>
        <v>0.9952425006207376</v>
      </c>
      <c r="F104" s="46">
        <f t="shared" si="10"/>
        <v>0.99932059135779616</v>
      </c>
      <c r="G104" s="46">
        <f t="shared" si="10"/>
        <v>0.56932260256939515</v>
      </c>
      <c r="H104" s="46">
        <f t="shared" si="10"/>
        <v>0.99032333611085677</v>
      </c>
      <c r="I104" s="48">
        <f>+B104*C104*D104*E104*F104*G104*H104</f>
        <v>0.53792623258518568</v>
      </c>
      <c r="J104" s="15"/>
      <c r="K104" s="15"/>
      <c r="L104" s="33"/>
      <c r="M104" s="34"/>
      <c r="N104" s="15" t="s">
        <v>44</v>
      </c>
      <c r="O104" s="33">
        <f t="shared" si="6"/>
        <v>0</v>
      </c>
      <c r="P104" s="34">
        <f t="shared" si="7"/>
        <v>0</v>
      </c>
      <c r="Q104" s="34">
        <f t="shared" si="8"/>
        <v>0</v>
      </c>
      <c r="R104" s="35">
        <f t="shared" si="9"/>
        <v>0</v>
      </c>
      <c r="S104" s="36"/>
      <c r="T104" s="36"/>
      <c r="U104" s="37"/>
      <c r="V104" s="38"/>
      <c r="W104" s="37"/>
      <c r="X104" s="38"/>
    </row>
    <row r="105" spans="1:24" ht="19" x14ac:dyDescent="0.25">
      <c r="A105" s="54" t="s">
        <v>45</v>
      </c>
      <c r="B105" s="55">
        <f>O109/O107</f>
        <v>0.27629984532579932</v>
      </c>
      <c r="C105" s="55">
        <f>O111/O109</f>
        <v>0.76845680254241699</v>
      </c>
      <c r="D105" s="55">
        <f>O116/O114</f>
        <v>0.77676539507095199</v>
      </c>
      <c r="E105" s="55">
        <f>O118/O116</f>
        <v>0.77444257971175279</v>
      </c>
      <c r="F105" s="55">
        <f>O120/O118</f>
        <v>0.98765762125676193</v>
      </c>
      <c r="G105" s="55">
        <f>O122/O120</f>
        <v>0.52376181545712441</v>
      </c>
      <c r="H105" s="55">
        <f>O125/O122</f>
        <v>0.98689546036271369</v>
      </c>
      <c r="I105" s="55">
        <f>+B105*C105*D105*E105*F105*G105*H105</f>
        <v>6.520645611161606E-2</v>
      </c>
      <c r="J105" s="15"/>
      <c r="K105" s="15"/>
      <c r="L105" s="33"/>
      <c r="M105" s="34"/>
      <c r="N105" s="15" t="s">
        <v>46</v>
      </c>
      <c r="O105" s="33">
        <f t="shared" si="6"/>
        <v>0</v>
      </c>
      <c r="P105" s="34">
        <f t="shared" si="7"/>
        <v>0</v>
      </c>
      <c r="Q105" s="34">
        <f t="shared" si="8"/>
        <v>0</v>
      </c>
      <c r="R105" s="35">
        <f t="shared" si="9"/>
        <v>0</v>
      </c>
      <c r="S105" s="36"/>
      <c r="T105" s="36"/>
      <c r="U105" s="37"/>
      <c r="V105" s="38"/>
      <c r="W105" s="37"/>
      <c r="X105" s="38"/>
    </row>
    <row r="106" spans="1:24" ht="19" x14ac:dyDescent="0.25">
      <c r="A106" s="15"/>
      <c r="B106" s="15"/>
      <c r="C106" s="15"/>
      <c r="D106" s="15"/>
      <c r="E106" s="15"/>
      <c r="F106" s="15"/>
      <c r="G106" s="15"/>
      <c r="H106" s="15"/>
      <c r="I106" s="34"/>
      <c r="J106" s="15"/>
      <c r="K106" s="15"/>
      <c r="L106" s="33"/>
      <c r="M106" s="34"/>
      <c r="N106" s="15" t="s">
        <v>47</v>
      </c>
      <c r="O106" s="33">
        <f t="shared" si="6"/>
        <v>0</v>
      </c>
      <c r="P106" s="34">
        <f t="shared" si="7"/>
        <v>0</v>
      </c>
      <c r="Q106" s="34">
        <f t="shared" si="8"/>
        <v>0</v>
      </c>
      <c r="R106" s="35">
        <f t="shared" si="9"/>
        <v>0</v>
      </c>
      <c r="S106" s="36"/>
      <c r="T106" s="36"/>
      <c r="U106" s="37"/>
      <c r="V106" s="38"/>
      <c r="W106" s="37"/>
      <c r="X106" s="38"/>
    </row>
    <row r="107" spans="1:24" ht="19" x14ac:dyDescent="0.25">
      <c r="A107" s="15"/>
      <c r="B107" s="15"/>
      <c r="C107" s="15"/>
      <c r="D107" s="15"/>
      <c r="E107" s="15"/>
      <c r="F107" s="15"/>
      <c r="G107" s="15"/>
      <c r="H107" s="15"/>
      <c r="I107" s="34"/>
      <c r="J107" s="15"/>
      <c r="K107" s="15"/>
      <c r="L107" s="33"/>
      <c r="M107" s="34"/>
      <c r="N107" s="15" t="s">
        <v>48</v>
      </c>
      <c r="O107" s="33">
        <f t="shared" si="6"/>
        <v>1286252</v>
      </c>
      <c r="P107" s="34">
        <f t="shared" si="7"/>
        <v>0.12900999999999999</v>
      </c>
      <c r="Q107" s="34">
        <f t="shared" si="8"/>
        <v>7.7697000000000002E-2</v>
      </c>
      <c r="R107" s="35">
        <f t="shared" si="9"/>
        <v>165939.37051999997</v>
      </c>
      <c r="S107" s="36"/>
      <c r="T107" s="36"/>
      <c r="U107" s="37"/>
      <c r="V107" s="38"/>
      <c r="W107" s="37"/>
      <c r="X107" s="38"/>
    </row>
    <row r="108" spans="1:24" ht="19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33"/>
      <c r="M108" s="34"/>
      <c r="N108" s="15" t="s">
        <v>49</v>
      </c>
      <c r="O108" s="33">
        <f t="shared" si="6"/>
        <v>930860.77135000005</v>
      </c>
      <c r="P108" s="34">
        <f t="shared" si="7"/>
        <v>6.0500690777000002E-2</v>
      </c>
      <c r="Q108" s="34">
        <f t="shared" si="8"/>
        <v>3.9000000000000003E-3</v>
      </c>
      <c r="R108" s="35">
        <f t="shared" si="9"/>
        <v>56317.719683886055</v>
      </c>
      <c r="S108" s="36"/>
      <c r="T108" s="36"/>
      <c r="U108" s="37"/>
      <c r="V108" s="38"/>
      <c r="W108" s="37"/>
      <c r="X108" s="38"/>
    </row>
    <row r="109" spans="1:24" ht="19" x14ac:dyDescent="0.25">
      <c r="A109" s="15"/>
      <c r="B109" s="15"/>
      <c r="C109" s="15"/>
      <c r="D109" s="15"/>
      <c r="E109" s="15"/>
      <c r="F109" s="15"/>
      <c r="G109" s="15"/>
      <c r="H109" s="15"/>
      <c r="I109" s="34"/>
      <c r="J109" s="15"/>
      <c r="K109" s="15"/>
      <c r="L109" s="33"/>
      <c r="M109" s="34"/>
      <c r="N109" s="15" t="s">
        <v>50</v>
      </c>
      <c r="O109" s="33">
        <f t="shared" si="6"/>
        <v>355391.22865</v>
      </c>
      <c r="P109" s="34">
        <f t="shared" si="7"/>
        <v>0.30845345072000002</v>
      </c>
      <c r="Q109" s="34">
        <f t="shared" si="8"/>
        <v>0.27099026895</v>
      </c>
      <c r="R109" s="35">
        <f t="shared" si="9"/>
        <v>109621.65083271304</v>
      </c>
      <c r="S109" s="36"/>
      <c r="T109" s="36"/>
      <c r="U109" s="37"/>
      <c r="V109" s="38"/>
      <c r="W109" s="37"/>
      <c r="X109" s="38"/>
    </row>
    <row r="110" spans="1:24" ht="19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33"/>
      <c r="M110" s="34"/>
      <c r="N110" s="15" t="s">
        <v>51</v>
      </c>
      <c r="O110" s="33">
        <f t="shared" si="6"/>
        <v>82288.421426999994</v>
      </c>
      <c r="P110" s="34">
        <f t="shared" si="7"/>
        <v>6.9554272239000001E-2</v>
      </c>
      <c r="Q110" s="34">
        <f t="shared" si="8"/>
        <v>2.3541023115000001E-3</v>
      </c>
      <c r="R110" s="35">
        <f t="shared" si="9"/>
        <v>5723.5112660511186</v>
      </c>
      <c r="S110" s="36"/>
      <c r="T110" s="36"/>
      <c r="U110" s="37"/>
      <c r="V110" s="38"/>
      <c r="W110" s="37"/>
      <c r="X110" s="38"/>
    </row>
    <row r="111" spans="1:24" s="45" customFormat="1" ht="19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56"/>
      <c r="K111" s="25"/>
      <c r="L111" s="33"/>
      <c r="M111" s="34"/>
      <c r="N111" s="25" t="s">
        <v>52</v>
      </c>
      <c r="O111" s="33">
        <f t="shared" si="6"/>
        <v>273102.80722000002</v>
      </c>
      <c r="P111" s="34">
        <f t="shared" si="7"/>
        <v>0.380436</v>
      </c>
      <c r="Q111" s="34">
        <f t="shared" si="8"/>
        <v>0.35193284994000001</v>
      </c>
      <c r="R111" s="35">
        <f t="shared" si="9"/>
        <v>103898.13956754793</v>
      </c>
      <c r="S111" s="36"/>
      <c r="T111" s="36"/>
      <c r="U111" s="37"/>
      <c r="W111" s="37"/>
      <c r="X111" s="38"/>
    </row>
    <row r="112" spans="1:24" ht="19" x14ac:dyDescent="0.25">
      <c r="A112" s="56"/>
      <c r="B112" s="56"/>
      <c r="C112" s="56"/>
      <c r="D112" s="56"/>
      <c r="E112" s="56"/>
      <c r="F112" s="56"/>
      <c r="G112" s="56"/>
      <c r="H112" s="56"/>
      <c r="I112" s="33"/>
      <c r="J112" s="15"/>
      <c r="K112" s="15"/>
      <c r="L112" s="33"/>
      <c r="M112" s="15"/>
      <c r="N112" s="15" t="s">
        <v>53</v>
      </c>
      <c r="O112" s="33">
        <f t="shared" si="6"/>
        <v>0</v>
      </c>
      <c r="P112" s="34">
        <f t="shared" si="7"/>
        <v>0</v>
      </c>
      <c r="Q112" s="34">
        <f t="shared" si="8"/>
        <v>0</v>
      </c>
      <c r="R112" s="35">
        <f t="shared" si="9"/>
        <v>0</v>
      </c>
      <c r="S112" s="36"/>
      <c r="T112" s="36"/>
      <c r="U112" s="37"/>
      <c r="V112" s="38"/>
      <c r="W112" s="37"/>
    </row>
    <row r="113" spans="1:26" ht="19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49"/>
      <c r="M113" s="50"/>
      <c r="N113" s="15" t="s">
        <v>54</v>
      </c>
      <c r="O113" s="33">
        <f t="shared" si="6"/>
        <v>12350.934999999999</v>
      </c>
      <c r="P113" s="34">
        <f t="shared" si="7"/>
        <v>0.57358638750000002</v>
      </c>
      <c r="Q113" s="34">
        <f t="shared" si="8"/>
        <v>0.53273316329999998</v>
      </c>
      <c r="R113" s="35">
        <f t="shared" si="9"/>
        <v>7084.3281888973124</v>
      </c>
      <c r="S113" s="36"/>
      <c r="T113" s="36"/>
      <c r="U113" s="37"/>
      <c r="V113" s="38"/>
      <c r="W113" s="37"/>
      <c r="X113" s="38"/>
    </row>
    <row r="114" spans="1:26" ht="19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57"/>
      <c r="M114" s="34"/>
      <c r="N114" s="15" t="s">
        <v>55</v>
      </c>
      <c r="O114" s="33">
        <f t="shared" si="6"/>
        <v>285453.74222000001</v>
      </c>
      <c r="P114" s="34">
        <f t="shared" si="7"/>
        <v>0.38879317851000006</v>
      </c>
      <c r="Q114" s="34">
        <f t="shared" si="8"/>
        <v>0.35975566880000004</v>
      </c>
      <c r="R114" s="35">
        <f t="shared" si="9"/>
        <v>110982.467755288</v>
      </c>
      <c r="S114" s="36"/>
      <c r="T114" s="36"/>
      <c r="U114" s="37"/>
      <c r="V114" s="38"/>
      <c r="W114" s="37"/>
      <c r="X114" s="38"/>
    </row>
    <row r="115" spans="1:26" ht="19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57"/>
      <c r="M115" s="34"/>
      <c r="N115" s="15" t="s">
        <v>56</v>
      </c>
      <c r="O115" s="33">
        <f t="shared" si="6"/>
        <v>63723.153369</v>
      </c>
      <c r="P115" s="34">
        <f t="shared" si="7"/>
        <v>5.4912000000000002E-2</v>
      </c>
      <c r="Q115" s="34">
        <f t="shared" si="8"/>
        <v>4.0845177729000003E-3</v>
      </c>
      <c r="R115" s="35">
        <f t="shared" si="9"/>
        <v>3499.1657977985283</v>
      </c>
      <c r="S115" s="36"/>
      <c r="T115" s="36"/>
      <c r="U115" s="37"/>
      <c r="W115" s="37"/>
    </row>
    <row r="116" spans="1:26" ht="19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57"/>
      <c r="M116" s="34"/>
      <c r="N116" s="15" t="s">
        <v>57</v>
      </c>
      <c r="O116" s="33">
        <f t="shared" si="6"/>
        <v>221730.58885</v>
      </c>
      <c r="P116" s="34">
        <f t="shared" si="7"/>
        <v>0.48474728956000002</v>
      </c>
      <c r="Q116" s="34">
        <f t="shared" si="8"/>
        <v>0.46197200000000005</v>
      </c>
      <c r="R116" s="35">
        <f t="shared" si="9"/>
        <v>107483.30195758026</v>
      </c>
      <c r="S116" s="36"/>
      <c r="T116" s="36"/>
      <c r="U116" s="37"/>
      <c r="W116" s="37"/>
    </row>
    <row r="117" spans="1:26" ht="19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57"/>
      <c r="M117" s="34"/>
      <c r="N117" s="15" t="s">
        <v>58</v>
      </c>
      <c r="O117" s="33">
        <f t="shared" si="6"/>
        <v>50012.979618999998</v>
      </c>
      <c r="P117" s="34">
        <f t="shared" si="7"/>
        <v>5.7375999999999996E-2</v>
      </c>
      <c r="Q117" s="34">
        <f t="shared" si="8"/>
        <v>9.7440000000000009E-3</v>
      </c>
      <c r="R117" s="35">
        <f t="shared" si="9"/>
        <v>2869.5447186197439</v>
      </c>
      <c r="S117" s="36"/>
      <c r="T117" s="36"/>
      <c r="U117" s="37"/>
      <c r="W117" s="37"/>
    </row>
    <row r="118" spans="1:26" ht="19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57"/>
      <c r="M118" s="34"/>
      <c r="N118" s="15" t="s">
        <v>59</v>
      </c>
      <c r="O118" s="33">
        <f t="shared" si="6"/>
        <v>171717.60923</v>
      </c>
      <c r="P118" s="34">
        <f t="shared" si="7"/>
        <v>0.60921973994</v>
      </c>
      <c r="Q118" s="34">
        <f t="shared" si="8"/>
        <v>0.59368399999999999</v>
      </c>
      <c r="R118" s="35">
        <f t="shared" si="9"/>
        <v>104613.75723821914</v>
      </c>
      <c r="S118" s="36"/>
      <c r="T118" s="36"/>
      <c r="U118" s="37"/>
      <c r="W118" s="37"/>
    </row>
    <row r="119" spans="1:26" ht="19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57"/>
      <c r="M119" s="34"/>
      <c r="N119" s="15" t="s">
        <v>60</v>
      </c>
      <c r="O119" s="33">
        <f t="shared" si="6"/>
        <v>2119.4037752999998</v>
      </c>
      <c r="P119" s="34">
        <f t="shared" si="7"/>
        <v>8.6177368921999994E-2</v>
      </c>
      <c r="Q119" s="34">
        <f t="shared" si="8"/>
        <v>3.2680413365000001E-2</v>
      </c>
      <c r="R119" s="35">
        <f t="shared" si="9"/>
        <v>182.64464103870765</v>
      </c>
      <c r="S119" s="36"/>
      <c r="T119" s="36"/>
      <c r="U119" s="37"/>
      <c r="W119" s="37"/>
    </row>
    <row r="120" spans="1:26" ht="19" x14ac:dyDescent="0.25">
      <c r="A120" s="15"/>
      <c r="B120" s="15"/>
      <c r="C120" s="15"/>
      <c r="D120" s="15"/>
      <c r="E120" s="15"/>
      <c r="F120" s="15"/>
      <c r="G120" s="15"/>
      <c r="H120" s="15"/>
      <c r="I120" s="33"/>
      <c r="J120" s="15"/>
      <c r="K120" s="15"/>
      <c r="L120" s="57"/>
      <c r="M120" s="34"/>
      <c r="N120" s="15" t="s">
        <v>61</v>
      </c>
      <c r="O120" s="33">
        <f t="shared" si="6"/>
        <v>169598.20546</v>
      </c>
      <c r="P120" s="34">
        <f t="shared" si="7"/>
        <v>0.61575599999999997</v>
      </c>
      <c r="Q120" s="34">
        <f t="shared" si="8"/>
        <v>0.60069464682000007</v>
      </c>
      <c r="R120" s="35">
        <f t="shared" si="9"/>
        <v>104431.11260122775</v>
      </c>
      <c r="S120" s="36"/>
      <c r="T120" s="36"/>
      <c r="U120" s="37"/>
      <c r="V120" s="38"/>
      <c r="W120" s="37"/>
    </row>
    <row r="121" spans="1:26" ht="19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 t="s">
        <v>62</v>
      </c>
      <c r="O121" s="33">
        <f t="shared" si="6"/>
        <v>81933.205455000003</v>
      </c>
      <c r="P121" s="34">
        <f t="shared" si="7"/>
        <v>0.57194768393999995</v>
      </c>
      <c r="Q121" s="34">
        <f t="shared" si="8"/>
        <v>0.54901</v>
      </c>
      <c r="R121" s="35">
        <f t="shared" si="9"/>
        <v>46861.507097767419</v>
      </c>
      <c r="S121" s="14"/>
      <c r="T121" s="14"/>
    </row>
    <row r="122" spans="1:26" ht="19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 t="s">
        <v>63</v>
      </c>
      <c r="O122" s="33">
        <f t="shared" si="6"/>
        <v>88829.063989999995</v>
      </c>
      <c r="P122" s="34">
        <f t="shared" si="7"/>
        <v>0.65538078753999995</v>
      </c>
      <c r="Q122" s="34">
        <f t="shared" si="8"/>
        <v>0.64675357070999995</v>
      </c>
      <c r="R122" s="35">
        <f t="shared" si="9"/>
        <v>58216.861914207249</v>
      </c>
      <c r="S122" s="14"/>
      <c r="T122" s="14"/>
    </row>
    <row r="123" spans="1:26" ht="19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 t="s">
        <v>64</v>
      </c>
      <c r="O123" s="33">
        <f t="shared" si="6"/>
        <v>1164.0639900000001</v>
      </c>
      <c r="P123" s="34">
        <f t="shared" si="7"/>
        <v>0.55603164372000002</v>
      </c>
      <c r="Q123" s="34">
        <f t="shared" si="8"/>
        <v>0.47757625255999997</v>
      </c>
      <c r="R123" s="35">
        <f t="shared" si="9"/>
        <v>647.25641375496173</v>
      </c>
      <c r="S123" s="14"/>
      <c r="T123" s="14"/>
    </row>
    <row r="124" spans="1:26" ht="19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 t="s">
        <v>65</v>
      </c>
      <c r="O124" s="33">
        <f t="shared" si="6"/>
        <v>0</v>
      </c>
      <c r="P124" s="34">
        <f t="shared" si="7"/>
        <v>0</v>
      </c>
      <c r="Q124" s="34">
        <f t="shared" si="8"/>
        <v>0</v>
      </c>
      <c r="R124" s="35">
        <f t="shared" si="9"/>
        <v>0</v>
      </c>
      <c r="S124" s="14"/>
      <c r="T124" s="14"/>
    </row>
    <row r="125" spans="1:26" ht="19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 t="s">
        <v>66</v>
      </c>
      <c r="O125" s="33">
        <f t="shared" si="6"/>
        <v>87665</v>
      </c>
      <c r="P125" s="34">
        <f t="shared" si="7"/>
        <v>0.65670000000000006</v>
      </c>
      <c r="Q125" s="34">
        <f t="shared" si="8"/>
        <v>0.64900000000000002</v>
      </c>
      <c r="R125" s="35">
        <f t="shared" si="9"/>
        <v>57569.605500000005</v>
      </c>
      <c r="S125" s="14"/>
      <c r="T125" s="14"/>
    </row>
    <row r="126" spans="1:26" ht="19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58"/>
      <c r="L126" s="9"/>
      <c r="M126" s="9"/>
      <c r="N126" s="59" t="s">
        <v>67</v>
      </c>
      <c r="O126" s="33">
        <f t="shared" si="6"/>
        <v>1210937.9350000001</v>
      </c>
      <c r="P126" s="34">
        <f t="shared" si="7"/>
        <v>9.5342700787000009E-2</v>
      </c>
      <c r="Q126" s="34">
        <f t="shared" si="8"/>
        <v>4.0979052586E-2</v>
      </c>
      <c r="R126" s="35">
        <f t="shared" si="9"/>
        <v>115454.09320833268</v>
      </c>
    </row>
    <row r="127" spans="1:26" ht="19" x14ac:dyDescent="0.25">
      <c r="K127" s="24"/>
      <c r="L127" s="60"/>
      <c r="M127" s="60"/>
      <c r="N127" s="61" t="s">
        <v>68</v>
      </c>
      <c r="O127" s="33">
        <f t="shared" si="6"/>
        <v>0</v>
      </c>
      <c r="P127" s="34">
        <f t="shared" si="7"/>
        <v>0</v>
      </c>
      <c r="Q127" s="34">
        <f t="shared" si="8"/>
        <v>0</v>
      </c>
      <c r="R127" s="35">
        <f t="shared" si="9"/>
        <v>0</v>
      </c>
      <c r="S127" s="8"/>
      <c r="T127" s="8"/>
      <c r="U127" s="8"/>
      <c r="Y127" s="45"/>
      <c r="Z127" s="45"/>
    </row>
    <row r="128" spans="1:26" ht="19" x14ac:dyDescent="0.25">
      <c r="N128" s="61" t="s">
        <v>69</v>
      </c>
      <c r="O128" s="33">
        <f t="shared" si="6"/>
        <v>0</v>
      </c>
      <c r="P128" s="34">
        <f t="shared" si="7"/>
        <v>0</v>
      </c>
      <c r="Q128" s="34">
        <f t="shared" si="8"/>
        <v>0</v>
      </c>
      <c r="R128" s="35">
        <f t="shared" si="9"/>
        <v>0</v>
      </c>
      <c r="S128" s="62"/>
      <c r="T128" s="62"/>
      <c r="U128" s="62"/>
    </row>
    <row r="129" spans="1:24" ht="19" x14ac:dyDescent="0.25">
      <c r="N129" s="61" t="s">
        <v>70</v>
      </c>
      <c r="O129" s="33">
        <f t="shared" si="6"/>
        <v>273102.80722000002</v>
      </c>
      <c r="P129" s="34">
        <f t="shared" si="7"/>
        <v>0.380436</v>
      </c>
      <c r="Q129" s="34">
        <f t="shared" si="8"/>
        <v>0.35193284994000001</v>
      </c>
      <c r="R129" s="35">
        <f t="shared" si="9"/>
        <v>103898.13956754793</v>
      </c>
      <c r="S129" s="63"/>
      <c r="T129" s="64"/>
      <c r="U129" s="63"/>
    </row>
    <row r="130" spans="1:24" x14ac:dyDescent="0.2">
      <c r="O130" s="26"/>
      <c r="P130" s="65"/>
      <c r="U130" s="62"/>
    </row>
    <row r="131" spans="1:24" x14ac:dyDescent="0.2">
      <c r="O131" s="26"/>
      <c r="P131" s="65"/>
    </row>
    <row r="132" spans="1:24" x14ac:dyDescent="0.2">
      <c r="O132" s="26"/>
      <c r="P132" s="65"/>
    </row>
    <row r="133" spans="1:24" x14ac:dyDescent="0.2">
      <c r="O133" s="26"/>
      <c r="P133" s="65"/>
    </row>
    <row r="134" spans="1:24" x14ac:dyDescent="0.2">
      <c r="O134" s="26"/>
      <c r="P134" s="65"/>
    </row>
    <row r="135" spans="1:24" x14ac:dyDescent="0.2">
      <c r="O135" s="26"/>
      <c r="P135" s="65"/>
    </row>
    <row r="136" spans="1:24" x14ac:dyDescent="0.2">
      <c r="O136" s="26"/>
      <c r="P136" s="65"/>
    </row>
    <row r="137" spans="1:24" x14ac:dyDescent="0.2">
      <c r="O137" s="26"/>
      <c r="P137" s="65"/>
    </row>
    <row r="138" spans="1:24" x14ac:dyDescent="0.2">
      <c r="O138" s="26"/>
      <c r="P138" s="65"/>
    </row>
    <row r="139" spans="1:24" ht="19" x14ac:dyDescent="0.25">
      <c r="K139" s="23"/>
      <c r="L139" s="23"/>
      <c r="M139" s="23"/>
      <c r="O139" s="26"/>
      <c r="P139" s="65"/>
      <c r="Q139" s="45"/>
      <c r="R139" s="45"/>
      <c r="S139" s="45"/>
      <c r="T139" s="45"/>
      <c r="U139" s="45"/>
      <c r="V139" s="45"/>
      <c r="W139" s="45"/>
      <c r="X139" s="45"/>
    </row>
    <row r="140" spans="1:24" x14ac:dyDescent="0.2">
      <c r="O140" s="26"/>
      <c r="P140" s="65"/>
    </row>
    <row r="141" spans="1:24" x14ac:dyDescent="0.2">
      <c r="O141" s="26"/>
      <c r="P141" s="65"/>
    </row>
    <row r="142" spans="1:24" x14ac:dyDescent="0.2">
      <c r="O142" s="26"/>
      <c r="P142" s="65"/>
    </row>
    <row r="143" spans="1:24" s="66" customFormat="1" ht="16" x14ac:dyDescent="0.2">
      <c r="O143" s="26"/>
      <c r="P143" s="65"/>
    </row>
    <row r="144" spans="1:24" ht="16" x14ac:dyDescent="0.2">
      <c r="A144" s="66"/>
      <c r="B144" s="66"/>
      <c r="C144" s="66"/>
      <c r="D144" s="66"/>
      <c r="E144" s="66"/>
      <c r="F144" s="66"/>
      <c r="G144" s="66"/>
      <c r="H144" s="66"/>
      <c r="O144" s="26"/>
      <c r="P144" s="65"/>
    </row>
    <row r="145" spans="15:26" x14ac:dyDescent="0.2">
      <c r="O145" s="26"/>
      <c r="P145" s="65"/>
    </row>
    <row r="146" spans="15:26" x14ac:dyDescent="0.2">
      <c r="O146" s="26"/>
      <c r="P146" s="65"/>
    </row>
    <row r="147" spans="15:26" x14ac:dyDescent="0.2">
      <c r="O147" s="26"/>
      <c r="P147" s="65"/>
    </row>
    <row r="148" spans="15:26" x14ac:dyDescent="0.2">
      <c r="O148" s="26"/>
      <c r="P148" s="65"/>
    </row>
    <row r="149" spans="15:26" x14ac:dyDescent="0.2">
      <c r="O149" s="26"/>
      <c r="P149" s="65"/>
    </row>
    <row r="150" spans="15:26" x14ac:dyDescent="0.2">
      <c r="O150" s="26"/>
      <c r="P150" s="65"/>
    </row>
    <row r="151" spans="15:26" x14ac:dyDescent="0.2">
      <c r="O151" s="26"/>
      <c r="P151" s="65"/>
    </row>
    <row r="152" spans="15:26" x14ac:dyDescent="0.2">
      <c r="O152" s="26"/>
      <c r="P152" s="65"/>
    </row>
    <row r="153" spans="15:26" x14ac:dyDescent="0.2">
      <c r="O153" s="26"/>
      <c r="P153" s="65"/>
    </row>
    <row r="154" spans="15:26" x14ac:dyDescent="0.2">
      <c r="O154" s="26"/>
      <c r="P154" s="65"/>
    </row>
    <row r="155" spans="15:26" x14ac:dyDescent="0.2">
      <c r="O155" s="26"/>
      <c r="P155" s="65"/>
    </row>
    <row r="156" spans="15:26" x14ac:dyDescent="0.2">
      <c r="O156" s="26"/>
      <c r="P156" s="65"/>
    </row>
    <row r="157" spans="15:26" x14ac:dyDescent="0.2">
      <c r="O157" s="26"/>
      <c r="P157" s="65"/>
    </row>
    <row r="158" spans="15:26" x14ac:dyDescent="0.2">
      <c r="O158" s="26"/>
      <c r="P158" s="65"/>
    </row>
    <row r="159" spans="15:26" ht="16" x14ac:dyDescent="0.2">
      <c r="O159" s="26"/>
      <c r="P159" s="65"/>
      <c r="Y159" s="66"/>
      <c r="Z159" s="66"/>
    </row>
    <row r="160" spans="15:26" x14ac:dyDescent="0.2">
      <c r="O160" s="26"/>
      <c r="P160" s="65"/>
    </row>
    <row r="161" spans="11:24" x14ac:dyDescent="0.2">
      <c r="O161" s="26"/>
      <c r="P161" s="65"/>
    </row>
    <row r="162" spans="11:24" x14ac:dyDescent="0.2">
      <c r="O162" s="26"/>
      <c r="P162" s="65"/>
    </row>
    <row r="163" spans="11:24" x14ac:dyDescent="0.2">
      <c r="O163" s="26"/>
      <c r="P163" s="65"/>
    </row>
    <row r="164" spans="11:24" x14ac:dyDescent="0.2">
      <c r="O164" s="26"/>
      <c r="P164" s="65"/>
    </row>
    <row r="165" spans="11:24" x14ac:dyDescent="0.2">
      <c r="O165" s="26"/>
      <c r="P165" s="65"/>
    </row>
    <row r="166" spans="11:24" x14ac:dyDescent="0.2">
      <c r="O166" s="26"/>
      <c r="P166" s="65"/>
    </row>
    <row r="167" spans="11:24" x14ac:dyDescent="0.2">
      <c r="O167" s="26"/>
      <c r="P167" s="65"/>
    </row>
    <row r="168" spans="11:24" x14ac:dyDescent="0.2">
      <c r="O168" s="26"/>
      <c r="P168" s="65"/>
    </row>
    <row r="169" spans="11:24" x14ac:dyDescent="0.2">
      <c r="O169" s="26"/>
      <c r="P169" s="65"/>
    </row>
    <row r="170" spans="11:24" x14ac:dyDescent="0.2">
      <c r="O170" s="26"/>
      <c r="P170" s="65"/>
    </row>
    <row r="171" spans="11:24" ht="16" x14ac:dyDescent="0.2">
      <c r="K171" s="67"/>
      <c r="L171" s="67"/>
      <c r="M171" s="67"/>
      <c r="O171" s="68"/>
      <c r="P171" s="69"/>
      <c r="Q171" s="66"/>
      <c r="R171" s="66"/>
      <c r="S171" s="66"/>
      <c r="T171" s="66"/>
      <c r="U171" s="66"/>
      <c r="V171" s="66"/>
      <c r="W171" s="66"/>
      <c r="X171" s="66"/>
    </row>
    <row r="172" spans="11:24" x14ac:dyDescent="0.2">
      <c r="O172" s="26"/>
      <c r="P172" s="65"/>
    </row>
    <row r="177" spans="11:13" x14ac:dyDescent="0.2">
      <c r="K177" s="24"/>
      <c r="L177" s="7"/>
      <c r="M177" s="7"/>
    </row>
    <row r="178" spans="11:13" x14ac:dyDescent="0.2">
      <c r="K178" s="24"/>
      <c r="L178" s="60"/>
      <c r="M178" s="60"/>
    </row>
  </sheetData>
  <mergeCells count="7">
    <mergeCell ref="S127:U127"/>
    <mergeCell ref="L177:M177"/>
    <mergeCell ref="L66:M66"/>
    <mergeCell ref="O66:Q66"/>
    <mergeCell ref="S66:T66"/>
    <mergeCell ref="AB66:AE66"/>
    <mergeCell ref="L126:M126"/>
  </mergeCells>
  <conditionalFormatting sqref="S68:T120">
    <cfRule type="expression" dxfId="3" priority="2">
      <formula>ABS(S68)&gt;=10%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F95"/>
  <sheetViews>
    <sheetView showGridLines="0" view="pageBreakPreview" topLeftCell="A24" zoomScaleNormal="65" workbookViewId="0">
      <selection activeCell="Z79" sqref="Z79"/>
    </sheetView>
  </sheetViews>
  <sheetFormatPr baseColWidth="10" defaultColWidth="10.5" defaultRowHeight="15" x14ac:dyDescent="0.2"/>
  <cols>
    <col min="2" max="2" width="3.83203125" customWidth="1"/>
    <col min="6" max="6" width="12.5" customWidth="1"/>
    <col min="8" max="8" width="12.5" customWidth="1"/>
    <col min="9" max="9" width="13" customWidth="1"/>
    <col min="11" max="12" width="13" customWidth="1"/>
    <col min="13" max="13" width="13.5" customWidth="1"/>
    <col min="18" max="18" width="12" customWidth="1"/>
    <col min="20" max="20" width="25.5" customWidth="1"/>
    <col min="22" max="22" width="25.5" customWidth="1"/>
    <col min="23" max="23" width="13.83203125" customWidth="1"/>
    <col min="24" max="24" width="16.83203125" customWidth="1"/>
    <col min="25" max="25" width="25.6640625" customWidth="1"/>
    <col min="27" max="27" width="18.6640625" customWidth="1"/>
    <col min="28" max="28" width="19.5" customWidth="1"/>
    <col min="30" max="30" width="14.6640625" customWidth="1"/>
    <col min="32" max="32" width="14.83203125" customWidth="1"/>
  </cols>
  <sheetData>
    <row r="2" spans="9:25" x14ac:dyDescent="0.2">
      <c r="I2" s="70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2"/>
    </row>
    <row r="3" spans="9:25" x14ac:dyDescent="0.2">
      <c r="I3" s="73"/>
      <c r="Y3" s="74"/>
    </row>
    <row r="4" spans="9:25" x14ac:dyDescent="0.2">
      <c r="I4" s="73"/>
      <c r="Y4" s="74"/>
    </row>
    <row r="5" spans="9:25" x14ac:dyDescent="0.2">
      <c r="I5" s="73"/>
      <c r="R5" s="75">
        <f>Flujos!H43</f>
        <v>1286252</v>
      </c>
      <c r="Y5" s="74"/>
    </row>
    <row r="6" spans="9:25" x14ac:dyDescent="0.2">
      <c r="I6" s="73"/>
      <c r="R6" s="76">
        <f>Flujos!I43</f>
        <v>0.12900999999999999</v>
      </c>
      <c r="Y6" s="74"/>
    </row>
    <row r="7" spans="9:25" x14ac:dyDescent="0.2">
      <c r="I7" s="73"/>
      <c r="O7" t="s">
        <v>71</v>
      </c>
      <c r="R7" s="77">
        <f>R5*R6</f>
        <v>165939.37051999997</v>
      </c>
      <c r="Y7" s="74"/>
    </row>
    <row r="8" spans="9:25" x14ac:dyDescent="0.2">
      <c r="I8" s="73"/>
      <c r="O8" s="78">
        <f>Flujos!H14</f>
        <v>0</v>
      </c>
      <c r="Y8" s="74"/>
    </row>
    <row r="9" spans="9:25" x14ac:dyDescent="0.2">
      <c r="I9" s="73"/>
      <c r="J9" s="79">
        <f>Utilidad!O68</f>
        <v>14466</v>
      </c>
      <c r="O9" s="77">
        <f>Flujos!H14*Flujos!I14</f>
        <v>0</v>
      </c>
      <c r="U9" s="75">
        <f>Flujos!H44</f>
        <v>930860.77135000005</v>
      </c>
      <c r="Y9" s="74"/>
    </row>
    <row r="10" spans="9:25" x14ac:dyDescent="0.2">
      <c r="I10" s="73"/>
      <c r="J10" s="80">
        <f>Utilidad!P68</f>
        <v>0.58966186647999996</v>
      </c>
      <c r="U10" s="76">
        <f>Flujos!I44</f>
        <v>6.0500690777000002E-2</v>
      </c>
      <c r="Y10" s="74"/>
    </row>
    <row r="11" spans="9:25" x14ac:dyDescent="0.2">
      <c r="I11" s="73"/>
      <c r="J11" s="81">
        <f>Utilidad!R68</f>
        <v>8530.0485604996793</v>
      </c>
      <c r="M11" s="75">
        <f>Utilidad!O70</f>
        <v>9006.74</v>
      </c>
      <c r="R11" s="75">
        <f>Flujos!H45</f>
        <v>355391.22865</v>
      </c>
      <c r="U11" s="77">
        <f>U10*U9</f>
        <v>56317.719683886055</v>
      </c>
      <c r="Y11" s="74"/>
    </row>
    <row r="12" spans="9:25" x14ac:dyDescent="0.2">
      <c r="I12" s="73"/>
      <c r="L12" s="78">
        <f>+Utilidad!O69</f>
        <v>5459.26</v>
      </c>
      <c r="M12" s="76">
        <f>Utilidad!P70</f>
        <v>0.59496599999999999</v>
      </c>
      <c r="P12" s="26"/>
      <c r="R12" s="76">
        <f>Flujos!I45</f>
        <v>0.30845345072000002</v>
      </c>
      <c r="Y12" s="74"/>
    </row>
    <row r="13" spans="9:25" x14ac:dyDescent="0.2">
      <c r="I13" s="73"/>
      <c r="L13" s="77">
        <f>+Utilidad!R69</f>
        <v>3171.3444897224117</v>
      </c>
      <c r="M13" s="77">
        <f>Utilidad!R70</f>
        <v>5358.70407084</v>
      </c>
      <c r="O13" s="82">
        <f>Flujos!C13</f>
        <v>0</v>
      </c>
      <c r="R13" s="77">
        <f>R11*R12</f>
        <v>109621.65083271304</v>
      </c>
      <c r="Y13" s="74"/>
    </row>
    <row r="14" spans="9:25" x14ac:dyDescent="0.2">
      <c r="I14" s="73"/>
      <c r="O14" s="64">
        <f>Flujos!D13</f>
        <v>0</v>
      </c>
      <c r="S14" s="75">
        <f>Flujos!H46</f>
        <v>82288.421426999994</v>
      </c>
      <c r="Y14" s="74"/>
    </row>
    <row r="15" spans="9:25" x14ac:dyDescent="0.2">
      <c r="I15" s="73"/>
      <c r="O15" s="83">
        <f>O13*O14</f>
        <v>0</v>
      </c>
      <c r="S15" s="76">
        <f>Flujos!I46</f>
        <v>6.9554272239000001E-2</v>
      </c>
      <c r="Y15" s="84">
        <f>+U9+S14+S29+S36+S41+U45+S22</f>
        <v>1210937.9349953001</v>
      </c>
    </row>
    <row r="16" spans="9:25" x14ac:dyDescent="0.2">
      <c r="I16" s="73"/>
      <c r="O16" s="83"/>
      <c r="S16" s="77">
        <f>S14*S15</f>
        <v>5723.5112660511186</v>
      </c>
      <c r="Y16" s="85">
        <f>+IF(Y15&lt;&gt;0,(U9*U10+S14*S15+S29*S30+S36*S37+S41*S42+U45*U46+S22*S23)/Y15,0)</f>
        <v>9.534270078475135E-2</v>
      </c>
    </row>
    <row r="17" spans="3:25" x14ac:dyDescent="0.2">
      <c r="I17" s="73"/>
      <c r="J17" s="26"/>
      <c r="N17" s="83"/>
      <c r="R17" s="75">
        <f>Flujos!H47</f>
        <v>273102.80722000002</v>
      </c>
      <c r="Y17" s="86">
        <f>Y15*Y16</f>
        <v>115454.09320516158</v>
      </c>
    </row>
    <row r="18" spans="3:25" x14ac:dyDescent="0.2">
      <c r="I18" s="73"/>
      <c r="N18" s="82">
        <f>Flujos!C15</f>
        <v>0</v>
      </c>
      <c r="P18" s="82">
        <f>Flujos!H64</f>
        <v>0</v>
      </c>
      <c r="R18" s="76">
        <f>Flujos!I47</f>
        <v>0.380436</v>
      </c>
      <c r="Y18" s="74"/>
    </row>
    <row r="19" spans="3:25" x14ac:dyDescent="0.2">
      <c r="I19" s="73"/>
      <c r="N19" s="64">
        <f>Flujos!D15</f>
        <v>0</v>
      </c>
      <c r="P19" s="64">
        <f>Flujos!I64</f>
        <v>0</v>
      </c>
      <c r="R19" s="77"/>
      <c r="Y19" s="74"/>
    </row>
    <row r="20" spans="3:25" x14ac:dyDescent="0.2">
      <c r="I20" s="73"/>
      <c r="N20" s="83">
        <f>N18*N19</f>
        <v>0</v>
      </c>
      <c r="P20" s="83"/>
      <c r="R20" s="75">
        <f>Flujos!H65</f>
        <v>273102.80722000002</v>
      </c>
      <c r="Y20" s="74"/>
    </row>
    <row r="21" spans="3:25" x14ac:dyDescent="0.2">
      <c r="I21" s="73"/>
      <c r="J21" s="79">
        <f>+Utilidad!O71</f>
        <v>2756</v>
      </c>
      <c r="R21" s="76">
        <f>Flujos!I65</f>
        <v>0.380436</v>
      </c>
      <c r="Y21" s="74"/>
    </row>
    <row r="22" spans="3:25" x14ac:dyDescent="0.2">
      <c r="I22" s="73"/>
      <c r="J22" s="80">
        <f>+Utilidad!P71</f>
        <v>0.44371713479000002</v>
      </c>
      <c r="S22" s="75">
        <f>Flujos!H48</f>
        <v>0</v>
      </c>
      <c r="Y22" s="74"/>
    </row>
    <row r="23" spans="3:25" x14ac:dyDescent="0.2">
      <c r="I23" s="73"/>
      <c r="J23" s="81">
        <f>+Utilidad!R71</f>
        <v>1222.88442348124</v>
      </c>
      <c r="M23" s="75">
        <f>Utilidad!O73</f>
        <v>1076.5899999999999</v>
      </c>
      <c r="S23" s="76">
        <f>Flujos!I48</f>
        <v>0</v>
      </c>
      <c r="Y23" s="74"/>
    </row>
    <row r="24" spans="3:25" x14ac:dyDescent="0.2">
      <c r="I24" s="73"/>
      <c r="L24" s="78">
        <f>+Utilidad!O72</f>
        <v>1679.41</v>
      </c>
      <c r="M24" s="76">
        <f>Utilidad!P73</f>
        <v>0.45002400000000004</v>
      </c>
      <c r="N24" s="82">
        <f>Flujos!H49</f>
        <v>12350.934999999999</v>
      </c>
      <c r="P24" s="82"/>
      <c r="R24" s="75">
        <f>Flujos!H50</f>
        <v>285453.74222000001</v>
      </c>
      <c r="S24" s="77">
        <f>S22*S23</f>
        <v>0</v>
      </c>
      <c r="Y24" s="74"/>
    </row>
    <row r="25" spans="3:25" x14ac:dyDescent="0.2">
      <c r="I25" s="73"/>
      <c r="L25" s="77">
        <f>+Utilidad!R72</f>
        <v>738.39308531922995</v>
      </c>
      <c r="M25" s="77">
        <f>Utilidad!R73</f>
        <v>484.49133816</v>
      </c>
      <c r="N25" s="64">
        <f>Flujos!I49</f>
        <v>0.57358638750000002</v>
      </c>
      <c r="P25" s="64"/>
      <c r="R25" s="76">
        <f>Flujos!I50</f>
        <v>0.38879317851000006</v>
      </c>
      <c r="Y25" s="74"/>
    </row>
    <row r="26" spans="3:25" x14ac:dyDescent="0.2">
      <c r="I26" s="73"/>
      <c r="J26" s="26"/>
      <c r="N26" s="83">
        <f>N24*N25</f>
        <v>7084.3281888973124</v>
      </c>
      <c r="P26" s="83"/>
      <c r="R26" s="77">
        <f>R24*R25</f>
        <v>110982.467755288</v>
      </c>
      <c r="Y26" s="74"/>
    </row>
    <row r="27" spans="3:25" x14ac:dyDescent="0.2">
      <c r="I27" s="73"/>
      <c r="Y27" s="74"/>
    </row>
    <row r="28" spans="3:25" x14ac:dyDescent="0.2">
      <c r="C28" s="73"/>
      <c r="D28" s="81"/>
      <c r="G28" s="75"/>
      <c r="I28" s="73"/>
      <c r="U28" s="26"/>
      <c r="Y28" s="74"/>
    </row>
    <row r="29" spans="3:25" x14ac:dyDescent="0.2">
      <c r="C29" s="73"/>
      <c r="F29" s="78"/>
      <c r="G29" s="76"/>
      <c r="I29" s="73"/>
      <c r="O29" s="82">
        <f>Flujos!H63</f>
        <v>0</v>
      </c>
      <c r="S29" s="75">
        <f>Flujos!H51</f>
        <v>63723.153369</v>
      </c>
      <c r="U29" s="26"/>
      <c r="Y29" s="74"/>
    </row>
    <row r="30" spans="3:25" x14ac:dyDescent="0.2">
      <c r="C30" s="73"/>
      <c r="F30" s="77"/>
      <c r="G30" s="77"/>
      <c r="I30" s="73"/>
      <c r="O30" s="64">
        <f>Flujos!I63</f>
        <v>0</v>
      </c>
      <c r="S30" s="76">
        <f>Flujos!I51</f>
        <v>5.4912000000000002E-2</v>
      </c>
      <c r="Y30" s="74"/>
    </row>
    <row r="31" spans="3:25" x14ac:dyDescent="0.2">
      <c r="C31" s="73"/>
      <c r="I31" s="73"/>
      <c r="J31" s="79">
        <f>+Utilidad!O74</f>
        <v>10839</v>
      </c>
      <c r="O31" s="82"/>
      <c r="R31" s="75">
        <f>Flujos!H52</f>
        <v>221730.58885</v>
      </c>
      <c r="S31" s="77">
        <f>S30*S29</f>
        <v>3499.1657977985283</v>
      </c>
      <c r="Y31" s="74"/>
    </row>
    <row r="32" spans="3:25" x14ac:dyDescent="0.2">
      <c r="C32" s="73"/>
      <c r="I32" s="73"/>
      <c r="J32" s="80">
        <f>+Utilidad!P74</f>
        <v>0.53040222434999995</v>
      </c>
      <c r="R32" s="76">
        <f>Flujos!I52</f>
        <v>0.48474728956000002</v>
      </c>
      <c r="Y32" s="74"/>
    </row>
    <row r="33" spans="3:25" x14ac:dyDescent="0.2">
      <c r="C33" s="73"/>
      <c r="I33" s="73"/>
      <c r="J33" s="81">
        <f>+Utilidad!R74</f>
        <v>5749.0297097296498</v>
      </c>
      <c r="M33" s="75">
        <f>+Utilidad!O76</f>
        <v>2267.605</v>
      </c>
      <c r="O33" s="26"/>
      <c r="R33" s="77">
        <f>R31*R32</f>
        <v>107483.30195758026</v>
      </c>
      <c r="Y33" s="87">
        <f>U9+S14+S29+S36+U45-Y15</f>
        <v>-2119.4037752998993</v>
      </c>
    </row>
    <row r="34" spans="3:25" x14ac:dyDescent="0.2">
      <c r="C34" s="73"/>
      <c r="I34" s="73"/>
      <c r="L34" s="78">
        <f>+Utilidad!O75</f>
        <v>8571.3950000000004</v>
      </c>
      <c r="M34" s="76">
        <f>+Utilidad!P76</f>
        <v>0.54733199999999993</v>
      </c>
      <c r="Y34" s="74"/>
    </row>
    <row r="35" spans="3:25" x14ac:dyDescent="0.2">
      <c r="C35" s="73"/>
      <c r="I35" s="73"/>
      <c r="J35" s="26"/>
      <c r="L35" s="77">
        <f>+Utilidad!R75</f>
        <v>4507.8969298583479</v>
      </c>
      <c r="M35" s="77">
        <f>+Utilidad!R76</f>
        <v>1241.1327798599998</v>
      </c>
      <c r="Y35" s="74"/>
    </row>
    <row r="36" spans="3:25" x14ac:dyDescent="0.2">
      <c r="C36" s="73"/>
      <c r="D36" s="79">
        <f>Flujos!H28</f>
        <v>2120</v>
      </c>
      <c r="I36" s="73"/>
      <c r="O36" s="26"/>
      <c r="S36" s="75">
        <f>Flujos!H53</f>
        <v>50012.979618999998</v>
      </c>
      <c r="Y36" s="74"/>
    </row>
    <row r="37" spans="3:25" x14ac:dyDescent="0.2">
      <c r="C37" s="73"/>
      <c r="D37" s="80">
        <f>Flujos!I28</f>
        <v>0.52831856305000002</v>
      </c>
      <c r="I37" s="73"/>
      <c r="S37" s="76">
        <f>Flujos!I53</f>
        <v>5.7375999999999996E-2</v>
      </c>
      <c r="Y37" s="74"/>
    </row>
    <row r="38" spans="3:25" x14ac:dyDescent="0.2">
      <c r="C38" s="73"/>
      <c r="D38" s="81">
        <f>D36*D37</f>
        <v>1120.035353666</v>
      </c>
      <c r="G38" s="75">
        <f>Flujos!H30</f>
        <v>0</v>
      </c>
      <c r="I38" s="73"/>
      <c r="R38" s="75">
        <f>Flujos!H54</f>
        <v>171717.60923</v>
      </c>
      <c r="S38" s="77">
        <f>S36*S37</f>
        <v>2869.5447186197439</v>
      </c>
      <c r="Y38" s="74"/>
    </row>
    <row r="39" spans="3:25" x14ac:dyDescent="0.2">
      <c r="C39" s="73"/>
      <c r="F39" s="78">
        <f>Flujos!H29</f>
        <v>2120</v>
      </c>
      <c r="G39" s="76">
        <f>Flujos!I30</f>
        <v>0</v>
      </c>
      <c r="I39" s="73"/>
      <c r="R39" s="76">
        <f>Flujos!I54</f>
        <v>0.60921973994</v>
      </c>
      <c r="Y39" s="74"/>
    </row>
    <row r="40" spans="3:25" x14ac:dyDescent="0.2">
      <c r="C40" s="73"/>
      <c r="D40" s="26"/>
      <c r="F40" s="77">
        <f>Flujos!I29*Flujos!H29</f>
        <v>1120.035353666</v>
      </c>
      <c r="G40" s="77">
        <f>G39*G38</f>
        <v>0</v>
      </c>
      <c r="I40" s="73"/>
      <c r="R40" s="77">
        <f>R38*R39</f>
        <v>104613.75723821914</v>
      </c>
      <c r="Y40" s="74"/>
    </row>
    <row r="41" spans="3:25" x14ac:dyDescent="0.2">
      <c r="C41" s="73"/>
      <c r="I41" s="73"/>
      <c r="J41" s="79"/>
      <c r="S41" s="75">
        <f>Flujos!H55</f>
        <v>2119.4037752999998</v>
      </c>
      <c r="Y41" s="74"/>
    </row>
    <row r="42" spans="3:25" x14ac:dyDescent="0.2">
      <c r="C42" s="73"/>
      <c r="I42" s="73"/>
      <c r="J42" s="80"/>
      <c r="S42" s="76">
        <f>Flujos!I55</f>
        <v>8.6177368921999994E-2</v>
      </c>
      <c r="Y42" s="74"/>
    </row>
    <row r="43" spans="3:25" x14ac:dyDescent="0.2">
      <c r="C43" s="73"/>
      <c r="E43" s="62" t="s">
        <v>72</v>
      </c>
      <c r="I43" s="73"/>
      <c r="J43" s="81"/>
      <c r="M43" s="75"/>
      <c r="S43" s="77">
        <f>S41*S42</f>
        <v>182.64464103870765</v>
      </c>
      <c r="Y43" s="74"/>
    </row>
    <row r="44" spans="3:25" x14ac:dyDescent="0.2">
      <c r="C44" s="73"/>
      <c r="D44" s="79">
        <f>Flujos!H31</f>
        <v>0</v>
      </c>
      <c r="I44" s="73"/>
      <c r="L44" s="78"/>
      <c r="M44" s="76"/>
      <c r="R44" s="88">
        <f>Flujos!H56</f>
        <v>169598.20546</v>
      </c>
      <c r="Y44" s="74"/>
    </row>
    <row r="45" spans="3:25" x14ac:dyDescent="0.2">
      <c r="C45" s="73"/>
      <c r="D45" s="80">
        <f>Flujos!I31</f>
        <v>0</v>
      </c>
      <c r="G45" s="75">
        <f>Flujos!H33</f>
        <v>0</v>
      </c>
      <c r="I45" s="73"/>
      <c r="L45" s="77"/>
      <c r="M45" s="77"/>
      <c r="P45" s="75">
        <f>Flujos!H59</f>
        <v>1164.0639900000001</v>
      </c>
      <c r="R45" s="37">
        <f>Flujos!I56</f>
        <v>0.61575599999999997</v>
      </c>
      <c r="S45" s="77">
        <f>R44*R45</f>
        <v>104431.11260122775</v>
      </c>
      <c r="U45" s="75">
        <f>Flujos!H57</f>
        <v>81933.205455000003</v>
      </c>
      <c r="Y45" s="74"/>
    </row>
    <row r="46" spans="3:25" x14ac:dyDescent="0.2">
      <c r="C46" s="73"/>
      <c r="D46" s="81">
        <f>D44*D45</f>
        <v>0</v>
      </c>
      <c r="F46" s="78">
        <f>Flujos!H32</f>
        <v>0</v>
      </c>
      <c r="G46" s="76">
        <f>Flujos!I33</f>
        <v>0</v>
      </c>
      <c r="I46" s="73"/>
      <c r="P46" s="76">
        <f>Flujos!I59</f>
        <v>0.55603164372000002</v>
      </c>
      <c r="U46" s="76">
        <f>Flujos!I57</f>
        <v>0.57194768393999995</v>
      </c>
      <c r="Y46" s="74"/>
    </row>
    <row r="47" spans="3:25" x14ac:dyDescent="0.2">
      <c r="C47" s="73"/>
      <c r="F47" s="77">
        <f>Flujos!I32*Flujos!H32</f>
        <v>0</v>
      </c>
      <c r="G47" s="77">
        <f>G45*G46</f>
        <v>0</v>
      </c>
      <c r="I47" s="73"/>
      <c r="P47" s="77">
        <f>P45*P46</f>
        <v>647.25641375496173</v>
      </c>
      <c r="U47" s="77">
        <f>U46*U45</f>
        <v>46861.507097767419</v>
      </c>
      <c r="Y47" s="74"/>
    </row>
    <row r="48" spans="3:25" x14ac:dyDescent="0.2">
      <c r="C48" s="73"/>
      <c r="D48" s="26"/>
      <c r="I48" s="73"/>
      <c r="Y48" s="74"/>
    </row>
    <row r="49" spans="3:32" x14ac:dyDescent="0.2">
      <c r="C49" s="73"/>
      <c r="I49" s="73"/>
      <c r="R49" s="75">
        <f>Flujos!H58</f>
        <v>88829.063989999995</v>
      </c>
      <c r="S49" s="76">
        <f>Flujos!I58</f>
        <v>0.65538078753999995</v>
      </c>
      <c r="T49" s="77">
        <f>R49*S49</f>
        <v>58216.861914207249</v>
      </c>
      <c r="Y49" s="74"/>
    </row>
    <row r="50" spans="3:32" x14ac:dyDescent="0.2">
      <c r="C50" s="73"/>
      <c r="E50" t="s">
        <v>73</v>
      </c>
      <c r="I50" s="73"/>
      <c r="T50" s="26"/>
      <c r="Y50" s="74"/>
    </row>
    <row r="51" spans="3:32" x14ac:dyDescent="0.2">
      <c r="C51" s="73"/>
      <c r="D51" s="79">
        <f>Flujos!H34</f>
        <v>0</v>
      </c>
      <c r="G51" s="75">
        <f>Flujos!H36</f>
        <v>0</v>
      </c>
      <c r="I51" s="73"/>
      <c r="J51" s="79">
        <f>+Utilidad!O80</f>
        <v>0</v>
      </c>
      <c r="Y51" s="74"/>
    </row>
    <row r="52" spans="3:32" x14ac:dyDescent="0.2">
      <c r="C52" s="73"/>
      <c r="D52" s="80">
        <f>Flujos!I34</f>
        <v>0</v>
      </c>
      <c r="G52" s="76">
        <f>Flujos!I36</f>
        <v>0</v>
      </c>
      <c r="I52" s="73"/>
      <c r="J52" s="80">
        <f>+Utilidad!P80</f>
        <v>0</v>
      </c>
      <c r="Y52" s="74"/>
    </row>
    <row r="53" spans="3:32" x14ac:dyDescent="0.2">
      <c r="C53" s="73"/>
      <c r="D53" s="81">
        <f>D51*D52</f>
        <v>0</v>
      </c>
      <c r="G53" s="77">
        <f>G51*G52</f>
        <v>0</v>
      </c>
      <c r="I53" s="73"/>
      <c r="J53" s="81">
        <f>+Utilidad!R80</f>
        <v>0</v>
      </c>
      <c r="M53" s="75">
        <f>+Utilidad!O82</f>
        <v>0</v>
      </c>
      <c r="Y53" s="74"/>
    </row>
    <row r="54" spans="3:32" x14ac:dyDescent="0.2">
      <c r="C54" s="73"/>
      <c r="F54" s="78">
        <f>Flujos!H35</f>
        <v>0</v>
      </c>
      <c r="I54" s="73"/>
      <c r="L54" s="78">
        <f>+Utilidad!O81</f>
        <v>0</v>
      </c>
      <c r="M54" s="76">
        <f>+Utilidad!P82</f>
        <v>0</v>
      </c>
      <c r="O54" s="75">
        <f>Flujos!H42</f>
        <v>0</v>
      </c>
      <c r="Q54" s="75">
        <f>Flujos!H40</f>
        <v>0</v>
      </c>
      <c r="Y54" s="74"/>
    </row>
    <row r="55" spans="3:32" ht="16" x14ac:dyDescent="0.2">
      <c r="C55" s="73"/>
      <c r="F55" s="77">
        <f>Flujos!I35*Flujos!H35</f>
        <v>0</v>
      </c>
      <c r="I55" s="73"/>
      <c r="J55" s="26">
        <f>J53-L55</f>
        <v>0</v>
      </c>
      <c r="L55" s="77">
        <f>+Utilidad!R81</f>
        <v>0</v>
      </c>
      <c r="M55" s="77">
        <f>+Utilidad!R82</f>
        <v>0</v>
      </c>
      <c r="O55" s="76">
        <f>Flujos!I42</f>
        <v>0</v>
      </c>
      <c r="Q55" s="76">
        <f>Flujos!I40</f>
        <v>0</v>
      </c>
      <c r="Y55" s="74"/>
      <c r="AA55" s="67" t="s">
        <v>74</v>
      </c>
    </row>
    <row r="56" spans="3:32" ht="19" x14ac:dyDescent="0.2">
      <c r="C56" s="73"/>
      <c r="I56" s="73"/>
      <c r="O56" s="77">
        <f>O54*O55</f>
        <v>0</v>
      </c>
      <c r="Q56" s="77">
        <f>Q54*Q55</f>
        <v>0</v>
      </c>
      <c r="Y56" s="74"/>
      <c r="AA56" s="89" t="s">
        <v>75</v>
      </c>
      <c r="AB56" s="90"/>
      <c r="AC56" s="91" t="s">
        <v>76</v>
      </c>
      <c r="AD56" s="91"/>
      <c r="AE56" s="89" t="s">
        <v>77</v>
      </c>
      <c r="AF56" s="89"/>
    </row>
    <row r="57" spans="3:32" ht="32" x14ac:dyDescent="0.2">
      <c r="C57" s="73"/>
      <c r="E57" t="s">
        <v>78</v>
      </c>
      <c r="I57" s="73"/>
      <c r="Y57" s="74"/>
      <c r="AA57" s="92" t="s">
        <v>48</v>
      </c>
      <c r="AB57" s="93">
        <f>+R5</f>
        <v>1286252</v>
      </c>
      <c r="AC57" s="92" t="s">
        <v>5</v>
      </c>
      <c r="AD57" s="94">
        <f>+L12</f>
        <v>5459.26</v>
      </c>
      <c r="AE57" s="95" t="s">
        <v>66</v>
      </c>
      <c r="AF57" s="94">
        <f>+S60</f>
        <v>87665</v>
      </c>
    </row>
    <row r="58" spans="3:32" ht="32" x14ac:dyDescent="0.2">
      <c r="C58" s="73"/>
      <c r="D58" s="79">
        <f>Flujos!H37</f>
        <v>0</v>
      </c>
      <c r="G58" s="75">
        <f>Flujos!H39</f>
        <v>0</v>
      </c>
      <c r="I58" s="73"/>
      <c r="K58" t="s">
        <v>79</v>
      </c>
      <c r="Y58" s="74"/>
      <c r="AA58" s="92" t="s">
        <v>4</v>
      </c>
      <c r="AB58" s="93">
        <f>+J9</f>
        <v>14466</v>
      </c>
      <c r="AC58" s="92" t="s">
        <v>8</v>
      </c>
      <c r="AD58" s="94">
        <f>+L24</f>
        <v>1679.41</v>
      </c>
      <c r="AE58" s="95" t="s">
        <v>80</v>
      </c>
      <c r="AF58" s="94">
        <f>+Y15</f>
        <v>1210937.9349953001</v>
      </c>
    </row>
    <row r="59" spans="3:32" ht="16" x14ac:dyDescent="0.2">
      <c r="C59" s="73"/>
      <c r="D59" s="80">
        <f>Flujos!I37</f>
        <v>0</v>
      </c>
      <c r="G59" s="76">
        <f>Flujos!I39</f>
        <v>0</v>
      </c>
      <c r="I59" s="73"/>
      <c r="J59" s="79">
        <f>+Utilidad!O83</f>
        <v>0</v>
      </c>
      <c r="S59" t="s">
        <v>81</v>
      </c>
      <c r="Y59" s="74"/>
      <c r="AA59" s="92" t="s">
        <v>7</v>
      </c>
      <c r="AB59" s="93">
        <f>+J21</f>
        <v>2756</v>
      </c>
      <c r="AC59" t="s">
        <v>11</v>
      </c>
      <c r="AD59" s="94">
        <f>+L34</f>
        <v>8571.3950000000004</v>
      </c>
      <c r="AE59" s="96"/>
      <c r="AF59" s="94"/>
    </row>
    <row r="60" spans="3:32" ht="32" x14ac:dyDescent="0.2">
      <c r="C60" s="73"/>
      <c r="D60" s="81">
        <f>D58*D59</f>
        <v>0</v>
      </c>
      <c r="G60" s="77">
        <f>G58*G59</f>
        <v>0</v>
      </c>
      <c r="I60" s="73"/>
      <c r="J60" s="80">
        <f>+Utilidad!P83</f>
        <v>0</v>
      </c>
      <c r="M60" s="75">
        <f>+Utilidad!O85</f>
        <v>0</v>
      </c>
      <c r="S60" s="75">
        <f>Flujos!H61</f>
        <v>87665</v>
      </c>
      <c r="Y60" s="74"/>
      <c r="AA60" s="92" t="s">
        <v>10</v>
      </c>
      <c r="AB60" s="93">
        <f>+J31</f>
        <v>10839</v>
      </c>
      <c r="AC60" s="92" t="s">
        <v>14</v>
      </c>
      <c r="AD60" s="94">
        <f>O8</f>
        <v>0</v>
      </c>
      <c r="AE60" s="96"/>
      <c r="AF60" s="94"/>
    </row>
    <row r="61" spans="3:32" ht="32" x14ac:dyDescent="0.2">
      <c r="C61" s="73"/>
      <c r="F61" s="78">
        <f>Flujos!H38</f>
        <v>0</v>
      </c>
      <c r="I61" s="73"/>
      <c r="J61" s="81">
        <f>+Utilidad!R83</f>
        <v>0</v>
      </c>
      <c r="L61" s="78">
        <f>+Utilidad!O84</f>
        <v>0</v>
      </c>
      <c r="M61" s="76">
        <f>+Utilidad!P85</f>
        <v>0</v>
      </c>
      <c r="O61" s="78">
        <f>Flujos!H41</f>
        <v>0</v>
      </c>
      <c r="S61" s="76">
        <f>Flujos!I61</f>
        <v>0.65670000000000006</v>
      </c>
      <c r="Y61" s="74"/>
      <c r="AA61" s="97" t="s">
        <v>13</v>
      </c>
      <c r="AB61" s="93"/>
      <c r="AC61" s="92" t="s">
        <v>17</v>
      </c>
      <c r="AD61" s="94">
        <f>+L54</f>
        <v>0</v>
      </c>
      <c r="AE61" s="98"/>
      <c r="AF61" s="94"/>
    </row>
    <row r="62" spans="3:32" ht="32" x14ac:dyDescent="0.2">
      <c r="C62" s="73"/>
      <c r="F62" s="77">
        <f>Flujos!I38*Flujos!H38</f>
        <v>0</v>
      </c>
      <c r="I62" s="73"/>
      <c r="L62" s="77">
        <f>+Utilidad!R84</f>
        <v>0</v>
      </c>
      <c r="M62" s="77">
        <f>+Utilidad!R85</f>
        <v>0</v>
      </c>
      <c r="O62" s="77">
        <f>Flujos!I41*Flujos!J41</f>
        <v>0</v>
      </c>
      <c r="S62" s="77">
        <f>S60*S61</f>
        <v>57569.605500000005</v>
      </c>
      <c r="Y62" s="74"/>
      <c r="AA62" s="92" t="s">
        <v>16</v>
      </c>
      <c r="AB62" s="93">
        <f>+J51</f>
        <v>0</v>
      </c>
      <c r="AC62" s="92" t="s">
        <v>20</v>
      </c>
      <c r="AD62" s="94">
        <f>+L61</f>
        <v>0</v>
      </c>
      <c r="AE62" s="95"/>
      <c r="AF62" s="94"/>
    </row>
    <row r="63" spans="3:32" ht="32" x14ac:dyDescent="0.2">
      <c r="C63" s="73"/>
      <c r="I63" s="73"/>
      <c r="J63" s="26">
        <f>J61-L62</f>
        <v>0</v>
      </c>
      <c r="S63" s="77"/>
      <c r="Y63" s="74"/>
      <c r="AA63" s="92" t="s">
        <v>19</v>
      </c>
      <c r="AB63" s="93">
        <f>+J59</f>
        <v>0</v>
      </c>
      <c r="AC63" s="92" t="s">
        <v>23</v>
      </c>
      <c r="AD63" s="94">
        <f>+L69</f>
        <v>0</v>
      </c>
      <c r="AE63" s="95"/>
      <c r="AF63" s="94"/>
    </row>
    <row r="64" spans="3:32" ht="32" x14ac:dyDescent="0.2">
      <c r="I64" s="73"/>
      <c r="S64" s="77"/>
      <c r="Y64" s="74"/>
      <c r="AA64" s="92" t="s">
        <v>22</v>
      </c>
      <c r="AB64" s="93">
        <f>+J66</f>
        <v>0</v>
      </c>
      <c r="AC64" s="92" t="s">
        <v>28</v>
      </c>
      <c r="AD64" s="94">
        <f>+L76</f>
        <v>1566</v>
      </c>
      <c r="AE64" s="95"/>
      <c r="AF64" s="94"/>
    </row>
    <row r="65" spans="9:32" ht="16" x14ac:dyDescent="0.2">
      <c r="I65" s="73"/>
      <c r="K65" t="s">
        <v>82</v>
      </c>
      <c r="S65" s="77"/>
      <c r="Y65" s="74"/>
      <c r="AA65" s="92" t="s">
        <v>26</v>
      </c>
      <c r="AB65" s="93">
        <f>+J73</f>
        <v>1566</v>
      </c>
      <c r="AC65" s="99" t="s">
        <v>83</v>
      </c>
      <c r="AD65" s="94"/>
      <c r="AE65" s="96"/>
      <c r="AF65" s="94"/>
    </row>
    <row r="66" spans="9:32" ht="16" x14ac:dyDescent="0.2">
      <c r="I66" s="73"/>
      <c r="J66" s="79">
        <f>+Utilidad!O86</f>
        <v>0</v>
      </c>
      <c r="M66" s="75">
        <f>+Utilidad!O88</f>
        <v>0</v>
      </c>
      <c r="S66" s="77"/>
      <c r="Y66" s="74"/>
      <c r="AA66" s="92" t="s">
        <v>84</v>
      </c>
      <c r="AB66" s="93">
        <f>D36</f>
        <v>2120</v>
      </c>
      <c r="AC66" s="92" t="s">
        <v>85</v>
      </c>
      <c r="AD66" s="94">
        <f>F39</f>
        <v>2120</v>
      </c>
      <c r="AE66" s="95"/>
      <c r="AF66" s="94"/>
    </row>
    <row r="67" spans="9:32" ht="16" x14ac:dyDescent="0.2">
      <c r="I67" s="73"/>
      <c r="J67" s="80">
        <f>+Utilidad!P86</f>
        <v>0</v>
      </c>
      <c r="M67" s="76">
        <f>+Utilidad!P88</f>
        <v>0</v>
      </c>
      <c r="S67" s="77"/>
      <c r="Y67" s="74"/>
      <c r="AA67" s="92" t="s">
        <v>72</v>
      </c>
      <c r="AB67" s="93">
        <f>D44</f>
        <v>0</v>
      </c>
      <c r="AC67" s="92" t="s">
        <v>86</v>
      </c>
      <c r="AD67" s="94">
        <f>F46</f>
        <v>0</v>
      </c>
      <c r="AE67" s="95"/>
      <c r="AF67" s="94"/>
    </row>
    <row r="68" spans="9:32" ht="16" x14ac:dyDescent="0.2">
      <c r="I68" s="73"/>
      <c r="J68" s="81">
        <f>+Utilidad!R86</f>
        <v>0</v>
      </c>
      <c r="M68" s="77">
        <f>+Utilidad!R88</f>
        <v>0</v>
      </c>
      <c r="S68" s="77"/>
      <c r="Y68" s="74"/>
      <c r="AA68" s="92" t="s">
        <v>73</v>
      </c>
      <c r="AB68" s="93">
        <f>D51</f>
        <v>0</v>
      </c>
      <c r="AC68" s="92" t="s">
        <v>87</v>
      </c>
      <c r="AD68" s="94">
        <f>F54</f>
        <v>0</v>
      </c>
      <c r="AE68" s="95"/>
      <c r="AF68" s="94"/>
    </row>
    <row r="69" spans="9:32" ht="16" x14ac:dyDescent="0.2">
      <c r="I69" s="73"/>
      <c r="L69" s="78">
        <f>+Utilidad!O87</f>
        <v>0</v>
      </c>
      <c r="S69" s="77"/>
      <c r="Y69" s="74"/>
      <c r="AA69" s="92" t="s">
        <v>78</v>
      </c>
      <c r="AB69" s="93">
        <f>D58</f>
        <v>0</v>
      </c>
      <c r="AC69" s="92" t="s">
        <v>88</v>
      </c>
      <c r="AD69" s="94">
        <f>F61</f>
        <v>0</v>
      </c>
      <c r="AE69" s="96"/>
      <c r="AF69" s="94"/>
    </row>
    <row r="70" spans="9:32" x14ac:dyDescent="0.2">
      <c r="I70" s="73"/>
      <c r="L70" s="77">
        <f>+Utilidad!R87</f>
        <v>0</v>
      </c>
      <c r="S70" s="77"/>
      <c r="Y70" s="74"/>
    </row>
    <row r="71" spans="9:32" ht="19" x14ac:dyDescent="0.2">
      <c r="I71" s="73"/>
      <c r="S71" s="77"/>
      <c r="Y71" s="74"/>
      <c r="AA71" s="100" t="s">
        <v>89</v>
      </c>
      <c r="AB71" s="101">
        <f>+SUM(AB57:AB69)</f>
        <v>1317999</v>
      </c>
      <c r="AC71" s="100" t="s">
        <v>90</v>
      </c>
      <c r="AD71" s="102">
        <f>+SUM(AD57:AD69)</f>
        <v>19396.065000000002</v>
      </c>
      <c r="AE71" s="95"/>
      <c r="AF71" s="101">
        <f>+SUM(AF57:AF64)</f>
        <v>1298602.9349953001</v>
      </c>
    </row>
    <row r="72" spans="9:32" x14ac:dyDescent="0.2">
      <c r="I72" s="73"/>
      <c r="K72" t="s">
        <v>91</v>
      </c>
      <c r="S72" s="77"/>
      <c r="Y72" s="74"/>
    </row>
    <row r="73" spans="9:32" ht="19" x14ac:dyDescent="0.2">
      <c r="I73" s="73"/>
      <c r="J73" s="79">
        <f>+Utilidad!O89</f>
        <v>1566</v>
      </c>
      <c r="M73" s="75">
        <f>+Utilidad!O91</f>
        <v>0</v>
      </c>
      <c r="S73" s="77"/>
      <c r="Y73" s="74"/>
      <c r="AA73" s="103" t="s">
        <v>92</v>
      </c>
      <c r="AB73" s="104"/>
      <c r="AC73" s="105"/>
      <c r="AD73" s="104"/>
      <c r="AE73" s="106">
        <f>+AB71-AD71-AF71</f>
        <v>4.6999193727970123E-6</v>
      </c>
    </row>
    <row r="74" spans="9:32" x14ac:dyDescent="0.2">
      <c r="I74" s="73"/>
      <c r="J74" s="80">
        <f>+Utilidad!P89</f>
        <v>0.52011388218999999</v>
      </c>
      <c r="M74" s="76">
        <f>+Utilidad!P91</f>
        <v>0</v>
      </c>
      <c r="S74" s="77"/>
      <c r="Y74" s="74"/>
    </row>
    <row r="75" spans="9:32" x14ac:dyDescent="0.2">
      <c r="I75" s="73"/>
      <c r="J75" s="81">
        <f>+Utilidad!R89</f>
        <v>814.49833950953996</v>
      </c>
      <c r="M75" s="77">
        <f>+Utilidad!R91</f>
        <v>0</v>
      </c>
      <c r="S75" s="77"/>
      <c r="Y75" s="74"/>
    </row>
    <row r="76" spans="9:32" x14ac:dyDescent="0.2">
      <c r="I76" s="73"/>
      <c r="L76" s="78">
        <f>+Utilidad!O90</f>
        <v>1566</v>
      </c>
      <c r="S76" s="77"/>
      <c r="Y76" s="74"/>
    </row>
    <row r="77" spans="9:32" ht="16" x14ac:dyDescent="0.2">
      <c r="I77" s="73"/>
      <c r="L77" s="77">
        <f>+Utilidad!R90</f>
        <v>814.49833950953996</v>
      </c>
      <c r="S77" s="77"/>
      <c r="Y77" s="74"/>
      <c r="AA77" s="67" t="s">
        <v>93</v>
      </c>
    </row>
    <row r="78" spans="9:32" ht="19" x14ac:dyDescent="0.2">
      <c r="I78" s="73"/>
      <c r="S78" s="77"/>
      <c r="Y78" s="74"/>
      <c r="AA78" s="107" t="s">
        <v>75</v>
      </c>
      <c r="AB78" s="108"/>
      <c r="AC78" s="109" t="s">
        <v>76</v>
      </c>
      <c r="AD78" s="109"/>
      <c r="AE78" s="107" t="s">
        <v>77</v>
      </c>
      <c r="AF78" s="107"/>
    </row>
    <row r="79" spans="9:32" ht="32" x14ac:dyDescent="0.2">
      <c r="I79" s="73"/>
      <c r="J79" s="26"/>
      <c r="S79" s="77"/>
      <c r="Y79" s="74"/>
      <c r="AA79" s="92" t="s">
        <v>48</v>
      </c>
      <c r="AB79" s="93">
        <f>+R7</f>
        <v>165939.37051999997</v>
      </c>
      <c r="AC79" s="92" t="s">
        <v>5</v>
      </c>
      <c r="AD79" s="94">
        <f>+L13</f>
        <v>3171.3444897224117</v>
      </c>
      <c r="AE79" s="95" t="s">
        <v>66</v>
      </c>
      <c r="AF79" s="94">
        <f>+S62</f>
        <v>57569.605500000005</v>
      </c>
    </row>
    <row r="80" spans="9:32" ht="32" x14ac:dyDescent="0.2">
      <c r="I80" s="73"/>
      <c r="S80" s="77"/>
      <c r="Y80" s="74"/>
      <c r="AA80" s="92" t="s">
        <v>4</v>
      </c>
      <c r="AB80" s="93">
        <f>+J11</f>
        <v>8530.0485604996793</v>
      </c>
      <c r="AC80" s="92" t="s">
        <v>8</v>
      </c>
      <c r="AD80" s="94">
        <f>+L25</f>
        <v>738.39308531922995</v>
      </c>
      <c r="AE80" s="95" t="s">
        <v>80</v>
      </c>
      <c r="AF80" s="94">
        <f>+Y17</f>
        <v>115454.09320516158</v>
      </c>
    </row>
    <row r="81" spans="9:32" ht="32" x14ac:dyDescent="0.2">
      <c r="I81" s="73"/>
      <c r="S81" s="77"/>
      <c r="Y81" s="74"/>
      <c r="AA81" s="92" t="s">
        <v>7</v>
      </c>
      <c r="AB81" s="93">
        <f>+J23</f>
        <v>1222.88442348124</v>
      </c>
      <c r="AC81" s="92" t="s">
        <v>11</v>
      </c>
      <c r="AD81" s="94">
        <f>+L35</f>
        <v>4507.8969298583479</v>
      </c>
      <c r="AE81" s="96"/>
      <c r="AF81" s="94"/>
    </row>
    <row r="82" spans="9:32" ht="32" x14ac:dyDescent="0.2">
      <c r="I82" s="73"/>
      <c r="S82" s="77"/>
      <c r="Y82" s="74"/>
      <c r="AA82" s="92" t="s">
        <v>10</v>
      </c>
      <c r="AB82" s="93">
        <f>+J33</f>
        <v>5749.0297097296498</v>
      </c>
      <c r="AC82" s="92" t="s">
        <v>14</v>
      </c>
      <c r="AD82" s="94">
        <f>+O9</f>
        <v>0</v>
      </c>
      <c r="AE82" s="96"/>
      <c r="AF82" s="94"/>
    </row>
    <row r="83" spans="9:32" ht="32" x14ac:dyDescent="0.2">
      <c r="I83" s="110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2"/>
      <c r="AA83" s="97" t="s">
        <v>13</v>
      </c>
      <c r="AB83" s="93"/>
      <c r="AC83" s="92" t="s">
        <v>17</v>
      </c>
      <c r="AD83" s="94">
        <f>+L55</f>
        <v>0</v>
      </c>
      <c r="AE83" s="98"/>
      <c r="AF83" s="94"/>
    </row>
    <row r="84" spans="9:32" ht="32" x14ac:dyDescent="0.2">
      <c r="AA84" s="92" t="s">
        <v>16</v>
      </c>
      <c r="AB84" s="93">
        <f>+J53</f>
        <v>0</v>
      </c>
      <c r="AC84" s="92" t="s">
        <v>20</v>
      </c>
      <c r="AD84" s="94">
        <f>+L62</f>
        <v>0</v>
      </c>
      <c r="AE84" s="95"/>
      <c r="AF84" s="94"/>
    </row>
    <row r="85" spans="9:32" ht="32" x14ac:dyDescent="0.2">
      <c r="AA85" s="92" t="s">
        <v>19</v>
      </c>
      <c r="AB85" s="93">
        <f>+J61</f>
        <v>0</v>
      </c>
      <c r="AC85" s="92" t="s">
        <v>23</v>
      </c>
      <c r="AD85" s="94">
        <f>+L70</f>
        <v>0</v>
      </c>
      <c r="AE85" s="95"/>
      <c r="AF85" s="94"/>
    </row>
    <row r="86" spans="9:32" ht="32" x14ac:dyDescent="0.2">
      <c r="AA86" s="92" t="s">
        <v>22</v>
      </c>
      <c r="AB86" s="93">
        <f>+J68</f>
        <v>0</v>
      </c>
      <c r="AC86" s="92" t="s">
        <v>28</v>
      </c>
      <c r="AD86" s="94">
        <f>+L77</f>
        <v>814.49833950953996</v>
      </c>
      <c r="AE86" s="95"/>
      <c r="AF86" s="94"/>
    </row>
    <row r="87" spans="9:32" ht="16" x14ac:dyDescent="0.2">
      <c r="AA87" s="92" t="s">
        <v>26</v>
      </c>
      <c r="AB87" s="93">
        <f>+J75</f>
        <v>814.49833950953996</v>
      </c>
      <c r="AC87" s="99" t="s">
        <v>83</v>
      </c>
      <c r="AD87" s="94"/>
      <c r="AE87" s="96"/>
      <c r="AF87" s="94"/>
    </row>
    <row r="88" spans="9:32" ht="16" x14ac:dyDescent="0.2">
      <c r="AA88" s="92" t="s">
        <v>84</v>
      </c>
      <c r="AB88" s="93">
        <f>D38</f>
        <v>1120.035353666</v>
      </c>
      <c r="AC88" s="92" t="s">
        <v>85</v>
      </c>
      <c r="AD88" s="94">
        <f>F40</f>
        <v>1120.035353666</v>
      </c>
      <c r="AE88" s="95"/>
      <c r="AF88" s="94"/>
    </row>
    <row r="89" spans="9:32" ht="15.75" customHeight="1" x14ac:dyDescent="0.2">
      <c r="AA89" s="92" t="s">
        <v>72</v>
      </c>
      <c r="AB89" s="93">
        <f>D46</f>
        <v>0</v>
      </c>
      <c r="AC89" s="92" t="s">
        <v>86</v>
      </c>
      <c r="AD89" s="94">
        <f>F47</f>
        <v>0</v>
      </c>
      <c r="AE89" s="95"/>
      <c r="AF89" s="94"/>
    </row>
    <row r="90" spans="9:32" ht="16" x14ac:dyDescent="0.2">
      <c r="AA90" s="92" t="s">
        <v>73</v>
      </c>
      <c r="AB90" s="93">
        <f>D53</f>
        <v>0</v>
      </c>
      <c r="AC90" s="92" t="s">
        <v>87</v>
      </c>
      <c r="AD90" s="94">
        <f>F55</f>
        <v>0</v>
      </c>
      <c r="AE90" s="95"/>
      <c r="AF90" s="94"/>
    </row>
    <row r="91" spans="9:32" ht="16.5" customHeight="1" x14ac:dyDescent="0.2">
      <c r="AA91" s="92" t="s">
        <v>78</v>
      </c>
      <c r="AB91" s="93">
        <f>D60</f>
        <v>0</v>
      </c>
      <c r="AC91" s="92" t="s">
        <v>88</v>
      </c>
      <c r="AD91" s="94">
        <f>F62</f>
        <v>0</v>
      </c>
      <c r="AE91" s="96"/>
      <c r="AF91" s="94"/>
    </row>
    <row r="93" spans="9:32" ht="14.25" customHeight="1" x14ac:dyDescent="0.2">
      <c r="AA93" s="100" t="s">
        <v>89</v>
      </c>
      <c r="AB93" s="101">
        <f>+SUM(AB79:AB91)</f>
        <v>183375.86690688608</v>
      </c>
      <c r="AC93" s="100" t="s">
        <v>90</v>
      </c>
      <c r="AD93" s="102">
        <f>+SUM(AD79:AD91)</f>
        <v>10352.168198075531</v>
      </c>
      <c r="AE93" s="95"/>
      <c r="AF93" s="101">
        <f>+SUM(AF79:AF86)</f>
        <v>173023.69870516157</v>
      </c>
    </row>
    <row r="95" spans="9:32" ht="14.25" customHeight="1" x14ac:dyDescent="0.2">
      <c r="AA95" s="103" t="s">
        <v>92</v>
      </c>
      <c r="AB95" s="104"/>
      <c r="AC95" s="105"/>
      <c r="AD95" s="104"/>
      <c r="AE95" s="106">
        <f>+AB93-AD93-AF93</f>
        <v>3.6489800550043583E-6</v>
      </c>
    </row>
  </sheetData>
  <pageMargins left="0.7" right="0.7" top="0.75" bottom="0.75" header="0.511811023622047" footer="0.511811023622047"/>
  <pageSetup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4" id="{A316B6AF-F017-48C4-A393-7A6CC787816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F29</xm:sqref>
        </x14:conditionalFormatting>
        <x14:conditionalFormatting xmlns:xm="http://schemas.microsoft.com/office/excel/2006/main">
          <x14:cfRule type="iconSet" priority="31" id="{A900B2B0-6ED2-475D-B9BE-4599CDA1971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F30</xm:sqref>
        </x14:conditionalFormatting>
        <x14:conditionalFormatting xmlns:xm="http://schemas.microsoft.com/office/excel/2006/main">
          <x14:cfRule type="iconSet" priority="25" id="{234C4012-F217-40F5-B4D0-8DF118247BB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F39</xm:sqref>
        </x14:conditionalFormatting>
        <x14:conditionalFormatting xmlns:xm="http://schemas.microsoft.com/office/excel/2006/main">
          <x14:cfRule type="iconSet" priority="30" id="{FB8E1BF5-D1C4-4136-843D-56C95B7CF53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F40</xm:sqref>
        </x14:conditionalFormatting>
        <x14:conditionalFormatting xmlns:xm="http://schemas.microsoft.com/office/excel/2006/main">
          <x14:cfRule type="iconSet" priority="26" id="{139227B3-BA32-4481-9346-1349D5E464A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F46</xm:sqref>
        </x14:conditionalFormatting>
        <x14:conditionalFormatting xmlns:xm="http://schemas.microsoft.com/office/excel/2006/main">
          <x14:cfRule type="iconSet" priority="29" id="{E03B7A45-6574-4EFA-A74C-7E7D60D8795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F47</xm:sqref>
        </x14:conditionalFormatting>
        <x14:conditionalFormatting xmlns:xm="http://schemas.microsoft.com/office/excel/2006/main">
          <x14:cfRule type="iconSet" priority="27" id="{F960D68C-B8FC-4548-B689-F781B48B757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F54</xm:sqref>
        </x14:conditionalFormatting>
        <x14:conditionalFormatting xmlns:xm="http://schemas.microsoft.com/office/excel/2006/main">
          <x14:cfRule type="iconSet" priority="28" id="{79E2C0C3-D03D-4B4A-B2B1-332060E040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F55</xm:sqref>
        </x14:conditionalFormatting>
        <x14:conditionalFormatting xmlns:xm="http://schemas.microsoft.com/office/excel/2006/main">
          <x14:cfRule type="iconSet" priority="32" id="{436A556A-AE64-4D57-8786-8AC1D090D7E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F61</xm:sqref>
        </x14:conditionalFormatting>
        <x14:conditionalFormatting xmlns:xm="http://schemas.microsoft.com/office/excel/2006/main">
          <x14:cfRule type="iconSet" priority="33" id="{7DBB6880-77E9-4F31-BA74-E0844110B71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F62</xm:sqref>
        </x14:conditionalFormatting>
        <x14:conditionalFormatting xmlns:xm="http://schemas.microsoft.com/office/excel/2006/main">
          <x14:cfRule type="iconSet" priority="2" id="{839FD91F-6115-43BF-87EC-DD534EC3772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L12</xm:sqref>
        </x14:conditionalFormatting>
        <x14:conditionalFormatting xmlns:xm="http://schemas.microsoft.com/office/excel/2006/main">
          <x14:cfRule type="iconSet" priority="21" id="{84F3904D-52A2-47E6-96D2-D8A95A3AB93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L13</xm:sqref>
        </x14:conditionalFormatting>
        <x14:conditionalFormatting xmlns:xm="http://schemas.microsoft.com/office/excel/2006/main">
          <x14:cfRule type="iconSet" priority="3" id="{D3883F54-6BD8-4E2E-B71A-BDCE3742D12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L24</xm:sqref>
        </x14:conditionalFormatting>
        <x14:conditionalFormatting xmlns:xm="http://schemas.microsoft.com/office/excel/2006/main">
          <x14:cfRule type="iconSet" priority="15" id="{34F863DB-D898-492C-8E80-AD60704AC3A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L25</xm:sqref>
        </x14:conditionalFormatting>
        <x14:conditionalFormatting xmlns:xm="http://schemas.microsoft.com/office/excel/2006/main">
          <x14:cfRule type="iconSet" priority="4" id="{20198070-5F96-4C77-9974-626295BA40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L34</xm:sqref>
        </x14:conditionalFormatting>
        <x14:conditionalFormatting xmlns:xm="http://schemas.microsoft.com/office/excel/2006/main">
          <x14:cfRule type="iconSet" priority="14" id="{754AD3E7-24EE-4689-BBCC-35B861E096A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L35</xm:sqref>
        </x14:conditionalFormatting>
        <x14:conditionalFormatting xmlns:xm="http://schemas.microsoft.com/office/excel/2006/main">
          <x14:cfRule type="iconSet" priority="5" id="{8B39F651-2DAD-4E55-8777-A93325A96F8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L44</xm:sqref>
        </x14:conditionalFormatting>
        <x14:conditionalFormatting xmlns:xm="http://schemas.microsoft.com/office/excel/2006/main">
          <x14:cfRule type="iconSet" priority="13" id="{98A89BB4-149A-4DBF-8DD2-707E57505FE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L45</xm:sqref>
        </x14:conditionalFormatting>
        <x14:conditionalFormatting xmlns:xm="http://schemas.microsoft.com/office/excel/2006/main">
          <x14:cfRule type="iconSet" priority="6" id="{B8C5C937-7667-4146-9130-4E7C9C90E8F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L54</xm:sqref>
        </x14:conditionalFormatting>
        <x14:conditionalFormatting xmlns:xm="http://schemas.microsoft.com/office/excel/2006/main">
          <x14:cfRule type="iconSet" priority="12" id="{6BDBD18D-206C-469C-B5FD-667C9744E82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L55</xm:sqref>
        </x14:conditionalFormatting>
        <x14:conditionalFormatting xmlns:xm="http://schemas.microsoft.com/office/excel/2006/main">
          <x14:cfRule type="iconSet" priority="8" id="{8ED08029-3253-4935-A9DF-3C4150E086C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L61</xm:sqref>
        </x14:conditionalFormatting>
        <x14:conditionalFormatting xmlns:xm="http://schemas.microsoft.com/office/excel/2006/main">
          <x14:cfRule type="iconSet" priority="11" id="{E79BED40-8971-422D-86F5-1E978DC3424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L62</xm:sqref>
        </x14:conditionalFormatting>
        <x14:conditionalFormatting xmlns:xm="http://schemas.microsoft.com/office/excel/2006/main">
          <x14:cfRule type="iconSet" priority="9" id="{8F7414E0-6016-43F9-8B50-34D011C020B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L69</xm:sqref>
        </x14:conditionalFormatting>
        <x14:conditionalFormatting xmlns:xm="http://schemas.microsoft.com/office/excel/2006/main">
          <x14:cfRule type="iconSet" priority="10" id="{9B7CE269-E58B-4145-A5FB-F29C2310C47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L70</xm:sqref>
        </x14:conditionalFormatting>
        <x14:conditionalFormatting xmlns:xm="http://schemas.microsoft.com/office/excel/2006/main">
          <x14:cfRule type="iconSet" priority="16" id="{A6C04F3E-F35E-4FED-B655-CFBA4BC9641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L76</xm:sqref>
        </x14:conditionalFormatting>
        <x14:conditionalFormatting xmlns:xm="http://schemas.microsoft.com/office/excel/2006/main">
          <x14:cfRule type="iconSet" priority="17" id="{946D10A7-F87A-4E25-8DA8-10DB8187FBF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L77</xm:sqref>
        </x14:conditionalFormatting>
        <x14:conditionalFormatting xmlns:xm="http://schemas.microsoft.com/office/excel/2006/main">
          <x14:cfRule type="iconSet" priority="22" id="{83498520-8BFC-4272-B050-9AE6EEC9E09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</xm:sqref>
        </x14:conditionalFormatting>
        <x14:conditionalFormatting xmlns:xm="http://schemas.microsoft.com/office/excel/2006/main">
          <x14:cfRule type="iconSet" priority="23" id="{5B30A0BB-E11A-4833-81E4-2DC52358958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O9</xm:sqref>
        </x14:conditionalFormatting>
        <x14:conditionalFormatting xmlns:xm="http://schemas.microsoft.com/office/excel/2006/main">
          <x14:cfRule type="iconSet" priority="18" id="{6AE85F4B-44D7-46B6-B135-8E4F7C4AAF3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O61</xm:sqref>
        </x14:conditionalFormatting>
        <x14:conditionalFormatting xmlns:xm="http://schemas.microsoft.com/office/excel/2006/main">
          <x14:cfRule type="iconSet" priority="19" id="{FD144962-CA1A-431F-8BBC-908FBB33EBB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O62</xm:sqref>
        </x14:conditionalFormatting>
        <x14:conditionalFormatting xmlns:xm="http://schemas.microsoft.com/office/excel/2006/main">
          <x14:cfRule type="iconSet" priority="7" id="{83E9B0E4-509F-4000-8E20-EDF5256089B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AD71</xm:sqref>
        </x14:conditionalFormatting>
        <x14:conditionalFormatting xmlns:xm="http://schemas.microsoft.com/office/excel/2006/main">
          <x14:cfRule type="iconSet" priority="20" id="{6E674EBC-41ED-4A18-A052-CD9F415A156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AD93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82"/>
  <sheetViews>
    <sheetView view="pageBreakPreview" topLeftCell="D39" zoomScaleNormal="65" workbookViewId="0">
      <selection activeCell="G8" sqref="G8"/>
    </sheetView>
  </sheetViews>
  <sheetFormatPr baseColWidth="10" defaultColWidth="10.5" defaultRowHeight="15" x14ac:dyDescent="0.2"/>
  <cols>
    <col min="1" max="1" width="5.6640625" customWidth="1"/>
    <col min="2" max="2" width="30.33203125" customWidth="1"/>
    <col min="3" max="4" width="13.1640625" customWidth="1"/>
    <col min="5" max="5" width="13.33203125" customWidth="1"/>
    <col min="6" max="6" width="12" customWidth="1"/>
    <col min="7" max="7" width="30.5" customWidth="1"/>
    <col min="8" max="8" width="15.5" customWidth="1"/>
    <col min="9" max="9" width="13.5" customWidth="1"/>
    <col min="10" max="10" width="12.33203125" customWidth="1"/>
    <col min="11" max="11" width="5" customWidth="1"/>
    <col min="12" max="12" width="11.5" customWidth="1"/>
    <col min="13" max="14" width="14.1640625" customWidth="1"/>
    <col min="15" max="15" width="5.83203125" customWidth="1"/>
    <col min="16" max="16" width="15.1640625" customWidth="1"/>
    <col min="17" max="17" width="15.5" customWidth="1"/>
    <col min="18" max="18" width="19.1640625" customWidth="1"/>
    <col min="19" max="19" width="5.83203125" customWidth="1"/>
    <col min="20" max="20" width="16.33203125" customWidth="1"/>
  </cols>
  <sheetData>
    <row r="2" spans="2:20" ht="19.5" customHeight="1" x14ac:dyDescent="0.25">
      <c r="B2" s="6" t="s">
        <v>94</v>
      </c>
      <c r="C2" s="6"/>
      <c r="D2" s="6"/>
      <c r="E2" s="6"/>
      <c r="G2" s="6" t="s">
        <v>95</v>
      </c>
      <c r="H2" s="6"/>
      <c r="I2" s="6"/>
      <c r="J2" s="6"/>
      <c r="L2" s="5" t="s">
        <v>96</v>
      </c>
      <c r="M2" s="5"/>
      <c r="N2" s="5"/>
      <c r="P2" s="113" t="s">
        <v>97</v>
      </c>
      <c r="Q2" s="114" t="s">
        <v>98</v>
      </c>
      <c r="R2" s="114" t="s">
        <v>99</v>
      </c>
      <c r="T2" s="115" t="s">
        <v>100</v>
      </c>
    </row>
    <row r="3" spans="2:20" ht="19" x14ac:dyDescent="0.25">
      <c r="B3" s="116" t="s">
        <v>101</v>
      </c>
      <c r="C3" s="116" t="s">
        <v>1</v>
      </c>
      <c r="D3" s="116" t="s">
        <v>102</v>
      </c>
      <c r="E3" s="116" t="s">
        <v>103</v>
      </c>
      <c r="G3" s="116" t="s">
        <v>101</v>
      </c>
      <c r="H3" s="116" t="s">
        <v>1</v>
      </c>
      <c r="I3" s="116" t="s">
        <v>102</v>
      </c>
      <c r="J3" s="116" t="s">
        <v>103</v>
      </c>
      <c r="L3" s="117" t="s">
        <v>104</v>
      </c>
      <c r="M3" s="117" t="s">
        <v>105</v>
      </c>
      <c r="N3" s="117" t="s">
        <v>106</v>
      </c>
      <c r="P3" s="118"/>
      <c r="Q3" s="118"/>
      <c r="R3" s="118"/>
      <c r="T3" s="118"/>
    </row>
    <row r="4" spans="2:20" ht="21" x14ac:dyDescent="0.25">
      <c r="B4" s="119" t="s">
        <v>4</v>
      </c>
      <c r="C4" s="120">
        <f>Utilidad!A1</f>
        <v>14466</v>
      </c>
      <c r="D4" s="121">
        <f>IF(Utilidad!C$46&gt;1,Utilidad!C1/100,Utilidad!C1)</f>
        <v>0.58329999999999993</v>
      </c>
      <c r="E4" s="121">
        <f>IF(Utilidad!$E$46&gt;1,Utilidad!E1/100,Utilidad!E1)</f>
        <v>0.56509999999999994</v>
      </c>
      <c r="G4" s="119" t="s">
        <v>4</v>
      </c>
      <c r="H4" s="120">
        <f>Utilidad!B1</f>
        <v>14466</v>
      </c>
      <c r="I4" s="121">
        <f>IF(Utilidad!$D$46&gt;1,Utilidad!D1/100,Utilidad!D1)</f>
        <v>0.58966186647999996</v>
      </c>
      <c r="J4" s="121">
        <f>IF(Utilidad!$F$46&gt;1,Utilidad!F1/100,Utilidad!F1)</f>
        <v>0.55895282921</v>
      </c>
      <c r="L4" s="122">
        <f t="shared" ref="L4:L35" si="0">+IF(C4&lt;&gt;0,(H4-C4)/C4,ABS(H4-C4))</f>
        <v>0</v>
      </c>
      <c r="M4" s="122">
        <f t="shared" ref="M4:M35" si="1">+IF(D4&lt;&gt;0,(I4-D4)/D4,0)</f>
        <v>1.0906680061717871E-2</v>
      </c>
      <c r="N4" s="122">
        <f t="shared" ref="N4:N35" si="2">+IF(E4&lt;&gt;0,(J4-E4)/E4,0)</f>
        <v>-1.0878022987081817E-2</v>
      </c>
      <c r="P4" s="121">
        <f t="shared" ref="P4:P35" si="3">+IF(L4&lt;&gt;"",ABS(L4),0)</f>
        <v>0</v>
      </c>
      <c r="Q4" s="121">
        <f t="shared" ref="Q4:Q35" si="4">+IF(L4&lt;&gt;"",ABS(M4),0)</f>
        <v>1.0906680061717871E-2</v>
      </c>
      <c r="R4" s="121">
        <f t="shared" ref="R4:R35" si="5">+IF(M4&lt;&gt;"",ABS(N4),0)</f>
        <v>1.0878022987081817E-2</v>
      </c>
      <c r="T4" s="123" t="str">
        <f t="shared" ref="T4:T35" si="6">IF(J4&lt;=I4,"SI","NO")</f>
        <v>SI</v>
      </c>
    </row>
    <row r="5" spans="2:20" ht="21" x14ac:dyDescent="0.25">
      <c r="B5" s="119" t="s">
        <v>5</v>
      </c>
      <c r="C5" s="120">
        <f>Utilidad!A2</f>
        <v>5414</v>
      </c>
      <c r="D5" s="121">
        <f>IF(Utilidad!C$46&gt;1,Utilidad!C2/100,Utilidad!C2)</f>
        <v>0.58329999999999993</v>
      </c>
      <c r="E5" s="121">
        <f>IF(Utilidad!$E$46&gt;1,Utilidad!E2/100,Utilidad!E2)</f>
        <v>0.56509999999999994</v>
      </c>
      <c r="G5" s="119" t="s">
        <v>5</v>
      </c>
      <c r="H5" s="120">
        <f>Utilidad!B2</f>
        <v>5459.26</v>
      </c>
      <c r="I5" s="121">
        <f>IF(Utilidad!$D$46&gt;1,Utilidad!D2/100,Utilidad!D2)</f>
        <v>0.58091105566000001</v>
      </c>
      <c r="J5" s="121">
        <f>IF(Utilidad!$F$46&gt;1,Utilidad!F2/100,Utilidad!F2)</f>
        <v>0.56745731634999996</v>
      </c>
      <c r="L5" s="122">
        <f t="shared" si="0"/>
        <v>8.3598079054304063E-3</v>
      </c>
      <c r="M5" s="122">
        <f t="shared" si="1"/>
        <v>-4.0955671866962475E-3</v>
      </c>
      <c r="N5" s="122">
        <f t="shared" si="2"/>
        <v>4.1715030083171603E-3</v>
      </c>
      <c r="P5" s="121">
        <f t="shared" si="3"/>
        <v>8.3598079054304063E-3</v>
      </c>
      <c r="Q5" s="121">
        <f t="shared" si="4"/>
        <v>4.0955671866962475E-3</v>
      </c>
      <c r="R5" s="121">
        <f t="shared" si="5"/>
        <v>4.1715030083171603E-3</v>
      </c>
      <c r="T5" s="123" t="str">
        <f t="shared" si="6"/>
        <v>SI</v>
      </c>
    </row>
    <row r="6" spans="2:20" ht="21" x14ac:dyDescent="0.25">
      <c r="B6" s="119" t="s">
        <v>6</v>
      </c>
      <c r="C6" s="120">
        <f>Utilidad!A3</f>
        <v>9052</v>
      </c>
      <c r="D6" s="121">
        <f>IF(Utilidad!C$46&gt;1,Utilidad!C3/100,Utilidad!C3)</f>
        <v>0.58329999999999993</v>
      </c>
      <c r="E6" s="121">
        <f>IF(Utilidad!$E$46&gt;1,Utilidad!E3/100,Utilidad!E3)</f>
        <v>0.56509999999999994</v>
      </c>
      <c r="G6" s="119" t="s">
        <v>6</v>
      </c>
      <c r="H6" s="120">
        <f>Utilidad!B3</f>
        <v>9006.74</v>
      </c>
      <c r="I6" s="121">
        <f>IF(Utilidad!$D$46&gt;1,Utilidad!D3/100,Utilidad!D3)</f>
        <v>0.59496599999999999</v>
      </c>
      <c r="J6" s="121">
        <f>IF(Utilidad!$F$46&gt;1,Utilidad!F3/100,Utilidad!F3)</f>
        <v>0.55379800000000001</v>
      </c>
      <c r="L6" s="122">
        <f t="shared" si="0"/>
        <v>-5.0000000000000244E-3</v>
      </c>
      <c r="M6" s="122">
        <f t="shared" si="1"/>
        <v>2.0000000000000115E-2</v>
      </c>
      <c r="N6" s="122">
        <f t="shared" si="2"/>
        <v>-1.9999999999999865E-2</v>
      </c>
      <c r="P6" s="121">
        <f t="shared" si="3"/>
        <v>5.0000000000000244E-3</v>
      </c>
      <c r="Q6" s="121">
        <f t="shared" si="4"/>
        <v>2.0000000000000115E-2</v>
      </c>
      <c r="R6" s="121">
        <f t="shared" si="5"/>
        <v>1.9999999999999865E-2</v>
      </c>
      <c r="T6" s="123" t="str">
        <f t="shared" si="6"/>
        <v>SI</v>
      </c>
    </row>
    <row r="7" spans="2:20" ht="21" x14ac:dyDescent="0.25">
      <c r="B7" s="119" t="s">
        <v>7</v>
      </c>
      <c r="C7" s="120">
        <f>Utilidad!A4</f>
        <v>2756</v>
      </c>
      <c r="D7" s="121">
        <f>IF(Utilidad!C$46&gt;1,Utilidad!C4/100,Utilidad!C4)</f>
        <v>0.44119999999999998</v>
      </c>
      <c r="E7" s="121">
        <f>IF(Utilidad!$E$46&gt;1,Utilidad!E4/100,Utilidad!E4)</f>
        <v>0.41350000000000003</v>
      </c>
      <c r="G7" s="119" t="s">
        <v>7</v>
      </c>
      <c r="H7" s="120">
        <f>Utilidad!B4</f>
        <v>2756</v>
      </c>
      <c r="I7" s="121">
        <f>IF(Utilidad!$D$46&gt;1,Utilidad!D4/100,Utilidad!D4)</f>
        <v>0.44371713479000002</v>
      </c>
      <c r="J7" s="121">
        <f>IF(Utilidad!$F$46&gt;1,Utilidad!F4/100,Utilidad!F4)</f>
        <v>0.41114201516000004</v>
      </c>
      <c r="L7" s="122">
        <f t="shared" si="0"/>
        <v>0</v>
      </c>
      <c r="M7" s="122">
        <f t="shared" si="1"/>
        <v>5.7052012466002767E-3</v>
      </c>
      <c r="N7" s="122">
        <f t="shared" si="2"/>
        <v>-5.7025026360338418E-3</v>
      </c>
      <c r="P7" s="121">
        <f t="shared" si="3"/>
        <v>0</v>
      </c>
      <c r="Q7" s="121">
        <f t="shared" si="4"/>
        <v>5.7052012466002767E-3</v>
      </c>
      <c r="R7" s="121">
        <f t="shared" si="5"/>
        <v>5.7025026360338418E-3</v>
      </c>
      <c r="T7" s="123" t="str">
        <f t="shared" si="6"/>
        <v>SI</v>
      </c>
    </row>
    <row r="8" spans="2:20" ht="21" x14ac:dyDescent="0.25">
      <c r="B8" s="119" t="s">
        <v>8</v>
      </c>
      <c r="C8" s="120">
        <f>Utilidad!A5</f>
        <v>1675</v>
      </c>
      <c r="D8" s="121">
        <f>IF(Utilidad!C$46&gt;1,Utilidad!C5/100,Utilidad!C5)</f>
        <v>0.44119999999999998</v>
      </c>
      <c r="E8" s="121">
        <f>IF(Utilidad!$E$46&gt;1,Utilidad!E5/100,Utilidad!E5)</f>
        <v>0.41350000000000003</v>
      </c>
      <c r="G8" s="119" t="s">
        <v>8</v>
      </c>
      <c r="H8" s="120">
        <f>Utilidad!B5</f>
        <v>1679.41</v>
      </c>
      <c r="I8" s="121">
        <f>IF(Utilidad!$D$46&gt;1,Utilidad!D5/100,Utilidad!D5)</f>
        <v>0.43967410299999998</v>
      </c>
      <c r="J8" s="121">
        <f>IF(Utilidad!$F$46&gt;1,Utilidad!F5/100,Utilidad!F5)</f>
        <v>0.41493192733999995</v>
      </c>
      <c r="L8" s="122">
        <f t="shared" si="0"/>
        <v>2.6328358208955712E-3</v>
      </c>
      <c r="M8" s="122">
        <f t="shared" si="1"/>
        <v>-3.458515412511329E-3</v>
      </c>
      <c r="N8" s="122">
        <f t="shared" si="2"/>
        <v>3.4629439903262793E-3</v>
      </c>
      <c r="P8" s="121">
        <f t="shared" si="3"/>
        <v>2.6328358208955712E-3</v>
      </c>
      <c r="Q8" s="121">
        <f t="shared" si="4"/>
        <v>3.458515412511329E-3</v>
      </c>
      <c r="R8" s="121">
        <f t="shared" si="5"/>
        <v>3.4629439903262793E-3</v>
      </c>
      <c r="T8" s="123" t="str">
        <f t="shared" si="6"/>
        <v>SI</v>
      </c>
    </row>
    <row r="9" spans="2:20" ht="21" x14ac:dyDescent="0.25">
      <c r="B9" s="119" t="s">
        <v>9</v>
      </c>
      <c r="C9" s="120">
        <f>Utilidad!A6</f>
        <v>1082</v>
      </c>
      <c r="D9" s="121">
        <f>IF(Utilidad!C$46&gt;1,Utilidad!C6/100,Utilidad!C6)</f>
        <v>0.44119999999999998</v>
      </c>
      <c r="E9" s="121">
        <f>IF(Utilidad!$E$46&gt;1,Utilidad!E6/100,Utilidad!E6)</f>
        <v>0.41350000000000003</v>
      </c>
      <c r="G9" s="119" t="s">
        <v>9</v>
      </c>
      <c r="H9" s="120">
        <f>Utilidad!B6</f>
        <v>1076.5899999999999</v>
      </c>
      <c r="I9" s="121">
        <f>IF(Utilidad!$D$46&gt;1,Utilidad!D6/100,Utilidad!D6)</f>
        <v>0.45002400000000004</v>
      </c>
      <c r="J9" s="121">
        <f>IF(Utilidad!$F$46&gt;1,Utilidad!F6/100,Utilidad!F6)</f>
        <v>0.40523000000000003</v>
      </c>
      <c r="L9" s="122">
        <f t="shared" si="0"/>
        <v>-5.0000000000000756E-3</v>
      </c>
      <c r="M9" s="122">
        <f t="shared" si="1"/>
        <v>2.0000000000000122E-2</v>
      </c>
      <c r="N9" s="122">
        <f t="shared" si="2"/>
        <v>-1.9999999999999997E-2</v>
      </c>
      <c r="P9" s="121">
        <f t="shared" si="3"/>
        <v>5.0000000000000756E-3</v>
      </c>
      <c r="Q9" s="121">
        <f t="shared" si="4"/>
        <v>2.0000000000000122E-2</v>
      </c>
      <c r="R9" s="121">
        <f t="shared" si="5"/>
        <v>1.9999999999999997E-2</v>
      </c>
      <c r="T9" s="123" t="str">
        <f t="shared" si="6"/>
        <v>SI</v>
      </c>
    </row>
    <row r="10" spans="2:20" ht="21" x14ac:dyDescent="0.25">
      <c r="B10" s="119" t="s">
        <v>10</v>
      </c>
      <c r="C10" s="120">
        <f>Utilidad!A7</f>
        <v>10839</v>
      </c>
      <c r="D10" s="121">
        <f>IF(Utilidad!C$46&gt;1,Utilidad!C7/100,Utilidad!C7)</f>
        <v>0.52790000000000004</v>
      </c>
      <c r="E10" s="121">
        <f>IF(Utilidad!$E$46&gt;1,Utilidad!E7/100,Utilidad!E7)</f>
        <v>0.51249999999999996</v>
      </c>
      <c r="G10" s="119" t="s">
        <v>10</v>
      </c>
      <c r="H10" s="120">
        <f>Utilidad!B7</f>
        <v>10839</v>
      </c>
      <c r="I10" s="121">
        <f>IF(Utilidad!$D$46&gt;1,Utilidad!D7/100,Utilidad!D7)</f>
        <v>0.53040222434999995</v>
      </c>
      <c r="J10" s="121">
        <f>IF(Utilidad!$F$46&gt;1,Utilidad!F7/100,Utilidad!F7)</f>
        <v>0.51212916134999997</v>
      </c>
      <c r="L10" s="122">
        <f t="shared" si="0"/>
        <v>0</v>
      </c>
      <c r="M10" s="122">
        <f t="shared" si="1"/>
        <v>4.7399589884446203E-3</v>
      </c>
      <c r="N10" s="122">
        <f t="shared" si="2"/>
        <v>-7.2358760975606393E-4</v>
      </c>
      <c r="P10" s="121">
        <f t="shared" si="3"/>
        <v>0</v>
      </c>
      <c r="Q10" s="121">
        <f t="shared" si="4"/>
        <v>4.7399589884446203E-3</v>
      </c>
      <c r="R10" s="121">
        <f t="shared" si="5"/>
        <v>7.2358760975606393E-4</v>
      </c>
      <c r="T10" s="123" t="str">
        <f t="shared" si="6"/>
        <v>SI</v>
      </c>
    </row>
    <row r="11" spans="2:20" ht="21" x14ac:dyDescent="0.25">
      <c r="B11" s="119" t="s">
        <v>11</v>
      </c>
      <c r="C11" s="120">
        <f>Utilidad!A8</f>
        <v>8560</v>
      </c>
      <c r="D11" s="121">
        <f>IF(Utilidad!C$46&gt;1,Utilidad!C8/100,Utilidad!C8)</f>
        <v>0.52790000000000004</v>
      </c>
      <c r="E11" s="121">
        <f>IF(Utilidad!$E$46&gt;1,Utilidad!E8/100,Utilidad!E8)</f>
        <v>0.51249999999999996</v>
      </c>
      <c r="G11" s="119" t="s">
        <v>11</v>
      </c>
      <c r="H11" s="120">
        <f>Utilidad!B8</f>
        <v>8571.3950000000004</v>
      </c>
      <c r="I11" s="121">
        <f>IF(Utilidad!$D$46&gt;1,Utilidad!D8/100,Utilidad!D8)</f>
        <v>0.52592336834999998</v>
      </c>
      <c r="J11" s="121">
        <f>IF(Utilidad!$F$46&gt;1,Utilidad!F8/100,Utilidad!F8)</f>
        <v>0.51279826351000002</v>
      </c>
      <c r="L11" s="122">
        <f t="shared" si="0"/>
        <v>1.3311915887850977E-3</v>
      </c>
      <c r="M11" s="122">
        <f t="shared" si="1"/>
        <v>-3.7443297025953025E-3</v>
      </c>
      <c r="N11" s="122">
        <f t="shared" si="2"/>
        <v>5.8197758048792792E-4</v>
      </c>
      <c r="P11" s="121">
        <f t="shared" si="3"/>
        <v>1.3311915887850977E-3</v>
      </c>
      <c r="Q11" s="121">
        <f t="shared" si="4"/>
        <v>3.7443297025953025E-3</v>
      </c>
      <c r="R11" s="121">
        <f t="shared" si="5"/>
        <v>5.8197758048792792E-4</v>
      </c>
      <c r="T11" s="123" t="str">
        <f t="shared" si="6"/>
        <v>SI</v>
      </c>
    </row>
    <row r="12" spans="2:20" ht="21" x14ac:dyDescent="0.25">
      <c r="B12" s="119" t="s">
        <v>12</v>
      </c>
      <c r="C12" s="120">
        <f>Utilidad!A9</f>
        <v>2279</v>
      </c>
      <c r="D12" s="121">
        <f>IF(Utilidad!C$46&gt;1,Utilidad!C9/100,Utilidad!C9)</f>
        <v>0.53659999999999997</v>
      </c>
      <c r="E12" s="121">
        <f>IF(Utilidad!$E$46&gt;1,Utilidad!E9/100,Utilidad!E9)</f>
        <v>0.52</v>
      </c>
      <c r="G12" s="119" t="s">
        <v>12</v>
      </c>
      <c r="H12" s="120">
        <f>Utilidad!B9</f>
        <v>2267.605</v>
      </c>
      <c r="I12" s="121">
        <f>IF(Utilidad!$D$46&gt;1,Utilidad!D9/100,Utilidad!D9)</f>
        <v>0.54733199999999993</v>
      </c>
      <c r="J12" s="121">
        <f>IF(Utilidad!$F$46&gt;1,Utilidad!F9/100,Utilidad!F9)</f>
        <v>0.50960000000000005</v>
      </c>
      <c r="L12" s="122">
        <f t="shared" si="0"/>
        <v>-4.9999999999999923E-3</v>
      </c>
      <c r="M12" s="122">
        <f t="shared" si="1"/>
        <v>1.9999999999999934E-2</v>
      </c>
      <c r="N12" s="122">
        <f t="shared" si="2"/>
        <v>-1.9999999999999931E-2</v>
      </c>
      <c r="P12" s="121">
        <f t="shared" si="3"/>
        <v>4.9999999999999923E-3</v>
      </c>
      <c r="Q12" s="121">
        <f t="shared" si="4"/>
        <v>1.9999999999999934E-2</v>
      </c>
      <c r="R12" s="121">
        <f t="shared" si="5"/>
        <v>1.9999999999999931E-2</v>
      </c>
      <c r="T12" s="123" t="str">
        <f t="shared" si="6"/>
        <v>SI</v>
      </c>
    </row>
    <row r="13" spans="2:20" ht="21" x14ac:dyDescent="0.25">
      <c r="B13" s="119" t="s">
        <v>13</v>
      </c>
      <c r="C13" s="120">
        <f>Utilidad!A10</f>
        <v>0</v>
      </c>
      <c r="D13" s="121">
        <f>IF(Utilidad!C$46&gt;1,Utilidad!C10/100,Utilidad!C10)</f>
        <v>0</v>
      </c>
      <c r="E13" s="121">
        <f>IF(Utilidad!$E$46&gt;1,Utilidad!E10/100,Utilidad!E10)</f>
        <v>0</v>
      </c>
      <c r="G13" s="119" t="s">
        <v>13</v>
      </c>
      <c r="H13" s="120">
        <f>Utilidad!B10</f>
        <v>0</v>
      </c>
      <c r="I13" s="121">
        <f>IF(Utilidad!$D$46&gt;1,Utilidad!D10/100,Utilidad!D10)</f>
        <v>0</v>
      </c>
      <c r="J13" s="121">
        <f>IF(Utilidad!$F$46&gt;1,Utilidad!F10/100,Utilidad!F10)</f>
        <v>0</v>
      </c>
      <c r="L13" s="122">
        <f t="shared" si="0"/>
        <v>0</v>
      </c>
      <c r="M13" s="122">
        <f t="shared" si="1"/>
        <v>0</v>
      </c>
      <c r="N13" s="122">
        <f t="shared" si="2"/>
        <v>0</v>
      </c>
      <c r="P13" s="121">
        <f t="shared" si="3"/>
        <v>0</v>
      </c>
      <c r="Q13" s="121">
        <f t="shared" si="4"/>
        <v>0</v>
      </c>
      <c r="R13" s="121">
        <f t="shared" si="5"/>
        <v>0</v>
      </c>
      <c r="T13" s="123" t="str">
        <f t="shared" si="6"/>
        <v>SI</v>
      </c>
    </row>
    <row r="14" spans="2:20" ht="21" x14ac:dyDescent="0.25">
      <c r="B14" s="119" t="s">
        <v>14</v>
      </c>
      <c r="C14" s="120">
        <f>Utilidad!A11</f>
        <v>0</v>
      </c>
      <c r="D14" s="121">
        <f>IF(Utilidad!C$46&gt;1,Utilidad!C11/100,Utilidad!C11)</f>
        <v>0</v>
      </c>
      <c r="E14" s="121">
        <f>IF(Utilidad!$E$46&gt;1,Utilidad!E11/100,Utilidad!E11)</f>
        <v>0</v>
      </c>
      <c r="G14" s="119" t="s">
        <v>14</v>
      </c>
      <c r="H14" s="120">
        <f>Utilidad!B11</f>
        <v>0</v>
      </c>
      <c r="I14" s="121">
        <f>IF(Utilidad!$D$46&gt;1,Utilidad!D11/100,Utilidad!D11)</f>
        <v>0</v>
      </c>
      <c r="J14" s="121">
        <f>IF(Utilidad!$F$46&gt;1,Utilidad!F11/100,Utilidad!F11)</f>
        <v>0</v>
      </c>
      <c r="L14" s="122">
        <f t="shared" si="0"/>
        <v>0</v>
      </c>
      <c r="M14" s="122">
        <f t="shared" si="1"/>
        <v>0</v>
      </c>
      <c r="N14" s="122">
        <f t="shared" si="2"/>
        <v>0</v>
      </c>
      <c r="P14" s="121">
        <f t="shared" si="3"/>
        <v>0</v>
      </c>
      <c r="Q14" s="121">
        <f t="shared" si="4"/>
        <v>0</v>
      </c>
      <c r="R14" s="121">
        <f t="shared" si="5"/>
        <v>0</v>
      </c>
      <c r="T14" s="123" t="str">
        <f t="shared" si="6"/>
        <v>SI</v>
      </c>
    </row>
    <row r="15" spans="2:20" ht="21" x14ac:dyDescent="0.25">
      <c r="B15" s="119" t="s">
        <v>15</v>
      </c>
      <c r="C15" s="120">
        <f>Utilidad!A12</f>
        <v>0</v>
      </c>
      <c r="D15" s="121">
        <f>IF(Utilidad!C$46&gt;1,Utilidad!C12/100,Utilidad!C12)</f>
        <v>0</v>
      </c>
      <c r="E15" s="121">
        <f>IF(Utilidad!$E$46&gt;1,Utilidad!E12/100,Utilidad!E12)</f>
        <v>0</v>
      </c>
      <c r="G15" s="119" t="s">
        <v>15</v>
      </c>
      <c r="H15" s="120">
        <f>Utilidad!B12</f>
        <v>0</v>
      </c>
      <c r="I15" s="121">
        <f>IF(Utilidad!$D$46&gt;1,Utilidad!D12/100,Utilidad!D12)</f>
        <v>0</v>
      </c>
      <c r="J15" s="121">
        <f>IF(Utilidad!$F$46&gt;1,Utilidad!F12/100,Utilidad!F12)</f>
        <v>0</v>
      </c>
      <c r="L15" s="122">
        <f t="shared" si="0"/>
        <v>0</v>
      </c>
      <c r="M15" s="122">
        <f t="shared" si="1"/>
        <v>0</v>
      </c>
      <c r="N15" s="122">
        <f t="shared" si="2"/>
        <v>0</v>
      </c>
      <c r="P15" s="121">
        <f t="shared" si="3"/>
        <v>0</v>
      </c>
      <c r="Q15" s="121">
        <f t="shared" si="4"/>
        <v>0</v>
      </c>
      <c r="R15" s="121">
        <f t="shared" si="5"/>
        <v>0</v>
      </c>
      <c r="T15" s="123" t="str">
        <f t="shared" si="6"/>
        <v>SI</v>
      </c>
    </row>
    <row r="16" spans="2:20" ht="21" x14ac:dyDescent="0.25">
      <c r="B16" s="119" t="s">
        <v>16</v>
      </c>
      <c r="C16" s="120">
        <f>Utilidad!A13</f>
        <v>0</v>
      </c>
      <c r="D16" s="121">
        <f>IF(Utilidad!C$46&gt;1,Utilidad!C13/100,Utilidad!C13)</f>
        <v>0</v>
      </c>
      <c r="E16" s="121">
        <f>IF(Utilidad!$E$46&gt;1,Utilidad!E13/100,Utilidad!E13)</f>
        <v>0</v>
      </c>
      <c r="G16" s="119" t="s">
        <v>16</v>
      </c>
      <c r="H16" s="120">
        <f>Utilidad!B13</f>
        <v>0</v>
      </c>
      <c r="I16" s="121">
        <f>IF(Utilidad!$D$46&gt;1,Utilidad!D13/100,Utilidad!D13)</f>
        <v>0</v>
      </c>
      <c r="J16" s="121">
        <f>IF(Utilidad!$F$46&gt;1,Utilidad!F13/100,Utilidad!F13)</f>
        <v>0</v>
      </c>
      <c r="L16" s="122">
        <f t="shared" si="0"/>
        <v>0</v>
      </c>
      <c r="M16" s="122">
        <f t="shared" si="1"/>
        <v>0</v>
      </c>
      <c r="N16" s="122">
        <f t="shared" si="2"/>
        <v>0</v>
      </c>
      <c r="P16" s="121">
        <f t="shared" si="3"/>
        <v>0</v>
      </c>
      <c r="Q16" s="121">
        <f t="shared" si="4"/>
        <v>0</v>
      </c>
      <c r="R16" s="121">
        <f t="shared" si="5"/>
        <v>0</v>
      </c>
      <c r="T16" s="123" t="str">
        <f t="shared" si="6"/>
        <v>SI</v>
      </c>
    </row>
    <row r="17" spans="2:20" ht="21" x14ac:dyDescent="0.25">
      <c r="B17" s="119" t="s">
        <v>17</v>
      </c>
      <c r="C17" s="120">
        <f>Utilidad!A14</f>
        <v>0</v>
      </c>
      <c r="D17" s="121">
        <f>IF(Utilidad!C$46&gt;1,Utilidad!C14/100,Utilidad!C14)</f>
        <v>0</v>
      </c>
      <c r="E17" s="121">
        <f>IF(Utilidad!$E$46&gt;1,Utilidad!E14/100,Utilidad!E14)</f>
        <v>0</v>
      </c>
      <c r="G17" s="119" t="s">
        <v>17</v>
      </c>
      <c r="H17" s="120">
        <f>Utilidad!B14</f>
        <v>0</v>
      </c>
      <c r="I17" s="121">
        <f>IF(Utilidad!$D$46&gt;1,Utilidad!D14/100,Utilidad!D14)</f>
        <v>0</v>
      </c>
      <c r="J17" s="121">
        <f>IF(Utilidad!$F$46&gt;1,Utilidad!F14/100,Utilidad!F14)</f>
        <v>0</v>
      </c>
      <c r="L17" s="122">
        <f t="shared" si="0"/>
        <v>0</v>
      </c>
      <c r="M17" s="122">
        <f t="shared" si="1"/>
        <v>0</v>
      </c>
      <c r="N17" s="122">
        <f t="shared" si="2"/>
        <v>0</v>
      </c>
      <c r="P17" s="121">
        <f t="shared" si="3"/>
        <v>0</v>
      </c>
      <c r="Q17" s="121">
        <f t="shared" si="4"/>
        <v>0</v>
      </c>
      <c r="R17" s="121">
        <f t="shared" si="5"/>
        <v>0</v>
      </c>
      <c r="T17" s="123" t="str">
        <f t="shared" si="6"/>
        <v>SI</v>
      </c>
    </row>
    <row r="18" spans="2:20" ht="21" x14ac:dyDescent="0.25">
      <c r="B18" s="119" t="s">
        <v>18</v>
      </c>
      <c r="C18" s="120">
        <f>Utilidad!A15</f>
        <v>0</v>
      </c>
      <c r="D18" s="121">
        <f>IF(Utilidad!C$46&gt;1,Utilidad!C15/100,Utilidad!C15)</f>
        <v>0</v>
      </c>
      <c r="E18" s="121">
        <f>IF(Utilidad!$E$46&gt;1,Utilidad!E15/100,Utilidad!E15)</f>
        <v>0</v>
      </c>
      <c r="G18" s="119" t="s">
        <v>18</v>
      </c>
      <c r="H18" s="120">
        <f>Utilidad!B15</f>
        <v>0</v>
      </c>
      <c r="I18" s="121">
        <f>IF(Utilidad!$D$46&gt;1,Utilidad!D15/100,Utilidad!D15)</f>
        <v>0</v>
      </c>
      <c r="J18" s="121">
        <f>IF(Utilidad!$F$46&gt;1,Utilidad!F15/100,Utilidad!F15)</f>
        <v>0</v>
      </c>
      <c r="L18" s="122">
        <f t="shared" si="0"/>
        <v>0</v>
      </c>
      <c r="M18" s="122">
        <f t="shared" si="1"/>
        <v>0</v>
      </c>
      <c r="N18" s="122">
        <f t="shared" si="2"/>
        <v>0</v>
      </c>
      <c r="P18" s="121">
        <f t="shared" si="3"/>
        <v>0</v>
      </c>
      <c r="Q18" s="121">
        <f t="shared" si="4"/>
        <v>0</v>
      </c>
      <c r="R18" s="121">
        <f t="shared" si="5"/>
        <v>0</v>
      </c>
      <c r="T18" s="123" t="str">
        <f t="shared" si="6"/>
        <v>SI</v>
      </c>
    </row>
    <row r="19" spans="2:20" ht="21" x14ac:dyDescent="0.25">
      <c r="B19" s="119" t="s">
        <v>19</v>
      </c>
      <c r="C19" s="120">
        <f>Utilidad!A16</f>
        <v>0</v>
      </c>
      <c r="D19" s="121">
        <f>IF(Utilidad!C$46&gt;1,Utilidad!C16/100,Utilidad!C16)</f>
        <v>0</v>
      </c>
      <c r="E19" s="121">
        <f>IF(Utilidad!$E$46&gt;1,Utilidad!E16/100,Utilidad!E16)</f>
        <v>0</v>
      </c>
      <c r="G19" s="119" t="s">
        <v>19</v>
      </c>
      <c r="H19" s="120">
        <f>Utilidad!B16</f>
        <v>0</v>
      </c>
      <c r="I19" s="121">
        <f>IF(Utilidad!$D$46&gt;1,Utilidad!D16/100,Utilidad!D16)</f>
        <v>0</v>
      </c>
      <c r="J19" s="121">
        <f>IF(Utilidad!$F$46&gt;1,Utilidad!F16/100,Utilidad!F16)</f>
        <v>0</v>
      </c>
      <c r="L19" s="122">
        <f t="shared" si="0"/>
        <v>0</v>
      </c>
      <c r="M19" s="122">
        <f t="shared" si="1"/>
        <v>0</v>
      </c>
      <c r="N19" s="122">
        <f t="shared" si="2"/>
        <v>0</v>
      </c>
      <c r="P19" s="121">
        <f t="shared" si="3"/>
        <v>0</v>
      </c>
      <c r="Q19" s="121">
        <f t="shared" si="4"/>
        <v>0</v>
      </c>
      <c r="R19" s="121">
        <f t="shared" si="5"/>
        <v>0</v>
      </c>
      <c r="T19" s="123" t="str">
        <f t="shared" si="6"/>
        <v>SI</v>
      </c>
    </row>
    <row r="20" spans="2:20" ht="21" x14ac:dyDescent="0.25">
      <c r="B20" s="119" t="s">
        <v>20</v>
      </c>
      <c r="C20" s="120">
        <f>Utilidad!A17</f>
        <v>0</v>
      </c>
      <c r="D20" s="121">
        <f>IF(Utilidad!C$46&gt;1,Utilidad!C17/100,Utilidad!C17)</f>
        <v>0</v>
      </c>
      <c r="E20" s="121">
        <f>IF(Utilidad!$E$46&gt;1,Utilidad!E17/100,Utilidad!E17)</f>
        <v>0</v>
      </c>
      <c r="G20" s="119" t="s">
        <v>20</v>
      </c>
      <c r="H20" s="120">
        <f>Utilidad!B17</f>
        <v>0</v>
      </c>
      <c r="I20" s="121">
        <f>IF(Utilidad!$D$46&gt;1,Utilidad!D17/100,Utilidad!D17)</f>
        <v>0</v>
      </c>
      <c r="J20" s="121">
        <f>IF(Utilidad!$F$46&gt;1,Utilidad!F17/100,Utilidad!F17)</f>
        <v>0</v>
      </c>
      <c r="L20" s="122">
        <f t="shared" si="0"/>
        <v>0</v>
      </c>
      <c r="M20" s="122">
        <f t="shared" si="1"/>
        <v>0</v>
      </c>
      <c r="N20" s="122">
        <f t="shared" si="2"/>
        <v>0</v>
      </c>
      <c r="P20" s="121">
        <f t="shared" si="3"/>
        <v>0</v>
      </c>
      <c r="Q20" s="121">
        <f t="shared" si="4"/>
        <v>0</v>
      </c>
      <c r="R20" s="121">
        <f t="shared" si="5"/>
        <v>0</v>
      </c>
      <c r="T20" s="123" t="str">
        <f t="shared" si="6"/>
        <v>SI</v>
      </c>
    </row>
    <row r="21" spans="2:20" ht="21" x14ac:dyDescent="0.25">
      <c r="B21" s="119" t="s">
        <v>21</v>
      </c>
      <c r="C21" s="120">
        <f>Utilidad!A18</f>
        <v>0</v>
      </c>
      <c r="D21" s="121">
        <f>IF(Utilidad!C$46&gt;1,Utilidad!C18/100,Utilidad!C18)</f>
        <v>0</v>
      </c>
      <c r="E21" s="121">
        <f>IF(Utilidad!$E$46&gt;1,Utilidad!E18/100,Utilidad!E18)</f>
        <v>0</v>
      </c>
      <c r="G21" s="119" t="s">
        <v>21</v>
      </c>
      <c r="H21" s="120">
        <f>Utilidad!B18</f>
        <v>0</v>
      </c>
      <c r="I21" s="121">
        <f>IF(Utilidad!$D$46&gt;1,Utilidad!D18/100,Utilidad!D18)</f>
        <v>0</v>
      </c>
      <c r="J21" s="121">
        <f>IF(Utilidad!$F$46&gt;1,Utilidad!F18/100,Utilidad!F18)</f>
        <v>0</v>
      </c>
      <c r="L21" s="122">
        <f t="shared" si="0"/>
        <v>0</v>
      </c>
      <c r="M21" s="122">
        <f t="shared" si="1"/>
        <v>0</v>
      </c>
      <c r="N21" s="122">
        <f t="shared" si="2"/>
        <v>0</v>
      </c>
      <c r="P21" s="121">
        <f t="shared" si="3"/>
        <v>0</v>
      </c>
      <c r="Q21" s="121">
        <f t="shared" si="4"/>
        <v>0</v>
      </c>
      <c r="R21" s="121">
        <f t="shared" si="5"/>
        <v>0</v>
      </c>
      <c r="T21" s="123" t="str">
        <f t="shared" si="6"/>
        <v>SI</v>
      </c>
    </row>
    <row r="22" spans="2:20" ht="21" x14ac:dyDescent="0.25">
      <c r="B22" s="119" t="s">
        <v>22</v>
      </c>
      <c r="C22" s="120">
        <f>Utilidad!A19</f>
        <v>0</v>
      </c>
      <c r="D22" s="121">
        <f>IF(Utilidad!C$46&gt;1,Utilidad!C19/100,Utilidad!C19)</f>
        <v>0</v>
      </c>
      <c r="E22" s="121">
        <f>IF(Utilidad!$E$46&gt;1,Utilidad!E19/100,Utilidad!E19)</f>
        <v>0</v>
      </c>
      <c r="G22" s="119" t="s">
        <v>22</v>
      </c>
      <c r="H22" s="120">
        <f>Utilidad!B19</f>
        <v>0</v>
      </c>
      <c r="I22" s="121">
        <f>IF(Utilidad!$D$46&gt;1,Utilidad!D19/100,Utilidad!D19)</f>
        <v>0</v>
      </c>
      <c r="J22" s="121">
        <f>IF(Utilidad!$F$46&gt;1,Utilidad!F19/100,Utilidad!F19)</f>
        <v>0</v>
      </c>
      <c r="L22" s="122">
        <f t="shared" si="0"/>
        <v>0</v>
      </c>
      <c r="M22" s="122">
        <f t="shared" si="1"/>
        <v>0</v>
      </c>
      <c r="N22" s="122">
        <f t="shared" si="2"/>
        <v>0</v>
      </c>
      <c r="P22" s="121">
        <f t="shared" si="3"/>
        <v>0</v>
      </c>
      <c r="Q22" s="121">
        <f t="shared" si="4"/>
        <v>0</v>
      </c>
      <c r="R22" s="121">
        <f t="shared" si="5"/>
        <v>0</v>
      </c>
      <c r="T22" s="123" t="str">
        <f t="shared" si="6"/>
        <v>SI</v>
      </c>
    </row>
    <row r="23" spans="2:20" ht="21" x14ac:dyDescent="0.25">
      <c r="B23" s="119" t="s">
        <v>23</v>
      </c>
      <c r="C23" s="120">
        <f>Utilidad!A20</f>
        <v>0</v>
      </c>
      <c r="D23" s="121">
        <f>IF(Utilidad!C$46&gt;1,Utilidad!C20/100,Utilidad!C20)</f>
        <v>0</v>
      </c>
      <c r="E23" s="121">
        <f>IF(Utilidad!$E$46&gt;1,Utilidad!E20/100,Utilidad!E20)</f>
        <v>0</v>
      </c>
      <c r="G23" s="119" t="s">
        <v>23</v>
      </c>
      <c r="H23" s="120">
        <f>Utilidad!B20</f>
        <v>0</v>
      </c>
      <c r="I23" s="121">
        <f>IF(Utilidad!$D$46&gt;1,Utilidad!D20/100,Utilidad!D20)</f>
        <v>0</v>
      </c>
      <c r="J23" s="121">
        <f>IF(Utilidad!$F$46&gt;1,Utilidad!F20/100,Utilidad!F20)</f>
        <v>0</v>
      </c>
      <c r="L23" s="122">
        <f t="shared" si="0"/>
        <v>0</v>
      </c>
      <c r="M23" s="122">
        <f t="shared" si="1"/>
        <v>0</v>
      </c>
      <c r="N23" s="122">
        <f t="shared" si="2"/>
        <v>0</v>
      </c>
      <c r="P23" s="121">
        <f t="shared" si="3"/>
        <v>0</v>
      </c>
      <c r="Q23" s="121">
        <f t="shared" si="4"/>
        <v>0</v>
      </c>
      <c r="R23" s="121">
        <f t="shared" si="5"/>
        <v>0</v>
      </c>
      <c r="T23" s="123" t="str">
        <f t="shared" si="6"/>
        <v>SI</v>
      </c>
    </row>
    <row r="24" spans="2:20" ht="21" x14ac:dyDescent="0.25">
      <c r="B24" s="119" t="s">
        <v>24</v>
      </c>
      <c r="C24" s="120">
        <f>Utilidad!A21</f>
        <v>0</v>
      </c>
      <c r="D24" s="121">
        <f>IF(Utilidad!C$46&gt;1,Utilidad!C21/100,Utilidad!C21)</f>
        <v>0</v>
      </c>
      <c r="E24" s="121">
        <f>IF(Utilidad!$E$46&gt;1,Utilidad!E21/100,Utilidad!E21)</f>
        <v>0</v>
      </c>
      <c r="G24" s="119" t="s">
        <v>24</v>
      </c>
      <c r="H24" s="120">
        <f>Utilidad!B21</f>
        <v>0</v>
      </c>
      <c r="I24" s="121">
        <f>IF(Utilidad!$D$46&gt;1,Utilidad!D21/100,Utilidad!D21)</f>
        <v>0</v>
      </c>
      <c r="J24" s="121">
        <f>IF(Utilidad!$F$46&gt;1,Utilidad!F21/100,Utilidad!F21)</f>
        <v>0</v>
      </c>
      <c r="L24" s="122">
        <f t="shared" si="0"/>
        <v>0</v>
      </c>
      <c r="M24" s="122">
        <f t="shared" si="1"/>
        <v>0</v>
      </c>
      <c r="N24" s="122">
        <f t="shared" si="2"/>
        <v>0</v>
      </c>
      <c r="P24" s="121">
        <f t="shared" si="3"/>
        <v>0</v>
      </c>
      <c r="Q24" s="121">
        <f t="shared" si="4"/>
        <v>0</v>
      </c>
      <c r="R24" s="121">
        <f t="shared" si="5"/>
        <v>0</v>
      </c>
      <c r="T24" s="123" t="str">
        <f t="shared" si="6"/>
        <v>SI</v>
      </c>
    </row>
    <row r="25" spans="2:20" ht="21" x14ac:dyDescent="0.25">
      <c r="B25" s="119" t="s">
        <v>26</v>
      </c>
      <c r="C25" s="120">
        <f>Utilidad!A22</f>
        <v>1566</v>
      </c>
      <c r="D25" s="121">
        <f>IF(Utilidad!C$46&gt;1,Utilidad!C22/100,Utilidad!C22)</f>
        <v>0.52010000000000001</v>
      </c>
      <c r="E25" s="121">
        <f>IF(Utilidad!$E$46&gt;1,Utilidad!E22/100,Utilidad!E22)</f>
        <v>0.43530000000000002</v>
      </c>
      <c r="G25" s="119" t="s">
        <v>26</v>
      </c>
      <c r="H25" s="120">
        <f>Utilidad!B22</f>
        <v>1566</v>
      </c>
      <c r="I25" s="121">
        <f>IF(Utilidad!$D$46&gt;1,Utilidad!D22/100,Utilidad!D22)</f>
        <v>0.52011388218999999</v>
      </c>
      <c r="J25" s="121">
        <f>IF(Utilidad!$F$46&gt;1,Utilidad!F22/100,Utilidad!F22)</f>
        <v>0.43529996954</v>
      </c>
      <c r="L25" s="122">
        <f t="shared" si="0"/>
        <v>0</v>
      </c>
      <c r="M25" s="122">
        <f t="shared" si="1"/>
        <v>2.6691386271833898E-5</v>
      </c>
      <c r="N25" s="122">
        <f t="shared" si="2"/>
        <v>-6.9974730122375128E-8</v>
      </c>
      <c r="P25" s="121">
        <f t="shared" si="3"/>
        <v>0</v>
      </c>
      <c r="Q25" s="121">
        <f t="shared" si="4"/>
        <v>2.6691386271833898E-5</v>
      </c>
      <c r="R25" s="121">
        <f t="shared" si="5"/>
        <v>6.9974730122375128E-8</v>
      </c>
      <c r="T25" s="123" t="str">
        <f t="shared" si="6"/>
        <v>SI</v>
      </c>
    </row>
    <row r="26" spans="2:20" ht="21" x14ac:dyDescent="0.25">
      <c r="B26" s="119" t="s">
        <v>28</v>
      </c>
      <c r="C26" s="120">
        <f>Utilidad!A23</f>
        <v>1566</v>
      </c>
      <c r="D26" s="121">
        <f>IF(Utilidad!C$46&gt;1,Utilidad!C23/100,Utilidad!C23)</f>
        <v>0.52010000000000001</v>
      </c>
      <c r="E26" s="121">
        <f>IF(Utilidad!$E$46&gt;1,Utilidad!E23/100,Utilidad!E23)</f>
        <v>0.43530000000000002</v>
      </c>
      <c r="G26" s="119" t="s">
        <v>28</v>
      </c>
      <c r="H26" s="120">
        <f>Utilidad!B23</f>
        <v>1566</v>
      </c>
      <c r="I26" s="121">
        <f>IF(Utilidad!$D$46&gt;1,Utilidad!D23/100,Utilidad!D23)</f>
        <v>0.52011388218999999</v>
      </c>
      <c r="J26" s="121">
        <f>IF(Utilidad!$F$46&gt;1,Utilidad!F23/100,Utilidad!F23)</f>
        <v>0.43529996954</v>
      </c>
      <c r="L26" s="122">
        <f t="shared" si="0"/>
        <v>0</v>
      </c>
      <c r="M26" s="122">
        <f t="shared" si="1"/>
        <v>2.6691386271833898E-5</v>
      </c>
      <c r="N26" s="122">
        <f t="shared" si="2"/>
        <v>-6.9974730122375128E-8</v>
      </c>
      <c r="P26" s="121">
        <f t="shared" si="3"/>
        <v>0</v>
      </c>
      <c r="Q26" s="121">
        <f t="shared" si="4"/>
        <v>2.6691386271833898E-5</v>
      </c>
      <c r="R26" s="121">
        <f t="shared" si="5"/>
        <v>6.9974730122375128E-8</v>
      </c>
      <c r="T26" s="123" t="str">
        <f t="shared" si="6"/>
        <v>SI</v>
      </c>
    </row>
    <row r="27" spans="2:20" ht="21" x14ac:dyDescent="0.25">
      <c r="B27" s="119" t="s">
        <v>30</v>
      </c>
      <c r="C27" s="120">
        <f>Utilidad!A24</f>
        <v>0</v>
      </c>
      <c r="D27" s="121">
        <f>IF(Utilidad!C$46&gt;1,Utilidad!C24/100,Utilidad!C24)</f>
        <v>0</v>
      </c>
      <c r="E27" s="121">
        <f>IF(Utilidad!$E$46&gt;1,Utilidad!E24/100,Utilidad!E24)</f>
        <v>0</v>
      </c>
      <c r="G27" s="119" t="s">
        <v>30</v>
      </c>
      <c r="H27" s="120">
        <f>Utilidad!B24</f>
        <v>0</v>
      </c>
      <c r="I27" s="121">
        <f>IF(Utilidad!$D$46&gt;1,Utilidad!D24/100,Utilidad!D24)</f>
        <v>0</v>
      </c>
      <c r="J27" s="121">
        <f>IF(Utilidad!$F$46&gt;1,Utilidad!F24/100,Utilidad!F24)</f>
        <v>0</v>
      </c>
      <c r="L27" s="122">
        <f t="shared" si="0"/>
        <v>0</v>
      </c>
      <c r="M27" s="122">
        <f t="shared" si="1"/>
        <v>0</v>
      </c>
      <c r="N27" s="122">
        <f t="shared" si="2"/>
        <v>0</v>
      </c>
      <c r="P27" s="121">
        <f t="shared" si="3"/>
        <v>0</v>
      </c>
      <c r="Q27" s="121">
        <f t="shared" si="4"/>
        <v>0</v>
      </c>
      <c r="R27" s="121">
        <f t="shared" si="5"/>
        <v>0</v>
      </c>
      <c r="T27" s="123" t="str">
        <f t="shared" si="6"/>
        <v>SI</v>
      </c>
    </row>
    <row r="28" spans="2:20" ht="21" x14ac:dyDescent="0.25">
      <c r="B28" s="119" t="s">
        <v>31</v>
      </c>
      <c r="C28" s="120">
        <f>Utilidad!A25</f>
        <v>2120</v>
      </c>
      <c r="D28" s="121">
        <f>IF(Utilidad!C$46&gt;1,Utilidad!C25/100,Utilidad!C25)</f>
        <v>0.52829999999999999</v>
      </c>
      <c r="E28" s="121">
        <f>IF(Utilidad!$E$46&gt;1,Utilidad!E25/100,Utilidad!E25)</f>
        <v>0.44689999999999996</v>
      </c>
      <c r="G28" s="119" t="s">
        <v>31</v>
      </c>
      <c r="H28" s="120">
        <f>Utilidad!B25</f>
        <v>2120</v>
      </c>
      <c r="I28" s="121">
        <f>IF(Utilidad!$D$46&gt;1,Utilidad!D25/100,Utilidad!D25)</f>
        <v>0.52831856305000002</v>
      </c>
      <c r="J28" s="121">
        <f>IF(Utilidad!$F$46&gt;1,Utilidad!F25/100,Utilidad!F25)</f>
        <v>0.44690690525999999</v>
      </c>
      <c r="L28" s="122">
        <f t="shared" si="0"/>
        <v>0</v>
      </c>
      <c r="M28" s="122">
        <f t="shared" si="1"/>
        <v>3.5137327276227731E-5</v>
      </c>
      <c r="N28" s="122">
        <f t="shared" si="2"/>
        <v>1.5451465652322682E-5</v>
      </c>
      <c r="P28" s="121">
        <f t="shared" si="3"/>
        <v>0</v>
      </c>
      <c r="Q28" s="121">
        <f t="shared" si="4"/>
        <v>3.5137327276227731E-5</v>
      </c>
      <c r="R28" s="121">
        <f t="shared" si="5"/>
        <v>1.5451465652322682E-5</v>
      </c>
      <c r="T28" s="123" t="str">
        <f t="shared" si="6"/>
        <v>SI</v>
      </c>
    </row>
    <row r="29" spans="2:20" ht="21" x14ac:dyDescent="0.25">
      <c r="B29" s="119" t="s">
        <v>32</v>
      </c>
      <c r="C29" s="120">
        <f>Utilidad!A26</f>
        <v>2120</v>
      </c>
      <c r="D29" s="121">
        <f>IF(Utilidad!C$46&gt;1,Utilidad!C26/100,Utilidad!C26)</f>
        <v>0.52829999999999999</v>
      </c>
      <c r="E29" s="121">
        <f>IF(Utilidad!$E$46&gt;1,Utilidad!E26/100,Utilidad!E26)</f>
        <v>0.44689999999999996</v>
      </c>
      <c r="G29" s="119" t="s">
        <v>32</v>
      </c>
      <c r="H29" s="120">
        <f>Utilidad!B26</f>
        <v>2120</v>
      </c>
      <c r="I29" s="121">
        <f>IF(Utilidad!$D$46&gt;1,Utilidad!D26/100,Utilidad!D26)</f>
        <v>0.52831856305000002</v>
      </c>
      <c r="J29" s="121">
        <f>IF(Utilidad!$F$46&gt;1,Utilidad!F26/100,Utilidad!F26)</f>
        <v>0.44690690525999999</v>
      </c>
      <c r="L29" s="122">
        <f t="shared" si="0"/>
        <v>0</v>
      </c>
      <c r="M29" s="122">
        <f t="shared" si="1"/>
        <v>3.5137327276227731E-5</v>
      </c>
      <c r="N29" s="122">
        <f t="shared" si="2"/>
        <v>1.5451465652322682E-5</v>
      </c>
      <c r="P29" s="121">
        <f t="shared" si="3"/>
        <v>0</v>
      </c>
      <c r="Q29" s="121">
        <f t="shared" si="4"/>
        <v>3.5137327276227731E-5</v>
      </c>
      <c r="R29" s="121">
        <f t="shared" si="5"/>
        <v>1.5451465652322682E-5</v>
      </c>
      <c r="T29" s="123" t="str">
        <f t="shared" si="6"/>
        <v>SI</v>
      </c>
    </row>
    <row r="30" spans="2:20" ht="21" x14ac:dyDescent="0.25">
      <c r="B30" s="119" t="s">
        <v>34</v>
      </c>
      <c r="C30" s="120">
        <f>Utilidad!A27</f>
        <v>0</v>
      </c>
      <c r="D30" s="121">
        <f>IF(Utilidad!C$46&gt;1,Utilidad!C27/100,Utilidad!C27)</f>
        <v>0</v>
      </c>
      <c r="E30" s="121">
        <f>IF(Utilidad!$E$46&gt;1,Utilidad!E27/100,Utilidad!E27)</f>
        <v>0</v>
      </c>
      <c r="G30" s="119" t="s">
        <v>34</v>
      </c>
      <c r="H30" s="120">
        <f>Utilidad!B27</f>
        <v>0</v>
      </c>
      <c r="I30" s="121">
        <f>IF(Utilidad!$D$46&gt;1,Utilidad!D27/100,Utilidad!D27)</f>
        <v>0</v>
      </c>
      <c r="J30" s="121">
        <f>IF(Utilidad!$F$46&gt;1,Utilidad!F27/100,Utilidad!F27)</f>
        <v>0</v>
      </c>
      <c r="L30" s="122">
        <f t="shared" si="0"/>
        <v>0</v>
      </c>
      <c r="M30" s="122">
        <f t="shared" si="1"/>
        <v>0</v>
      </c>
      <c r="N30" s="122">
        <f t="shared" si="2"/>
        <v>0</v>
      </c>
      <c r="P30" s="121">
        <f t="shared" si="3"/>
        <v>0</v>
      </c>
      <c r="Q30" s="121">
        <f t="shared" si="4"/>
        <v>0</v>
      </c>
      <c r="R30" s="121">
        <f t="shared" si="5"/>
        <v>0</v>
      </c>
      <c r="T30" s="123" t="str">
        <f t="shared" si="6"/>
        <v>SI</v>
      </c>
    </row>
    <row r="31" spans="2:20" ht="21" x14ac:dyDescent="0.25">
      <c r="B31" s="119" t="s">
        <v>35</v>
      </c>
      <c r="C31" s="120">
        <f>Utilidad!A28</f>
        <v>0</v>
      </c>
      <c r="D31" s="121">
        <f>IF(Utilidad!C$46&gt;1,Utilidad!C28/100,Utilidad!C28)</f>
        <v>0</v>
      </c>
      <c r="E31" s="121">
        <f>IF(Utilidad!$E$46&gt;1,Utilidad!E28/100,Utilidad!E28)</f>
        <v>0</v>
      </c>
      <c r="G31" s="119" t="s">
        <v>35</v>
      </c>
      <c r="H31" s="120">
        <f>Utilidad!B28</f>
        <v>0</v>
      </c>
      <c r="I31" s="121">
        <f>IF(Utilidad!$D$46&gt;1,Utilidad!D28/100,Utilidad!D28)</f>
        <v>0</v>
      </c>
      <c r="J31" s="121">
        <f>IF(Utilidad!$F$46&gt;1,Utilidad!F28/100,Utilidad!F28)</f>
        <v>0</v>
      </c>
      <c r="L31" s="122">
        <f t="shared" si="0"/>
        <v>0</v>
      </c>
      <c r="M31" s="122">
        <f t="shared" si="1"/>
        <v>0</v>
      </c>
      <c r="N31" s="122">
        <f t="shared" si="2"/>
        <v>0</v>
      </c>
      <c r="P31" s="121">
        <f t="shared" si="3"/>
        <v>0</v>
      </c>
      <c r="Q31" s="121">
        <f t="shared" si="4"/>
        <v>0</v>
      </c>
      <c r="R31" s="121">
        <f t="shared" si="5"/>
        <v>0</v>
      </c>
      <c r="T31" s="123" t="str">
        <f t="shared" si="6"/>
        <v>SI</v>
      </c>
    </row>
    <row r="32" spans="2:20" ht="21" x14ac:dyDescent="0.25">
      <c r="B32" s="119" t="s">
        <v>36</v>
      </c>
      <c r="C32" s="120">
        <f>Utilidad!A29</f>
        <v>0</v>
      </c>
      <c r="D32" s="121">
        <f>IF(Utilidad!C$46&gt;1,Utilidad!C29/100,Utilidad!C29)</f>
        <v>0</v>
      </c>
      <c r="E32" s="121">
        <f>IF(Utilidad!$E$46&gt;1,Utilidad!E29/100,Utilidad!E29)</f>
        <v>0</v>
      </c>
      <c r="G32" s="119" t="s">
        <v>36</v>
      </c>
      <c r="H32" s="120">
        <f>Utilidad!B29</f>
        <v>0</v>
      </c>
      <c r="I32" s="121">
        <f>IF(Utilidad!$D$46&gt;1,Utilidad!D29/100,Utilidad!D29)</f>
        <v>0</v>
      </c>
      <c r="J32" s="121">
        <f>IF(Utilidad!$F$46&gt;1,Utilidad!F29/100,Utilidad!F29)</f>
        <v>0</v>
      </c>
      <c r="L32" s="122">
        <f t="shared" si="0"/>
        <v>0</v>
      </c>
      <c r="M32" s="122">
        <f t="shared" si="1"/>
        <v>0</v>
      </c>
      <c r="N32" s="122">
        <f t="shared" si="2"/>
        <v>0</v>
      </c>
      <c r="P32" s="121">
        <f t="shared" si="3"/>
        <v>0</v>
      </c>
      <c r="Q32" s="121">
        <f t="shared" si="4"/>
        <v>0</v>
      </c>
      <c r="R32" s="121">
        <f t="shared" si="5"/>
        <v>0</v>
      </c>
      <c r="T32" s="123" t="str">
        <f t="shared" si="6"/>
        <v>SI</v>
      </c>
    </row>
    <row r="33" spans="2:20" ht="21" x14ac:dyDescent="0.25">
      <c r="B33" s="119" t="s">
        <v>37</v>
      </c>
      <c r="C33" s="120">
        <f>Utilidad!A30</f>
        <v>0</v>
      </c>
      <c r="D33" s="121">
        <f>IF(Utilidad!C$46&gt;1,Utilidad!C30/100,Utilidad!C30)</f>
        <v>0</v>
      </c>
      <c r="E33" s="121">
        <f>IF(Utilidad!$E$46&gt;1,Utilidad!E30/100,Utilidad!E30)</f>
        <v>0</v>
      </c>
      <c r="G33" s="119" t="s">
        <v>37</v>
      </c>
      <c r="H33" s="120">
        <f>Utilidad!B30</f>
        <v>0</v>
      </c>
      <c r="I33" s="121">
        <f>IF(Utilidad!$D$46&gt;1,Utilidad!D30/100,Utilidad!D30)</f>
        <v>0</v>
      </c>
      <c r="J33" s="121">
        <f>IF(Utilidad!$F$46&gt;1,Utilidad!F30/100,Utilidad!F30)</f>
        <v>0</v>
      </c>
      <c r="L33" s="122">
        <f t="shared" si="0"/>
        <v>0</v>
      </c>
      <c r="M33" s="122">
        <f t="shared" si="1"/>
        <v>0</v>
      </c>
      <c r="N33" s="122">
        <f t="shared" si="2"/>
        <v>0</v>
      </c>
      <c r="P33" s="121">
        <f t="shared" si="3"/>
        <v>0</v>
      </c>
      <c r="Q33" s="121">
        <f t="shared" si="4"/>
        <v>0</v>
      </c>
      <c r="R33" s="121">
        <f t="shared" si="5"/>
        <v>0</v>
      </c>
      <c r="T33" s="123" t="str">
        <f t="shared" si="6"/>
        <v>SI</v>
      </c>
    </row>
    <row r="34" spans="2:20" ht="21" x14ac:dyDescent="0.25">
      <c r="B34" s="119" t="s">
        <v>38</v>
      </c>
      <c r="C34" s="120">
        <f>Utilidad!A31</f>
        <v>0</v>
      </c>
      <c r="D34" s="121">
        <f>IF(Utilidad!C$46&gt;1,Utilidad!C31/100,Utilidad!C31)</f>
        <v>0</v>
      </c>
      <c r="E34" s="121">
        <f>IF(Utilidad!$E$46&gt;1,Utilidad!E31/100,Utilidad!E31)</f>
        <v>0</v>
      </c>
      <c r="G34" s="119" t="s">
        <v>38</v>
      </c>
      <c r="H34" s="120">
        <f>Utilidad!B31</f>
        <v>0</v>
      </c>
      <c r="I34" s="121">
        <f>IF(Utilidad!$D$46&gt;1,Utilidad!D31/100,Utilidad!D31)</f>
        <v>0</v>
      </c>
      <c r="J34" s="121">
        <f>IF(Utilidad!$F$46&gt;1,Utilidad!F31/100,Utilidad!F31)</f>
        <v>0</v>
      </c>
      <c r="L34" s="122">
        <f t="shared" si="0"/>
        <v>0</v>
      </c>
      <c r="M34" s="122">
        <f t="shared" si="1"/>
        <v>0</v>
      </c>
      <c r="N34" s="122">
        <f t="shared" si="2"/>
        <v>0</v>
      </c>
      <c r="P34" s="121">
        <f t="shared" si="3"/>
        <v>0</v>
      </c>
      <c r="Q34" s="121">
        <f t="shared" si="4"/>
        <v>0</v>
      </c>
      <c r="R34" s="121">
        <f t="shared" si="5"/>
        <v>0</v>
      </c>
      <c r="T34" s="123" t="str">
        <f t="shared" si="6"/>
        <v>SI</v>
      </c>
    </row>
    <row r="35" spans="2:20" ht="21" x14ac:dyDescent="0.25">
      <c r="B35" s="119" t="s">
        <v>39</v>
      </c>
      <c r="C35" s="120">
        <f>Utilidad!A32</f>
        <v>0</v>
      </c>
      <c r="D35" s="121">
        <f>IF(Utilidad!C$46&gt;1,Utilidad!C32/100,Utilidad!C32)</f>
        <v>0</v>
      </c>
      <c r="E35" s="121">
        <f>IF(Utilidad!$E$46&gt;1,Utilidad!E32/100,Utilidad!E32)</f>
        <v>0</v>
      </c>
      <c r="G35" s="119" t="s">
        <v>39</v>
      </c>
      <c r="H35" s="120">
        <f>Utilidad!B32</f>
        <v>0</v>
      </c>
      <c r="I35" s="121">
        <f>IF(Utilidad!$D$46&gt;1,Utilidad!D32/100,Utilidad!D32)</f>
        <v>0</v>
      </c>
      <c r="J35" s="121">
        <f>IF(Utilidad!$F$46&gt;1,Utilidad!F32/100,Utilidad!F32)</f>
        <v>0</v>
      </c>
      <c r="L35" s="122">
        <f t="shared" si="0"/>
        <v>0</v>
      </c>
      <c r="M35" s="122">
        <f t="shared" si="1"/>
        <v>0</v>
      </c>
      <c r="N35" s="122">
        <f t="shared" si="2"/>
        <v>0</v>
      </c>
      <c r="P35" s="121">
        <f t="shared" si="3"/>
        <v>0</v>
      </c>
      <c r="Q35" s="121">
        <f t="shared" si="4"/>
        <v>0</v>
      </c>
      <c r="R35" s="121">
        <f t="shared" si="5"/>
        <v>0</v>
      </c>
      <c r="T35" s="123" t="str">
        <f t="shared" si="6"/>
        <v>SI</v>
      </c>
    </row>
    <row r="36" spans="2:20" ht="21" x14ac:dyDescent="0.25">
      <c r="B36" s="119" t="s">
        <v>40</v>
      </c>
      <c r="C36" s="120">
        <f>Utilidad!A33</f>
        <v>0</v>
      </c>
      <c r="D36" s="121">
        <f>IF(Utilidad!C$46&gt;1,Utilidad!C33/100,Utilidad!C33)</f>
        <v>0</v>
      </c>
      <c r="E36" s="121">
        <f>IF(Utilidad!$E$46&gt;1,Utilidad!E33/100,Utilidad!E33)</f>
        <v>0</v>
      </c>
      <c r="G36" s="119" t="s">
        <v>40</v>
      </c>
      <c r="H36" s="120">
        <f>Utilidad!B33</f>
        <v>0</v>
      </c>
      <c r="I36" s="121">
        <f>IF(Utilidad!$D$46&gt;1,Utilidad!D33/100,Utilidad!D33)</f>
        <v>0</v>
      </c>
      <c r="J36" s="121">
        <f>IF(Utilidad!$F$46&gt;1,Utilidad!F33/100,Utilidad!F33)</f>
        <v>0</v>
      </c>
      <c r="L36" s="122">
        <f t="shared" ref="L36:L65" si="7">+IF(C36&lt;&gt;0,(H36-C36)/C36,ABS(H36-C36))</f>
        <v>0</v>
      </c>
      <c r="M36" s="122">
        <f t="shared" ref="M36:M65" si="8">+IF(D36&lt;&gt;0,(I36-D36)/D36,0)</f>
        <v>0</v>
      </c>
      <c r="N36" s="122">
        <f t="shared" ref="N36:N65" si="9">+IF(E36&lt;&gt;0,(J36-E36)/E36,0)</f>
        <v>0</v>
      </c>
      <c r="P36" s="121">
        <f t="shared" ref="P36:P65" si="10">+IF(L36&lt;&gt;"",ABS(L36),0)</f>
        <v>0</v>
      </c>
      <c r="Q36" s="121">
        <f t="shared" ref="Q36:Q65" si="11">+IF(L36&lt;&gt;"",ABS(M36),0)</f>
        <v>0</v>
      </c>
      <c r="R36" s="121">
        <f t="shared" ref="R36:R65" si="12">+IF(M36&lt;&gt;"",ABS(N36),0)</f>
        <v>0</v>
      </c>
      <c r="T36" s="123" t="str">
        <f t="shared" ref="T36:T65" si="13">IF(J36&lt;=I36,"SI","NO")</f>
        <v>SI</v>
      </c>
    </row>
    <row r="37" spans="2:20" ht="21" x14ac:dyDescent="0.25">
      <c r="B37" s="119" t="s">
        <v>41</v>
      </c>
      <c r="C37" s="120">
        <f>Utilidad!A34</f>
        <v>0</v>
      </c>
      <c r="D37" s="121">
        <f>IF(Utilidad!C$46&gt;1,Utilidad!C34/100,Utilidad!C34)</f>
        <v>0</v>
      </c>
      <c r="E37" s="121">
        <f>IF(Utilidad!$E$46&gt;1,Utilidad!E34/100,Utilidad!E34)</f>
        <v>0</v>
      </c>
      <c r="G37" s="119" t="s">
        <v>41</v>
      </c>
      <c r="H37" s="120">
        <f>Utilidad!B34</f>
        <v>0</v>
      </c>
      <c r="I37" s="121">
        <f>IF(Utilidad!$D$46&gt;1,Utilidad!D34/100,Utilidad!D34)</f>
        <v>0</v>
      </c>
      <c r="J37" s="121">
        <f>IF(Utilidad!$F$46&gt;1,Utilidad!F34/100,Utilidad!F34)</f>
        <v>0</v>
      </c>
      <c r="L37" s="122">
        <f t="shared" si="7"/>
        <v>0</v>
      </c>
      <c r="M37" s="122">
        <f t="shared" si="8"/>
        <v>0</v>
      </c>
      <c r="N37" s="122">
        <f t="shared" si="9"/>
        <v>0</v>
      </c>
      <c r="P37" s="121">
        <f t="shared" si="10"/>
        <v>0</v>
      </c>
      <c r="Q37" s="121">
        <f t="shared" si="11"/>
        <v>0</v>
      </c>
      <c r="R37" s="121">
        <f t="shared" si="12"/>
        <v>0</v>
      </c>
      <c r="T37" s="123" t="str">
        <f t="shared" si="13"/>
        <v>SI</v>
      </c>
    </row>
    <row r="38" spans="2:20" ht="21" x14ac:dyDescent="0.25">
      <c r="B38" s="119" t="s">
        <v>42</v>
      </c>
      <c r="C38" s="120">
        <f>Utilidad!A35</f>
        <v>0</v>
      </c>
      <c r="D38" s="121">
        <f>IF(Utilidad!C$46&gt;1,Utilidad!C35/100,Utilidad!C35)</f>
        <v>0</v>
      </c>
      <c r="E38" s="121">
        <f>IF(Utilidad!$E$46&gt;1,Utilidad!E35/100,Utilidad!E35)</f>
        <v>0</v>
      </c>
      <c r="G38" s="119" t="s">
        <v>42</v>
      </c>
      <c r="H38" s="120">
        <f>Utilidad!B35</f>
        <v>0</v>
      </c>
      <c r="I38" s="121">
        <f>IF(Utilidad!$D$46&gt;1,Utilidad!D35/100,Utilidad!D35)</f>
        <v>0</v>
      </c>
      <c r="J38" s="121">
        <f>IF(Utilidad!$F$46&gt;1,Utilidad!F35/100,Utilidad!F35)</f>
        <v>0</v>
      </c>
      <c r="L38" s="122">
        <f t="shared" si="7"/>
        <v>0</v>
      </c>
      <c r="M38" s="122">
        <f t="shared" si="8"/>
        <v>0</v>
      </c>
      <c r="N38" s="122">
        <f t="shared" si="9"/>
        <v>0</v>
      </c>
      <c r="P38" s="121">
        <f t="shared" si="10"/>
        <v>0</v>
      </c>
      <c r="Q38" s="121">
        <f t="shared" si="11"/>
        <v>0</v>
      </c>
      <c r="R38" s="121">
        <f t="shared" si="12"/>
        <v>0</v>
      </c>
      <c r="T38" s="123" t="str">
        <f t="shared" si="13"/>
        <v>SI</v>
      </c>
    </row>
    <row r="39" spans="2:20" ht="21" x14ac:dyDescent="0.25">
      <c r="B39" s="119" t="s">
        <v>43</v>
      </c>
      <c r="C39" s="120">
        <f>Utilidad!A36</f>
        <v>0</v>
      </c>
      <c r="D39" s="121">
        <f>IF(Utilidad!C$46&gt;1,Utilidad!C36/100,Utilidad!C36)</f>
        <v>0</v>
      </c>
      <c r="E39" s="121">
        <f>IF(Utilidad!$E$46&gt;1,Utilidad!E36/100,Utilidad!E36)</f>
        <v>0</v>
      </c>
      <c r="G39" s="119" t="s">
        <v>43</v>
      </c>
      <c r="H39" s="120">
        <f>Utilidad!B36</f>
        <v>0</v>
      </c>
      <c r="I39" s="121">
        <f>IF(Utilidad!$D$46&gt;1,Utilidad!D36/100,Utilidad!D36)</f>
        <v>0</v>
      </c>
      <c r="J39" s="121">
        <f>IF(Utilidad!$F$46&gt;1,Utilidad!F36/100,Utilidad!F36)</f>
        <v>0</v>
      </c>
      <c r="L39" s="122">
        <f t="shared" si="7"/>
        <v>0</v>
      </c>
      <c r="M39" s="122">
        <f t="shared" si="8"/>
        <v>0</v>
      </c>
      <c r="N39" s="122">
        <f t="shared" si="9"/>
        <v>0</v>
      </c>
      <c r="P39" s="121">
        <f t="shared" si="10"/>
        <v>0</v>
      </c>
      <c r="Q39" s="121">
        <f t="shared" si="11"/>
        <v>0</v>
      </c>
      <c r="R39" s="121">
        <f t="shared" si="12"/>
        <v>0</v>
      </c>
      <c r="T39" s="123" t="str">
        <f t="shared" si="13"/>
        <v>SI</v>
      </c>
    </row>
    <row r="40" spans="2:20" ht="21" x14ac:dyDescent="0.25">
      <c r="B40" s="119" t="s">
        <v>44</v>
      </c>
      <c r="C40" s="120">
        <f>Utilidad!A37</f>
        <v>0</v>
      </c>
      <c r="D40" s="121">
        <f>IF(Utilidad!C$46&gt;1,Utilidad!C37/100,Utilidad!C37)</f>
        <v>0</v>
      </c>
      <c r="E40" s="121">
        <f>IF(Utilidad!$E$46&gt;1,Utilidad!E37/100,Utilidad!E37)</f>
        <v>0</v>
      </c>
      <c r="G40" s="119" t="s">
        <v>44</v>
      </c>
      <c r="H40" s="120">
        <f>Utilidad!B37</f>
        <v>0</v>
      </c>
      <c r="I40" s="121">
        <f>IF(Utilidad!$D$46&gt;1,Utilidad!D37/100,Utilidad!D37)</f>
        <v>0</v>
      </c>
      <c r="J40" s="121">
        <f>IF(Utilidad!$F$46&gt;1,Utilidad!F37/100,Utilidad!F37)</f>
        <v>0</v>
      </c>
      <c r="L40" s="122">
        <f t="shared" si="7"/>
        <v>0</v>
      </c>
      <c r="M40" s="122">
        <f t="shared" si="8"/>
        <v>0</v>
      </c>
      <c r="N40" s="122">
        <f t="shared" si="9"/>
        <v>0</v>
      </c>
      <c r="P40" s="121">
        <f t="shared" si="10"/>
        <v>0</v>
      </c>
      <c r="Q40" s="121">
        <f t="shared" si="11"/>
        <v>0</v>
      </c>
      <c r="R40" s="121">
        <f t="shared" si="12"/>
        <v>0</v>
      </c>
      <c r="T40" s="123" t="str">
        <f t="shared" si="13"/>
        <v>SI</v>
      </c>
    </row>
    <row r="41" spans="2:20" ht="21" x14ac:dyDescent="0.25">
      <c r="B41" s="119" t="s">
        <v>46</v>
      </c>
      <c r="C41" s="120">
        <f>Utilidad!A38</f>
        <v>0</v>
      </c>
      <c r="D41" s="121">
        <f>IF(Utilidad!C$46&gt;1,Utilidad!C38/100,Utilidad!C38)</f>
        <v>0</v>
      </c>
      <c r="E41" s="121">
        <f>IF(Utilidad!$E$46&gt;1,Utilidad!E38/100,Utilidad!E38)</f>
        <v>0</v>
      </c>
      <c r="G41" s="119" t="s">
        <v>46</v>
      </c>
      <c r="H41" s="120">
        <f>Utilidad!B38</f>
        <v>0</v>
      </c>
      <c r="I41" s="121">
        <f>IF(Utilidad!$D$46&gt;1,Utilidad!D38/100,Utilidad!D38)</f>
        <v>0</v>
      </c>
      <c r="J41" s="121">
        <f>IF(Utilidad!$F$46&gt;1,Utilidad!F38/100,Utilidad!F38)</f>
        <v>0</v>
      </c>
      <c r="L41" s="122">
        <f t="shared" si="7"/>
        <v>0</v>
      </c>
      <c r="M41" s="122">
        <f t="shared" si="8"/>
        <v>0</v>
      </c>
      <c r="N41" s="122">
        <f t="shared" si="9"/>
        <v>0</v>
      </c>
      <c r="P41" s="121">
        <f t="shared" si="10"/>
        <v>0</v>
      </c>
      <c r="Q41" s="121">
        <f t="shared" si="11"/>
        <v>0</v>
      </c>
      <c r="R41" s="121">
        <f t="shared" si="12"/>
        <v>0</v>
      </c>
      <c r="T41" s="123" t="str">
        <f t="shared" si="13"/>
        <v>SI</v>
      </c>
    </row>
    <row r="42" spans="2:20" ht="21" x14ac:dyDescent="0.25">
      <c r="B42" s="119" t="s">
        <v>47</v>
      </c>
      <c r="C42" s="120">
        <f>Utilidad!A39</f>
        <v>0</v>
      </c>
      <c r="D42" s="121">
        <f>IF(Utilidad!C$46&gt;1,Utilidad!C39/100,Utilidad!C39)</f>
        <v>0</v>
      </c>
      <c r="E42" s="121">
        <f>IF(Utilidad!$E$46&gt;1,Utilidad!E39/100,Utilidad!E39)</f>
        <v>0</v>
      </c>
      <c r="G42" s="119" t="s">
        <v>47</v>
      </c>
      <c r="H42" s="120">
        <f>Utilidad!B39</f>
        <v>0</v>
      </c>
      <c r="I42" s="121">
        <f>IF(Utilidad!$D$46&gt;1,Utilidad!D39/100,Utilidad!D39)</f>
        <v>0</v>
      </c>
      <c r="J42" s="121">
        <f>IF(Utilidad!$F$46&gt;1,Utilidad!F39/100,Utilidad!F39)</f>
        <v>0</v>
      </c>
      <c r="L42" s="122">
        <f t="shared" si="7"/>
        <v>0</v>
      </c>
      <c r="M42" s="122">
        <f t="shared" si="8"/>
        <v>0</v>
      </c>
      <c r="N42" s="122">
        <f t="shared" si="9"/>
        <v>0</v>
      </c>
      <c r="P42" s="121">
        <f t="shared" si="10"/>
        <v>0</v>
      </c>
      <c r="Q42" s="121">
        <f t="shared" si="11"/>
        <v>0</v>
      </c>
      <c r="R42" s="121">
        <f t="shared" si="12"/>
        <v>0</v>
      </c>
      <c r="T42" s="123" t="str">
        <f t="shared" si="13"/>
        <v>SI</v>
      </c>
    </row>
    <row r="43" spans="2:20" ht="21" x14ac:dyDescent="0.25">
      <c r="B43" s="119" t="s">
        <v>48</v>
      </c>
      <c r="C43" s="120">
        <f>Utilidad!A40</f>
        <v>1286252</v>
      </c>
      <c r="D43" s="121">
        <f>IF(Utilidad!C$46&gt;1,Utilidad!C40/100,Utilidad!C40)</f>
        <v>0.13300000000000001</v>
      </c>
      <c r="E43" s="121">
        <f>IF(Utilidad!$E$46&gt;1,Utilidad!E40/100,Utilidad!E40)</f>
        <v>8.0100000000000005E-2</v>
      </c>
      <c r="G43" s="119" t="s">
        <v>48</v>
      </c>
      <c r="H43" s="120">
        <f>Utilidad!B40</f>
        <v>1286252</v>
      </c>
      <c r="I43" s="121">
        <f>IF(Utilidad!$D$46&gt;1,Utilidad!D40/100,Utilidad!D40)</f>
        <v>0.12900999999999999</v>
      </c>
      <c r="J43" s="121">
        <f>IF(Utilidad!$F$46&gt;1,Utilidad!F40/100,Utilidad!F40)</f>
        <v>7.7697000000000002E-2</v>
      </c>
      <c r="L43" s="122">
        <f t="shared" si="7"/>
        <v>0</v>
      </c>
      <c r="M43" s="122">
        <f t="shared" si="8"/>
        <v>-3.0000000000000158E-2</v>
      </c>
      <c r="N43" s="122">
        <f t="shared" si="9"/>
        <v>-3.0000000000000027E-2</v>
      </c>
      <c r="P43" s="121">
        <f t="shared" si="10"/>
        <v>0</v>
      </c>
      <c r="Q43" s="121">
        <f t="shared" si="11"/>
        <v>3.0000000000000158E-2</v>
      </c>
      <c r="R43" s="121">
        <f t="shared" si="12"/>
        <v>3.0000000000000027E-2</v>
      </c>
      <c r="T43" s="123" t="str">
        <f t="shared" si="13"/>
        <v>SI</v>
      </c>
    </row>
    <row r="44" spans="2:20" ht="21" x14ac:dyDescent="0.25">
      <c r="B44" s="119" t="s">
        <v>49</v>
      </c>
      <c r="C44" s="120">
        <f>Utilidad!A41</f>
        <v>933086</v>
      </c>
      <c r="D44" s="121">
        <f>IF(Utilidad!C$46&gt;1,Utilidad!C41/100,Utilidad!C41)</f>
        <v>6.5299999999999997E-2</v>
      </c>
      <c r="E44" s="121">
        <f>IF(Utilidad!$E$46&gt;1,Utilidad!E41/100,Utilidad!E41)</f>
        <v>3.0000000000000001E-3</v>
      </c>
      <c r="G44" s="119" t="s">
        <v>49</v>
      </c>
      <c r="H44" s="120">
        <f>Utilidad!B41</f>
        <v>930860.77135000005</v>
      </c>
      <c r="I44" s="121">
        <f>IF(Utilidad!$D$46&gt;1,Utilidad!D41/100,Utilidad!D41)</f>
        <v>6.0500690777000002E-2</v>
      </c>
      <c r="J44" s="121">
        <f>IF(Utilidad!$F$46&gt;1,Utilidad!F41/100,Utilidad!F41)</f>
        <v>3.9000000000000003E-3</v>
      </c>
      <c r="L44" s="122">
        <f t="shared" si="7"/>
        <v>-2.3848055270360357E-3</v>
      </c>
      <c r="M44" s="122">
        <f t="shared" si="8"/>
        <v>-7.349631275650835E-2</v>
      </c>
      <c r="N44" s="122">
        <f t="shared" si="9"/>
        <v>0.30000000000000004</v>
      </c>
      <c r="P44" s="121">
        <f t="shared" si="10"/>
        <v>2.3848055270360357E-3</v>
      </c>
      <c r="Q44" s="121">
        <f t="shared" si="11"/>
        <v>7.349631275650835E-2</v>
      </c>
      <c r="R44" s="121">
        <f t="shared" si="12"/>
        <v>0.30000000000000004</v>
      </c>
      <c r="T44" s="123" t="str">
        <f t="shared" si="13"/>
        <v>SI</v>
      </c>
    </row>
    <row r="45" spans="2:20" ht="21" x14ac:dyDescent="0.25">
      <c r="B45" s="119" t="s">
        <v>50</v>
      </c>
      <c r="C45" s="120">
        <f>Utilidad!A42</f>
        <v>353166</v>
      </c>
      <c r="D45" s="121">
        <f>IF(Utilidad!C$46&gt;1,Utilidad!C42/100,Utilidad!C42)</f>
        <v>0.312</v>
      </c>
      <c r="E45" s="121">
        <f>IF(Utilidad!$E$46&gt;1,Utilidad!E42/100,Utilidad!E42)</f>
        <v>0.27899999999999997</v>
      </c>
      <c r="G45" s="119" t="s">
        <v>50</v>
      </c>
      <c r="H45" s="120">
        <f>Utilidad!B42</f>
        <v>355391.22865</v>
      </c>
      <c r="I45" s="121">
        <f>IF(Utilidad!$D$46&gt;1,Utilidad!D42/100,Utilidad!D42)</f>
        <v>0.30845345072000002</v>
      </c>
      <c r="J45" s="121">
        <f>IF(Utilidad!$F$46&gt;1,Utilidad!F42/100,Utilidad!F42)</f>
        <v>0.27099026895</v>
      </c>
      <c r="L45" s="122">
        <f t="shared" si="7"/>
        <v>6.3008008981612178E-3</v>
      </c>
      <c r="M45" s="122">
        <f t="shared" si="8"/>
        <v>-1.1367145128205056E-2</v>
      </c>
      <c r="N45" s="122">
        <f t="shared" si="9"/>
        <v>-2.8708713440860106E-2</v>
      </c>
      <c r="P45" s="121">
        <f t="shared" si="10"/>
        <v>6.3008008981612178E-3</v>
      </c>
      <c r="Q45" s="121">
        <f t="shared" si="11"/>
        <v>1.1367145128205056E-2</v>
      </c>
      <c r="R45" s="121">
        <f t="shared" si="12"/>
        <v>2.8708713440860106E-2</v>
      </c>
      <c r="T45" s="123" t="str">
        <f t="shared" si="13"/>
        <v>SI</v>
      </c>
    </row>
    <row r="46" spans="2:20" ht="21" x14ac:dyDescent="0.25">
      <c r="B46" s="119" t="s">
        <v>51</v>
      </c>
      <c r="C46" s="120">
        <f>Utilidad!A43</f>
        <v>84618</v>
      </c>
      <c r="D46" s="121">
        <f>IF(Utilidad!C$46&gt;1,Utilidad!C43/100,Utilidad!C43)</f>
        <v>7.0000000000000007E-2</v>
      </c>
      <c r="E46" s="121">
        <f>IF(Utilidad!$E$46&gt;1,Utilidad!E43/100,Utilidad!E43)</f>
        <v>2.3E-3</v>
      </c>
      <c r="G46" s="119" t="s">
        <v>51</v>
      </c>
      <c r="H46" s="120">
        <f>Utilidad!B43</f>
        <v>82288.421426999994</v>
      </c>
      <c r="I46" s="121">
        <f>IF(Utilidad!$D$46&gt;1,Utilidad!D43/100,Utilidad!D43)</f>
        <v>6.9554272239000001E-2</v>
      </c>
      <c r="J46" s="121">
        <f>IF(Utilidad!$F$46&gt;1,Utilidad!F43/100,Utilidad!F43)</f>
        <v>2.3541023115000001E-3</v>
      </c>
      <c r="L46" s="122">
        <f t="shared" si="7"/>
        <v>-2.7530532191732328E-2</v>
      </c>
      <c r="M46" s="122">
        <f t="shared" si="8"/>
        <v>-6.3675394428572276E-3</v>
      </c>
      <c r="N46" s="122">
        <f t="shared" si="9"/>
        <v>2.3522744130434852E-2</v>
      </c>
      <c r="P46" s="121">
        <f t="shared" si="10"/>
        <v>2.7530532191732328E-2</v>
      </c>
      <c r="Q46" s="121">
        <f t="shared" si="11"/>
        <v>6.3675394428572276E-3</v>
      </c>
      <c r="R46" s="121">
        <f t="shared" si="12"/>
        <v>2.3522744130434852E-2</v>
      </c>
      <c r="T46" s="123" t="str">
        <f t="shared" si="13"/>
        <v>SI</v>
      </c>
    </row>
    <row r="47" spans="2:20" ht="21" x14ac:dyDescent="0.25">
      <c r="B47" s="119" t="s">
        <v>52</v>
      </c>
      <c r="C47" s="120">
        <f>Utilidad!A44</f>
        <v>268548</v>
      </c>
      <c r="D47" s="121">
        <f>IF(Utilidad!C$46&gt;1,Utilidad!C44/100,Utilidad!C44)</f>
        <v>0.38819999999999999</v>
      </c>
      <c r="E47" s="121">
        <f>IF(Utilidad!$E$46&gt;1,Utilidad!E44/100,Utilidad!E44)</f>
        <v>0.35899999999999999</v>
      </c>
      <c r="G47" s="119" t="s">
        <v>52</v>
      </c>
      <c r="H47" s="120">
        <f>Utilidad!B44</f>
        <v>273102.80722000002</v>
      </c>
      <c r="I47" s="121">
        <f>IF(Utilidad!$D$46&gt;1,Utilidad!D44/100,Utilidad!D44)</f>
        <v>0.380436</v>
      </c>
      <c r="J47" s="121">
        <f>IF(Utilidad!$F$46&gt;1,Utilidad!F44/100,Utilidad!F44)</f>
        <v>0.35193284994000001</v>
      </c>
      <c r="L47" s="122">
        <f t="shared" si="7"/>
        <v>1.6960868150200401E-2</v>
      </c>
      <c r="M47" s="122">
        <f t="shared" si="8"/>
        <v>-1.9999999999999983E-2</v>
      </c>
      <c r="N47" s="122">
        <f t="shared" si="9"/>
        <v>-1.9685654763231118E-2</v>
      </c>
      <c r="P47" s="121">
        <f t="shared" si="10"/>
        <v>1.6960868150200401E-2</v>
      </c>
      <c r="Q47" s="121">
        <f t="shared" si="11"/>
        <v>1.9999999999999983E-2</v>
      </c>
      <c r="R47" s="121">
        <f t="shared" si="12"/>
        <v>1.9685654763231118E-2</v>
      </c>
      <c r="T47" s="123" t="str">
        <f t="shared" si="13"/>
        <v>SI</v>
      </c>
    </row>
    <row r="48" spans="2:20" ht="21" x14ac:dyDescent="0.25">
      <c r="B48" s="119" t="s">
        <v>53</v>
      </c>
      <c r="C48" s="120">
        <f>Utilidad!A45</f>
        <v>0</v>
      </c>
      <c r="D48" s="121">
        <f>IF(Utilidad!C$46&gt;1,Utilidad!C45/100,Utilidad!C45)</f>
        <v>0</v>
      </c>
      <c r="E48" s="121">
        <f>IF(Utilidad!$E$46&gt;1,Utilidad!E45/100,Utilidad!E45)</f>
        <v>0</v>
      </c>
      <c r="G48" s="119" t="s">
        <v>53</v>
      </c>
      <c r="H48" s="120">
        <f>Utilidad!B45</f>
        <v>0</v>
      </c>
      <c r="I48" s="121">
        <f>IF(Utilidad!$D$46&gt;1,Utilidad!D45/100,Utilidad!D45)</f>
        <v>0</v>
      </c>
      <c r="J48" s="121">
        <f>IF(Utilidad!$F$46&gt;1,Utilidad!F45/100,Utilidad!F45)</f>
        <v>0</v>
      </c>
      <c r="L48" s="122">
        <f t="shared" si="7"/>
        <v>0</v>
      </c>
      <c r="M48" s="122">
        <f t="shared" si="8"/>
        <v>0</v>
      </c>
      <c r="N48" s="122">
        <f t="shared" si="9"/>
        <v>0</v>
      </c>
      <c r="P48" s="121">
        <f t="shared" si="10"/>
        <v>0</v>
      </c>
      <c r="Q48" s="121">
        <f t="shared" si="11"/>
        <v>0</v>
      </c>
      <c r="R48" s="121">
        <f t="shared" si="12"/>
        <v>0</v>
      </c>
      <c r="T48" s="123" t="str">
        <f t="shared" si="13"/>
        <v>SI</v>
      </c>
    </row>
    <row r="49" spans="2:20" ht="21" x14ac:dyDescent="0.25">
      <c r="B49" s="119" t="s">
        <v>54</v>
      </c>
      <c r="C49" s="120">
        <f>Utilidad!A46</f>
        <v>12412</v>
      </c>
      <c r="D49" s="121">
        <f>IF(Utilidad!C$46&gt;1,Utilidad!C46/100,Utilidad!C46)</f>
        <v>0.56240000000000001</v>
      </c>
      <c r="E49" s="121">
        <f>IF(Utilidad!$E$46&gt;1,Utilidad!E46/100,Utilidad!E46)</f>
        <v>0.54359999999999997</v>
      </c>
      <c r="G49" s="119" t="s">
        <v>54</v>
      </c>
      <c r="H49" s="120">
        <f>Utilidad!B46</f>
        <v>12350.934999999999</v>
      </c>
      <c r="I49" s="121">
        <f>IF(Utilidad!$D$46&gt;1,Utilidad!D46/100,Utilidad!D46)</f>
        <v>0.57358638750000002</v>
      </c>
      <c r="J49" s="121">
        <f>IF(Utilidad!$F$46&gt;1,Utilidad!F46/100,Utilidad!F46)</f>
        <v>0.53273316329999998</v>
      </c>
      <c r="L49" s="122">
        <f t="shared" si="7"/>
        <v>-4.9198356429262418E-3</v>
      </c>
      <c r="M49" s="122">
        <f t="shared" si="8"/>
        <v>1.9890447190611674E-2</v>
      </c>
      <c r="N49" s="122">
        <f t="shared" si="9"/>
        <v>-1.9990501655629128E-2</v>
      </c>
      <c r="P49" s="121">
        <f t="shared" si="10"/>
        <v>4.9198356429262418E-3</v>
      </c>
      <c r="Q49" s="121">
        <f t="shared" si="11"/>
        <v>1.9890447190611674E-2</v>
      </c>
      <c r="R49" s="121">
        <f t="shared" si="12"/>
        <v>1.9990501655629128E-2</v>
      </c>
      <c r="T49" s="123" t="str">
        <f t="shared" si="13"/>
        <v>SI</v>
      </c>
    </row>
    <row r="50" spans="2:20" ht="21" x14ac:dyDescent="0.25">
      <c r="B50" s="119" t="s">
        <v>55</v>
      </c>
      <c r="C50" s="120">
        <f>Utilidad!A47</f>
        <v>282121</v>
      </c>
      <c r="D50" s="121">
        <f>IF(Utilidad!C$46&gt;1,Utilidad!C47/100,Utilidad!C47)</f>
        <v>0.38229999999999997</v>
      </c>
      <c r="E50" s="121">
        <f>IF(Utilidad!$E$46&gt;1,Utilidad!E47/100,Utilidad!E47)</f>
        <v>0.34110000000000001</v>
      </c>
      <c r="G50" s="119" t="s">
        <v>55</v>
      </c>
      <c r="H50" s="120">
        <f>Utilidad!B47</f>
        <v>285453.74222000001</v>
      </c>
      <c r="I50" s="121">
        <f>IF(Utilidad!$D$46&gt;1,Utilidad!D47/100,Utilidad!D47)</f>
        <v>0.38879317851000006</v>
      </c>
      <c r="J50" s="121">
        <f>IF(Utilidad!$F$46&gt;1,Utilidad!F47/100,Utilidad!F47)</f>
        <v>0.35975566880000004</v>
      </c>
      <c r="L50" s="122">
        <f t="shared" si="7"/>
        <v>1.1813166052863894E-2</v>
      </c>
      <c r="M50" s="122">
        <f t="shared" si="8"/>
        <v>1.6984510881506897E-2</v>
      </c>
      <c r="N50" s="122">
        <f t="shared" si="9"/>
        <v>5.4692667253005055E-2</v>
      </c>
      <c r="P50" s="121">
        <f t="shared" si="10"/>
        <v>1.1813166052863894E-2</v>
      </c>
      <c r="Q50" s="121">
        <f t="shared" si="11"/>
        <v>1.6984510881506897E-2</v>
      </c>
      <c r="R50" s="121">
        <f t="shared" si="12"/>
        <v>5.4692667253005055E-2</v>
      </c>
      <c r="T50" s="123" t="str">
        <f t="shared" si="13"/>
        <v>SI</v>
      </c>
    </row>
    <row r="51" spans="2:20" ht="21" x14ac:dyDescent="0.25">
      <c r="B51" s="119" t="s">
        <v>56</v>
      </c>
      <c r="C51" s="120">
        <f>Utilidad!A48</f>
        <v>69078</v>
      </c>
      <c r="D51" s="121">
        <f>IF(Utilidad!C$46&gt;1,Utilidad!C48/100,Utilidad!C48)</f>
        <v>6.2400000000000004E-2</v>
      </c>
      <c r="E51" s="121">
        <f>IF(Utilidad!$E$46&gt;1,Utilidad!E48/100,Utilidad!E48)</f>
        <v>3.8E-3</v>
      </c>
      <c r="G51" s="119" t="s">
        <v>56</v>
      </c>
      <c r="H51" s="120">
        <f>Utilidad!B48</f>
        <v>63723.153369</v>
      </c>
      <c r="I51" s="121">
        <f>IF(Utilidad!$D$46&gt;1,Utilidad!D48/100,Utilidad!D48)</f>
        <v>5.4912000000000002E-2</v>
      </c>
      <c r="J51" s="121">
        <f>IF(Utilidad!$F$46&gt;1,Utilidad!F48/100,Utilidad!F48)</f>
        <v>4.0845177729000003E-3</v>
      </c>
      <c r="L51" s="122">
        <f t="shared" si="7"/>
        <v>-7.7518842916702857E-2</v>
      </c>
      <c r="M51" s="122">
        <f t="shared" si="8"/>
        <v>-0.12000000000000002</v>
      </c>
      <c r="N51" s="122">
        <f t="shared" si="9"/>
        <v>7.4873098131579024E-2</v>
      </c>
      <c r="P51" s="121">
        <f t="shared" si="10"/>
        <v>7.7518842916702857E-2</v>
      </c>
      <c r="Q51" s="121">
        <f t="shared" si="11"/>
        <v>0.12000000000000002</v>
      </c>
      <c r="R51" s="121">
        <f t="shared" si="12"/>
        <v>7.4873098131579024E-2</v>
      </c>
      <c r="T51" s="123" t="str">
        <f t="shared" si="13"/>
        <v>SI</v>
      </c>
    </row>
    <row r="52" spans="2:20" ht="21" x14ac:dyDescent="0.25">
      <c r="B52" s="119" t="s">
        <v>57</v>
      </c>
      <c r="C52" s="120">
        <f>Utilidad!A49</f>
        <v>213043</v>
      </c>
      <c r="D52" s="121">
        <f>IF(Utilidad!C$46&gt;1,Utilidad!C49/100,Utilidad!C49)</f>
        <v>0.48609999999999998</v>
      </c>
      <c r="E52" s="121">
        <f>IF(Utilidad!$E$46&gt;1,Utilidad!E49/100,Utilidad!E49)</f>
        <v>0.47139999999999999</v>
      </c>
      <c r="G52" s="119" t="s">
        <v>57</v>
      </c>
      <c r="H52" s="120">
        <f>Utilidad!B49</f>
        <v>221730.58885</v>
      </c>
      <c r="I52" s="121">
        <f>IF(Utilidad!$D$46&gt;1,Utilidad!D49/100,Utilidad!D49)</f>
        <v>0.48474728956000002</v>
      </c>
      <c r="J52" s="121">
        <f>IF(Utilidad!$F$46&gt;1,Utilidad!F49/100,Utilidad!F49)</f>
        <v>0.46197200000000005</v>
      </c>
      <c r="L52" s="122">
        <f t="shared" si="7"/>
        <v>4.0778569819238372E-2</v>
      </c>
      <c r="M52" s="122">
        <f t="shared" si="8"/>
        <v>-2.7827822258793666E-3</v>
      </c>
      <c r="N52" s="122">
        <f t="shared" si="9"/>
        <v>-1.9999999999999865E-2</v>
      </c>
      <c r="P52" s="121">
        <f t="shared" si="10"/>
        <v>4.0778569819238372E-2</v>
      </c>
      <c r="Q52" s="121">
        <f t="shared" si="11"/>
        <v>2.7827822258793666E-3</v>
      </c>
      <c r="R52" s="121">
        <f t="shared" si="12"/>
        <v>1.9999999999999865E-2</v>
      </c>
      <c r="T52" s="123" t="str">
        <f t="shared" si="13"/>
        <v>SI</v>
      </c>
    </row>
    <row r="53" spans="2:20" ht="21" x14ac:dyDescent="0.25">
      <c r="B53" s="119" t="s">
        <v>58</v>
      </c>
      <c r="C53" s="120">
        <f>Utilidad!A50</f>
        <v>50421</v>
      </c>
      <c r="D53" s="121">
        <f>IF(Utilidad!C$46&gt;1,Utilidad!C50/100,Utilidad!C50)</f>
        <v>6.5199999999999994E-2</v>
      </c>
      <c r="E53" s="121">
        <f>IF(Utilidad!$E$46&gt;1,Utilidad!E50/100,Utilidad!E50)</f>
        <v>8.6999999999999994E-3</v>
      </c>
      <c r="G53" s="119" t="s">
        <v>58</v>
      </c>
      <c r="H53" s="120">
        <f>Utilidad!B50</f>
        <v>50012.979618999998</v>
      </c>
      <c r="I53" s="121">
        <f>IF(Utilidad!$D$46&gt;1,Utilidad!D50/100,Utilidad!D50)</f>
        <v>5.7375999999999996E-2</v>
      </c>
      <c r="J53" s="121">
        <f>IF(Utilidad!$F$46&gt;1,Utilidad!F50/100,Utilidad!F50)</f>
        <v>9.7440000000000009E-3</v>
      </c>
      <c r="L53" s="122">
        <f t="shared" si="7"/>
        <v>-8.0922707007001458E-3</v>
      </c>
      <c r="M53" s="122">
        <f t="shared" si="8"/>
        <v>-0.11999999999999997</v>
      </c>
      <c r="N53" s="122">
        <f t="shared" si="9"/>
        <v>0.12000000000000019</v>
      </c>
      <c r="P53" s="121">
        <f t="shared" si="10"/>
        <v>8.0922707007001458E-3</v>
      </c>
      <c r="Q53" s="121">
        <f t="shared" si="11"/>
        <v>0.11999999999999997</v>
      </c>
      <c r="R53" s="121">
        <f t="shared" si="12"/>
        <v>0.12000000000000019</v>
      </c>
      <c r="T53" s="123" t="str">
        <f t="shared" si="13"/>
        <v>SI</v>
      </c>
    </row>
    <row r="54" spans="2:20" ht="21" x14ac:dyDescent="0.25">
      <c r="B54" s="119" t="s">
        <v>59</v>
      </c>
      <c r="C54" s="120">
        <f>Utilidad!A51</f>
        <v>162622</v>
      </c>
      <c r="D54" s="121">
        <f>IF(Utilidad!C$46&gt;1,Utilidad!C51/100,Utilidad!C51)</f>
        <v>0.61649999999999994</v>
      </c>
      <c r="E54" s="121">
        <f>IF(Utilidad!$E$46&gt;1,Utilidad!E51/100,Utilidad!E51)</f>
        <v>0.60580000000000001</v>
      </c>
      <c r="G54" s="119" t="s">
        <v>59</v>
      </c>
      <c r="H54" s="120">
        <f>Utilidad!B51</f>
        <v>171717.60923</v>
      </c>
      <c r="I54" s="121">
        <f>IF(Utilidad!$D$46&gt;1,Utilidad!D51/100,Utilidad!D51)</f>
        <v>0.60921973994</v>
      </c>
      <c r="J54" s="121">
        <f>IF(Utilidad!$F$46&gt;1,Utilidad!F51/100,Utilidad!F51)</f>
        <v>0.59368399999999999</v>
      </c>
      <c r="L54" s="122">
        <f t="shared" si="7"/>
        <v>5.5930988611626972E-2</v>
      </c>
      <c r="M54" s="122">
        <f t="shared" si="8"/>
        <v>-1.1809018751013679E-2</v>
      </c>
      <c r="N54" s="122">
        <f t="shared" si="9"/>
        <v>-2.0000000000000025E-2</v>
      </c>
      <c r="O54" s="124"/>
      <c r="P54" s="121">
        <f t="shared" si="10"/>
        <v>5.5930988611626972E-2</v>
      </c>
      <c r="Q54" s="121">
        <f t="shared" si="11"/>
        <v>1.1809018751013679E-2</v>
      </c>
      <c r="R54" s="121">
        <f t="shared" si="12"/>
        <v>2.0000000000000025E-2</v>
      </c>
      <c r="T54" s="123" t="str">
        <f t="shared" si="13"/>
        <v>SI</v>
      </c>
    </row>
    <row r="55" spans="2:20" ht="21" x14ac:dyDescent="0.25">
      <c r="B55" s="119" t="s">
        <v>60</v>
      </c>
      <c r="C55" s="120">
        <f>Utilidad!A52</f>
        <v>5463</v>
      </c>
      <c r="D55" s="121">
        <f>IF(Utilidad!C$46&gt;1,Utilidad!C52/100,Utilidad!C52)</f>
        <v>8.9499999999999996E-2</v>
      </c>
      <c r="E55" s="121">
        <f>IF(Utilidad!$E$46&gt;1,Utilidad!E52/100,Utilidad!E52)</f>
        <v>3.1600000000000003E-2</v>
      </c>
      <c r="G55" s="119" t="s">
        <v>60</v>
      </c>
      <c r="H55" s="120">
        <f>Utilidad!B52</f>
        <v>2119.4037752999998</v>
      </c>
      <c r="I55" s="121">
        <f>IF(Utilidad!$D$46&gt;1,Utilidad!D52/100,Utilidad!D52)</f>
        <v>8.6177368921999994E-2</v>
      </c>
      <c r="J55" s="121">
        <f>IF(Utilidad!$F$46&gt;1,Utilidad!F52/100,Utilidad!F52)</f>
        <v>3.2680413365000001E-2</v>
      </c>
      <c r="L55" s="122">
        <f t="shared" si="7"/>
        <v>-0.61204397303679303</v>
      </c>
      <c r="M55" s="122">
        <f t="shared" si="8"/>
        <v>-3.7124369586592203E-2</v>
      </c>
      <c r="N55" s="122">
        <f t="shared" si="9"/>
        <v>3.4190296360759417E-2</v>
      </c>
      <c r="O55" s="37"/>
      <c r="P55" s="121">
        <f t="shared" si="10"/>
        <v>0.61204397303679303</v>
      </c>
      <c r="Q55" s="121">
        <f t="shared" si="11"/>
        <v>3.7124369586592203E-2</v>
      </c>
      <c r="R55" s="121">
        <f t="shared" si="12"/>
        <v>3.4190296360759417E-2</v>
      </c>
      <c r="T55" s="123" t="str">
        <f t="shared" si="13"/>
        <v>SI</v>
      </c>
    </row>
    <row r="56" spans="2:20" ht="21" x14ac:dyDescent="0.25">
      <c r="B56" s="119" t="s">
        <v>61</v>
      </c>
      <c r="C56" s="120">
        <f>Utilidad!A53</f>
        <v>157158</v>
      </c>
      <c r="D56" s="121">
        <f>IF(Utilidad!C$46&gt;1,Utilidad!C53/100,Utilidad!C53)</f>
        <v>0.63479999999999992</v>
      </c>
      <c r="E56" s="121">
        <f>IF(Utilidad!$E$46&gt;1,Utilidad!E53/100,Utilidad!E53)</f>
        <v>0.62570000000000003</v>
      </c>
      <c r="G56" s="119" t="s">
        <v>61</v>
      </c>
      <c r="H56" s="120">
        <f>Utilidad!B53</f>
        <v>169598.20546</v>
      </c>
      <c r="I56" s="121">
        <f>IF(Utilidad!$D$46&gt;1,Utilidad!D53/100,Utilidad!D53)</f>
        <v>0.61575599999999997</v>
      </c>
      <c r="J56" s="121">
        <f>IF(Utilidad!$F$46&gt;1,Utilidad!F53/100,Utilidad!F53)</f>
        <v>0.60069464682000007</v>
      </c>
      <c r="L56" s="122">
        <f t="shared" si="7"/>
        <v>7.9157315949553941E-2</v>
      </c>
      <c r="M56" s="122">
        <f t="shared" si="8"/>
        <v>-2.9999999999999926E-2</v>
      </c>
      <c r="N56" s="122">
        <f t="shared" si="9"/>
        <v>-3.9963805625699164E-2</v>
      </c>
      <c r="O56" s="125"/>
      <c r="P56" s="121">
        <f t="shared" si="10"/>
        <v>7.9157315949553941E-2</v>
      </c>
      <c r="Q56" s="121">
        <f t="shared" si="11"/>
        <v>2.9999999999999926E-2</v>
      </c>
      <c r="R56" s="121">
        <f t="shared" si="12"/>
        <v>3.9963805625699164E-2</v>
      </c>
      <c r="T56" s="123" t="str">
        <f t="shared" si="13"/>
        <v>SI</v>
      </c>
    </row>
    <row r="57" spans="2:20" ht="21" x14ac:dyDescent="0.25">
      <c r="B57" s="119" t="s">
        <v>62</v>
      </c>
      <c r="C57" s="120">
        <f>Utilidad!A54</f>
        <v>32338</v>
      </c>
      <c r="D57" s="121">
        <f>IF(Utilidad!C$46&gt;1,Utilidad!C54/100,Utilidad!C54)</f>
        <v>0.55559999999999998</v>
      </c>
      <c r="E57" s="121">
        <f>IF(Utilidad!$E$46&gt;1,Utilidad!E54/100,Utilidad!E54)</f>
        <v>0.47740000000000005</v>
      </c>
      <c r="G57" s="119" t="s">
        <v>62</v>
      </c>
      <c r="H57" s="120">
        <f>Utilidad!B54</f>
        <v>81933.205455000003</v>
      </c>
      <c r="I57" s="121">
        <f>IF(Utilidad!$D$46&gt;1,Utilidad!D54/100,Utilidad!D54)</f>
        <v>0.57194768393999995</v>
      </c>
      <c r="J57" s="121">
        <f>IF(Utilidad!$F$46&gt;1,Utilidad!F54/100,Utilidad!F54)</f>
        <v>0.54901</v>
      </c>
      <c r="L57" s="122">
        <f t="shared" si="7"/>
        <v>1.5336509819716744</v>
      </c>
      <c r="M57" s="122">
        <f t="shared" si="8"/>
        <v>2.9423477213822838E-2</v>
      </c>
      <c r="N57" s="122">
        <f t="shared" si="9"/>
        <v>0.14999999999999988</v>
      </c>
      <c r="P57" s="121">
        <f t="shared" si="10"/>
        <v>1.5336509819716744</v>
      </c>
      <c r="Q57" s="121">
        <f t="shared" si="11"/>
        <v>2.9423477213822838E-2</v>
      </c>
      <c r="R57" s="121">
        <f t="shared" si="12"/>
        <v>0.14999999999999988</v>
      </c>
      <c r="T57" s="123" t="str">
        <f t="shared" si="13"/>
        <v>SI</v>
      </c>
    </row>
    <row r="58" spans="2:20" ht="21" x14ac:dyDescent="0.25">
      <c r="B58" s="119" t="s">
        <v>63</v>
      </c>
      <c r="C58" s="120">
        <f>Utilidad!A55</f>
        <v>123659</v>
      </c>
      <c r="D58" s="121">
        <f>IF(Utilidad!C$46&gt;1,Utilidad!C55/100,Utilidad!C55)</f>
        <v>0.65540000000000009</v>
      </c>
      <c r="E58" s="121">
        <f>IF(Utilidad!$E$46&gt;1,Utilidad!E55/100,Utilidad!E55)</f>
        <v>0.64769999999999994</v>
      </c>
      <c r="G58" s="119" t="s">
        <v>63</v>
      </c>
      <c r="H58" s="120">
        <f>Utilidad!B55</f>
        <v>88829.063989999995</v>
      </c>
      <c r="I58" s="121">
        <f>IF(Utilidad!$D$46&gt;1,Utilidad!D55/100,Utilidad!D55)</f>
        <v>0.65538078753999995</v>
      </c>
      <c r="J58" s="121">
        <f>IF(Utilidad!$F$46&gt;1,Utilidad!F55/100,Utilidad!F55)</f>
        <v>0.64675357070999995</v>
      </c>
      <c r="L58" s="122">
        <f t="shared" si="7"/>
        <v>-0.28166114888524091</v>
      </c>
      <c r="M58" s="122">
        <f t="shared" si="8"/>
        <v>-2.9314098260817456E-5</v>
      </c>
      <c r="N58" s="122">
        <f t="shared" si="9"/>
        <v>-1.4612155164427899E-3</v>
      </c>
      <c r="P58" s="121">
        <f t="shared" si="10"/>
        <v>0.28166114888524091</v>
      </c>
      <c r="Q58" s="121">
        <f t="shared" si="11"/>
        <v>2.9314098260817456E-5</v>
      </c>
      <c r="R58" s="121">
        <f t="shared" si="12"/>
        <v>1.4612155164427899E-3</v>
      </c>
      <c r="T58" s="123" t="str">
        <f t="shared" si="13"/>
        <v>SI</v>
      </c>
    </row>
    <row r="59" spans="2:20" ht="21" x14ac:dyDescent="0.25">
      <c r="B59" s="119" t="s">
        <v>64</v>
      </c>
      <c r="C59" s="120">
        <f>Utilidad!A56</f>
        <v>1161</v>
      </c>
      <c r="D59" s="121">
        <f>IF(Utilidad!C$46&gt;1,Utilidad!C56/100,Utilidad!C56)</f>
        <v>0.55620000000000003</v>
      </c>
      <c r="E59" s="121">
        <f>IF(Utilidad!$E$46&gt;1,Utilidad!E56/100,Utilidad!E56)</f>
        <v>0.47749999999999998</v>
      </c>
      <c r="G59" s="119" t="s">
        <v>64</v>
      </c>
      <c r="H59" s="120">
        <f>Utilidad!B56</f>
        <v>1164.0639900000001</v>
      </c>
      <c r="I59" s="121">
        <f>IF(Utilidad!$D$46&gt;1,Utilidad!D56/100,Utilidad!D56)</f>
        <v>0.55603164372000002</v>
      </c>
      <c r="J59" s="121">
        <f>IF(Utilidad!$F$46&gt;1,Utilidad!F56/100,Utilidad!F56)</f>
        <v>0.47757625255999997</v>
      </c>
      <c r="L59" s="122">
        <f t="shared" si="7"/>
        <v>2.6390956072352314E-3</v>
      </c>
      <c r="M59" s="122">
        <f t="shared" si="8"/>
        <v>-3.0269018338727758E-4</v>
      </c>
      <c r="N59" s="122">
        <f t="shared" si="9"/>
        <v>1.5969122513086848E-4</v>
      </c>
      <c r="O59" s="126"/>
      <c r="P59" s="121">
        <f t="shared" si="10"/>
        <v>2.6390956072352314E-3</v>
      </c>
      <c r="Q59" s="121">
        <f t="shared" si="11"/>
        <v>3.0269018338727758E-4</v>
      </c>
      <c r="R59" s="121">
        <f t="shared" si="12"/>
        <v>1.5969122513086848E-4</v>
      </c>
      <c r="T59" s="123" t="str">
        <f t="shared" si="13"/>
        <v>SI</v>
      </c>
    </row>
    <row r="60" spans="2:20" ht="21" x14ac:dyDescent="0.25">
      <c r="B60" s="119" t="s">
        <v>65</v>
      </c>
      <c r="C60" s="120">
        <f>Utilidad!A57</f>
        <v>0</v>
      </c>
      <c r="D60" s="121">
        <f>IF(Utilidad!C$46&gt;1,Utilidad!C57/100,Utilidad!C57)</f>
        <v>0</v>
      </c>
      <c r="E60" s="121">
        <f>IF(Utilidad!$E$46&gt;1,Utilidad!E57/100,Utilidad!E57)</f>
        <v>0</v>
      </c>
      <c r="G60" s="119" t="s">
        <v>65</v>
      </c>
      <c r="H60" s="120">
        <f>Utilidad!B57</f>
        <v>0</v>
      </c>
      <c r="I60" s="121">
        <f>IF(Utilidad!$D$46&gt;1,Utilidad!D57/100,Utilidad!D57)</f>
        <v>0</v>
      </c>
      <c r="J60" s="121">
        <f>IF(Utilidad!$F$46&gt;1,Utilidad!F57/100,Utilidad!F57)</f>
        <v>0</v>
      </c>
      <c r="L60" s="122">
        <f t="shared" si="7"/>
        <v>0</v>
      </c>
      <c r="M60" s="122">
        <f t="shared" si="8"/>
        <v>0</v>
      </c>
      <c r="N60" s="122">
        <f t="shared" si="9"/>
        <v>0</v>
      </c>
      <c r="O60" s="126"/>
      <c r="P60" s="121">
        <f t="shared" si="10"/>
        <v>0</v>
      </c>
      <c r="Q60" s="121">
        <f t="shared" si="11"/>
        <v>0</v>
      </c>
      <c r="R60" s="121">
        <f t="shared" si="12"/>
        <v>0</v>
      </c>
      <c r="T60" s="123" t="str">
        <f t="shared" si="13"/>
        <v>SI</v>
      </c>
    </row>
    <row r="61" spans="2:20" ht="21" x14ac:dyDescent="0.25">
      <c r="B61" s="119" t="s">
        <v>66</v>
      </c>
      <c r="C61" s="120">
        <f>Utilidad!A58</f>
        <v>87665</v>
      </c>
      <c r="D61" s="121">
        <f>IF(Utilidad!C$46&gt;1,Utilidad!C58/100,Utilidad!C58)</f>
        <v>0.65670000000000006</v>
      </c>
      <c r="E61" s="121">
        <f>IF(Utilidad!$E$46&gt;1,Utilidad!E58/100,Utilidad!E58)</f>
        <v>0.64900000000000002</v>
      </c>
      <c r="G61" s="119" t="s">
        <v>66</v>
      </c>
      <c r="H61" s="120">
        <f>Utilidad!B58</f>
        <v>87665</v>
      </c>
      <c r="I61" s="121">
        <f>IF(Utilidad!$D$46&gt;1,Utilidad!D58/100,Utilidad!D58)</f>
        <v>0.65670000000000006</v>
      </c>
      <c r="J61" s="121">
        <f>IF(Utilidad!$F$46&gt;1,Utilidad!F58/100,Utilidad!F58)</f>
        <v>0.64900000000000002</v>
      </c>
      <c r="L61" s="122">
        <f t="shared" si="7"/>
        <v>0</v>
      </c>
      <c r="M61" s="122">
        <f t="shared" si="8"/>
        <v>0</v>
      </c>
      <c r="N61" s="122">
        <f t="shared" si="9"/>
        <v>0</v>
      </c>
      <c r="P61" s="121">
        <f t="shared" si="10"/>
        <v>0</v>
      </c>
      <c r="Q61" s="121">
        <f t="shared" si="11"/>
        <v>0</v>
      </c>
      <c r="R61" s="121">
        <f t="shared" si="12"/>
        <v>0</v>
      </c>
      <c r="T61" s="123" t="str">
        <f t="shared" si="13"/>
        <v>SI</v>
      </c>
    </row>
    <row r="62" spans="2:20" ht="21" x14ac:dyDescent="0.25">
      <c r="B62" s="119" t="s">
        <v>67</v>
      </c>
      <c r="C62" s="120">
        <f>Utilidad!A59</f>
        <v>1175005</v>
      </c>
      <c r="D62" s="121">
        <f>IF(Utilidad!C$46&gt;1,Utilidad!C59/100,Utilidad!C59)</f>
        <v>7.9000000000000001E-2</v>
      </c>
      <c r="E62" s="121">
        <f>IF(Utilidad!$E$46&gt;1,Utilidad!E59/100,Utilidad!E59)</f>
        <v>1.6399999999999998E-2</v>
      </c>
      <c r="G62" s="119" t="s">
        <v>67</v>
      </c>
      <c r="H62" s="120">
        <f>Utilidad!B59</f>
        <v>1210937.9350000001</v>
      </c>
      <c r="I62" s="121">
        <f>IF(Utilidad!$D$46&gt;1,Utilidad!D59/100,Utilidad!D59)</f>
        <v>9.5342700787000009E-2</v>
      </c>
      <c r="J62" s="121">
        <f>IF(Utilidad!$F$46&gt;1,Utilidad!F59/100,Utilidad!F59)</f>
        <v>4.0979052586E-2</v>
      </c>
      <c r="L62" s="122">
        <f t="shared" si="7"/>
        <v>3.0581091144293051E-2</v>
      </c>
      <c r="M62" s="122">
        <f t="shared" si="8"/>
        <v>0.20686963021518998</v>
      </c>
      <c r="N62" s="122">
        <f t="shared" si="9"/>
        <v>1.498722718658537</v>
      </c>
      <c r="P62" s="121">
        <f t="shared" si="10"/>
        <v>3.0581091144293051E-2</v>
      </c>
      <c r="Q62" s="121">
        <f t="shared" si="11"/>
        <v>0.20686963021518998</v>
      </c>
      <c r="R62" s="121">
        <f t="shared" si="12"/>
        <v>1.498722718658537</v>
      </c>
      <c r="T62" s="123" t="str">
        <f t="shared" si="13"/>
        <v>SI</v>
      </c>
    </row>
    <row r="63" spans="2:20" ht="21" x14ac:dyDescent="0.25">
      <c r="B63" s="119" t="s">
        <v>68</v>
      </c>
      <c r="C63" s="120">
        <f>Utilidad!A60</f>
        <v>0</v>
      </c>
      <c r="D63" s="121">
        <f>IF(Utilidad!C$46&gt;1,Utilidad!C60/100,Utilidad!C60)</f>
        <v>0</v>
      </c>
      <c r="E63" s="121">
        <f>IF(Utilidad!$E$46&gt;1,Utilidad!E60/100,Utilidad!E60)</f>
        <v>0</v>
      </c>
      <c r="G63" s="119" t="s">
        <v>68</v>
      </c>
      <c r="H63" s="120">
        <f>Utilidad!B60</f>
        <v>0</v>
      </c>
      <c r="I63" s="121">
        <f>IF(Utilidad!$D$46&gt;1,Utilidad!D60/100,Utilidad!D60)</f>
        <v>0</v>
      </c>
      <c r="J63" s="121">
        <f>IF(Utilidad!$F$46&gt;1,Utilidad!F60/100,Utilidad!F60)</f>
        <v>0</v>
      </c>
      <c r="L63" s="122">
        <f t="shared" si="7"/>
        <v>0</v>
      </c>
      <c r="M63" s="122">
        <f t="shared" si="8"/>
        <v>0</v>
      </c>
      <c r="N63" s="122">
        <f t="shared" si="9"/>
        <v>0</v>
      </c>
      <c r="P63" s="121">
        <f t="shared" si="10"/>
        <v>0</v>
      </c>
      <c r="Q63" s="121">
        <f t="shared" si="11"/>
        <v>0</v>
      </c>
      <c r="R63" s="121">
        <f t="shared" si="12"/>
        <v>0</v>
      </c>
      <c r="T63" s="123" t="str">
        <f t="shared" si="13"/>
        <v>SI</v>
      </c>
    </row>
    <row r="64" spans="2:20" ht="21" x14ac:dyDescent="0.25">
      <c r="B64" s="119" t="s">
        <v>69</v>
      </c>
      <c r="C64" s="120">
        <f>Utilidad!A61</f>
        <v>0</v>
      </c>
      <c r="D64" s="121">
        <f>IF(Utilidad!C$46&gt;1,Utilidad!C61/100,Utilidad!C61)</f>
        <v>0</v>
      </c>
      <c r="E64" s="121">
        <f>IF(Utilidad!$E$46&gt;1,Utilidad!E61/100,Utilidad!E61)</f>
        <v>0</v>
      </c>
      <c r="G64" s="119" t="s">
        <v>69</v>
      </c>
      <c r="H64" s="120">
        <f>Utilidad!B61</f>
        <v>0</v>
      </c>
      <c r="I64" s="121">
        <f>IF(Utilidad!$D$46&gt;1,Utilidad!D61/100,Utilidad!D61)</f>
        <v>0</v>
      </c>
      <c r="J64" s="121">
        <f>IF(Utilidad!$F$46&gt;1,Utilidad!F61/100,Utilidad!F61)</f>
        <v>0</v>
      </c>
      <c r="L64" s="122">
        <f t="shared" si="7"/>
        <v>0</v>
      </c>
      <c r="M64" s="122">
        <f t="shared" si="8"/>
        <v>0</v>
      </c>
      <c r="N64" s="122">
        <f t="shared" si="9"/>
        <v>0</v>
      </c>
      <c r="P64" s="121">
        <f t="shared" si="10"/>
        <v>0</v>
      </c>
      <c r="Q64" s="121">
        <f t="shared" si="11"/>
        <v>0</v>
      </c>
      <c r="R64" s="121">
        <f t="shared" si="12"/>
        <v>0</v>
      </c>
      <c r="T64" s="123" t="str">
        <f t="shared" si="13"/>
        <v>SI</v>
      </c>
    </row>
    <row r="65" spans="2:20" ht="21" x14ac:dyDescent="0.25">
      <c r="B65" s="119" t="s">
        <v>70</v>
      </c>
      <c r="C65" s="120">
        <f>Utilidad!A62</f>
        <v>268548</v>
      </c>
      <c r="D65" s="121">
        <f>IF(Utilidad!C$46&gt;1,Utilidad!C62/100,Utilidad!C62)</f>
        <v>0.38819999999999999</v>
      </c>
      <c r="E65" s="121">
        <f>IF(Utilidad!$E$46&gt;1,Utilidad!E62/100,Utilidad!E62)</f>
        <v>0.35899999999999999</v>
      </c>
      <c r="G65" s="119" t="s">
        <v>70</v>
      </c>
      <c r="H65" s="120">
        <f>Utilidad!B62</f>
        <v>273102.80722000002</v>
      </c>
      <c r="I65" s="121">
        <f>IF(Utilidad!$D$46&gt;1,Utilidad!D62/100,Utilidad!D62)</f>
        <v>0.380436</v>
      </c>
      <c r="J65" s="121">
        <f>IF(Utilidad!$F$46&gt;1,Utilidad!F62/100,Utilidad!F62)</f>
        <v>0.35193284994000001</v>
      </c>
      <c r="L65" s="122">
        <f t="shared" si="7"/>
        <v>1.6960868150200401E-2</v>
      </c>
      <c r="M65" s="122">
        <f t="shared" si="8"/>
        <v>-1.9999999999999983E-2</v>
      </c>
      <c r="N65" s="122">
        <f t="shared" si="9"/>
        <v>-1.9685654763231118E-2</v>
      </c>
      <c r="O65" s="127"/>
      <c r="P65" s="121">
        <f t="shared" si="10"/>
        <v>1.6960868150200401E-2</v>
      </c>
      <c r="Q65" s="121">
        <f t="shared" si="11"/>
        <v>1.9999999999999983E-2</v>
      </c>
      <c r="R65" s="121">
        <f t="shared" si="12"/>
        <v>1.9685654763231118E-2</v>
      </c>
      <c r="T65" s="123" t="str">
        <f t="shared" si="13"/>
        <v>SI</v>
      </c>
    </row>
    <row r="70" spans="2:20" x14ac:dyDescent="0.2">
      <c r="B70" s="128" t="s">
        <v>107</v>
      </c>
      <c r="C70" s="129" t="s">
        <v>108</v>
      </c>
      <c r="D70" s="130" t="s">
        <v>109</v>
      </c>
      <c r="E70" s="129" t="s">
        <v>110</v>
      </c>
      <c r="F70" s="129" t="s">
        <v>111</v>
      </c>
      <c r="G70" s="129" t="s">
        <v>112</v>
      </c>
      <c r="H70" s="129" t="s">
        <v>113</v>
      </c>
      <c r="I70" s="129" t="s">
        <v>114</v>
      </c>
      <c r="J70" s="129" t="s">
        <v>115</v>
      </c>
    </row>
    <row r="71" spans="2:20" x14ac:dyDescent="0.2">
      <c r="B71" s="131" t="s">
        <v>116</v>
      </c>
      <c r="C71" s="132">
        <f>+I43</f>
        <v>0.12900999999999999</v>
      </c>
      <c r="D71" s="132">
        <f>+C72</f>
        <v>0.30845345072000002</v>
      </c>
      <c r="E71" s="132">
        <f>+I50</f>
        <v>0.38879317851000006</v>
      </c>
      <c r="F71" s="132">
        <f>E72</f>
        <v>0.48474728956000002</v>
      </c>
      <c r="G71" s="132">
        <f>F72</f>
        <v>0.60921973994</v>
      </c>
      <c r="H71" s="132">
        <f>+F72</f>
        <v>0.60921973994</v>
      </c>
      <c r="I71" s="132">
        <f>+H72</f>
        <v>0.65538078753999995</v>
      </c>
      <c r="J71" s="133"/>
    </row>
    <row r="72" spans="2:20" x14ac:dyDescent="0.2">
      <c r="B72" s="131" t="s">
        <v>117</v>
      </c>
      <c r="C72" s="132">
        <f>+I45</f>
        <v>0.30845345072000002</v>
      </c>
      <c r="D72" s="132">
        <f>+I47</f>
        <v>0.380436</v>
      </c>
      <c r="E72" s="132">
        <f>+I52</f>
        <v>0.48474728956000002</v>
      </c>
      <c r="F72" s="132">
        <f>+I54</f>
        <v>0.60921973994</v>
      </c>
      <c r="G72" s="132">
        <f>+I56</f>
        <v>0.61575599999999997</v>
      </c>
      <c r="H72" s="132">
        <f>+I58</f>
        <v>0.65538078753999995</v>
      </c>
      <c r="I72" s="132">
        <f>+I61</f>
        <v>0.65670000000000006</v>
      </c>
      <c r="J72" s="134"/>
    </row>
    <row r="73" spans="2:20" x14ac:dyDescent="0.2">
      <c r="B73" s="135" t="s">
        <v>29</v>
      </c>
      <c r="C73" s="136">
        <f>+I44</f>
        <v>6.0500690777000002E-2</v>
      </c>
      <c r="D73" s="136">
        <f>+I46</f>
        <v>6.9554272239000001E-2</v>
      </c>
      <c r="E73" s="136">
        <f>+I51</f>
        <v>5.4912000000000002E-2</v>
      </c>
      <c r="F73" s="136">
        <f>+I53</f>
        <v>5.7375999999999996E-2</v>
      </c>
      <c r="G73" s="136">
        <f>+I55</f>
        <v>8.6177368921999994E-2</v>
      </c>
      <c r="H73" s="136">
        <f>+I57</f>
        <v>0.57194768393999995</v>
      </c>
      <c r="I73" s="136">
        <f>+I59</f>
        <v>0.55603164372000002</v>
      </c>
      <c r="J73" s="137"/>
    </row>
    <row r="74" spans="2:20" x14ac:dyDescent="0.2">
      <c r="B74" s="128" t="s">
        <v>118</v>
      </c>
      <c r="C74" s="138">
        <f t="shared" ref="C74:I74" si="14">+(C71-C73)/(C72-C73)*100</f>
        <v>27.629984533646272</v>
      </c>
      <c r="D74" s="138">
        <f t="shared" si="14"/>
        <v>76.845680253250904</v>
      </c>
      <c r="E74" s="138">
        <f t="shared" si="14"/>
        <v>77.676539506976454</v>
      </c>
      <c r="F74" s="138">
        <f t="shared" si="14"/>
        <v>77.444257971734274</v>
      </c>
      <c r="G74" s="138">
        <f t="shared" si="14"/>
        <v>98.765762121727818</v>
      </c>
      <c r="H74" s="138">
        <f t="shared" si="14"/>
        <v>44.672982775148803</v>
      </c>
      <c r="I74" s="138">
        <f t="shared" si="14"/>
        <v>98.68954604132918</v>
      </c>
      <c r="J74" s="138">
        <f>+C74*D74*E74*F74*H74*I74/10000000000</f>
        <v>5.6311266584466777</v>
      </c>
    </row>
    <row r="75" spans="2:20" x14ac:dyDescent="0.2">
      <c r="B75" s="128" t="s">
        <v>119</v>
      </c>
      <c r="C75" s="138">
        <f t="shared" ref="C75:I75" si="15">+(C72/C71)*C74</f>
        <v>66.061267132341868</v>
      </c>
      <c r="D75" s="138">
        <f t="shared" si="15"/>
        <v>94.778849594922619</v>
      </c>
      <c r="E75" s="138">
        <f t="shared" si="15"/>
        <v>96.847100385632473</v>
      </c>
      <c r="F75" s="138">
        <f t="shared" si="15"/>
        <v>97.3302413804346</v>
      </c>
      <c r="G75" s="138">
        <f t="shared" si="15"/>
        <v>99.825410494768533</v>
      </c>
      <c r="H75" s="138">
        <f t="shared" si="15"/>
        <v>48.057888990631447</v>
      </c>
      <c r="I75" s="138">
        <f t="shared" si="15"/>
        <v>98.888197697411684</v>
      </c>
      <c r="J75" s="138">
        <f>+C75*D75*E75*F75*H75*I75/10000000000</f>
        <v>28.048000542299498</v>
      </c>
    </row>
    <row r="77" spans="2:20" x14ac:dyDescent="0.2">
      <c r="B77" s="128" t="s">
        <v>120</v>
      </c>
      <c r="C77" s="129" t="s">
        <v>108</v>
      </c>
      <c r="D77" s="130" t="s">
        <v>109</v>
      </c>
      <c r="E77" s="129" t="s">
        <v>110</v>
      </c>
      <c r="F77" s="129" t="s">
        <v>111</v>
      </c>
      <c r="G77" s="129" t="s">
        <v>112</v>
      </c>
      <c r="H77" s="129" t="s">
        <v>113</v>
      </c>
      <c r="I77" s="129" t="s">
        <v>114</v>
      </c>
      <c r="J77" s="129" t="s">
        <v>115</v>
      </c>
    </row>
    <row r="78" spans="2:20" x14ac:dyDescent="0.2">
      <c r="B78" s="131" t="s">
        <v>116</v>
      </c>
      <c r="C78" s="132">
        <f>+J43</f>
        <v>7.7697000000000002E-2</v>
      </c>
      <c r="D78" s="132">
        <f>+C79</f>
        <v>0.27099026895</v>
      </c>
      <c r="E78" s="132">
        <f>+J50</f>
        <v>0.35975566880000004</v>
      </c>
      <c r="F78" s="132">
        <f>+E79</f>
        <v>0.46197200000000005</v>
      </c>
      <c r="G78" s="132">
        <f>+J54</f>
        <v>0.59368399999999999</v>
      </c>
      <c r="H78" s="132">
        <f>+F79</f>
        <v>0.59368399999999999</v>
      </c>
      <c r="I78" s="132">
        <f>+H79</f>
        <v>0.64675357070999995</v>
      </c>
      <c r="J78" s="133"/>
    </row>
    <row r="79" spans="2:20" x14ac:dyDescent="0.2">
      <c r="B79" s="131" t="s">
        <v>117</v>
      </c>
      <c r="C79" s="132">
        <f>+J45</f>
        <v>0.27099026895</v>
      </c>
      <c r="D79" s="132">
        <f>+J47</f>
        <v>0.35193284994000001</v>
      </c>
      <c r="E79" s="132">
        <f>+J52</f>
        <v>0.46197200000000005</v>
      </c>
      <c r="F79" s="132">
        <f>+J54</f>
        <v>0.59368399999999999</v>
      </c>
      <c r="G79" s="132">
        <f>+J56</f>
        <v>0.60069464682000007</v>
      </c>
      <c r="H79" s="132">
        <f>+J58</f>
        <v>0.64675357070999995</v>
      </c>
      <c r="I79" s="132">
        <f>+J61</f>
        <v>0.64900000000000002</v>
      </c>
      <c r="J79" s="134"/>
    </row>
    <row r="80" spans="2:20" x14ac:dyDescent="0.2">
      <c r="B80" s="135" t="s">
        <v>29</v>
      </c>
      <c r="C80" s="136">
        <f>+J44</f>
        <v>3.9000000000000003E-3</v>
      </c>
      <c r="D80" s="136">
        <f>+J46</f>
        <v>2.3541023115000001E-3</v>
      </c>
      <c r="E80" s="136">
        <f>+J51</f>
        <v>4.0845177729000003E-3</v>
      </c>
      <c r="F80" s="136">
        <f>+J53</f>
        <v>9.7440000000000009E-3</v>
      </c>
      <c r="G80" s="136">
        <f>+J55</f>
        <v>3.2680413365000001E-2</v>
      </c>
      <c r="H80" s="136">
        <f>+J57</f>
        <v>0.54901</v>
      </c>
      <c r="I80" s="136">
        <f>+J59</f>
        <v>0.47757625255999997</v>
      </c>
      <c r="J80" s="137"/>
    </row>
    <row r="81" spans="2:10" x14ac:dyDescent="0.2">
      <c r="B81" s="128" t="s">
        <v>118</v>
      </c>
      <c r="C81" s="138">
        <f t="shared" ref="C81:I81" si="16">+(C78-C80)/(C79-C80)*100</f>
        <v>27.629984532987606</v>
      </c>
      <c r="D81" s="138">
        <f t="shared" si="16"/>
        <v>76.845680253990068</v>
      </c>
      <c r="E81" s="138">
        <f t="shared" si="16"/>
        <v>77.676539506423239</v>
      </c>
      <c r="F81" s="138">
        <f t="shared" si="16"/>
        <v>77.444257971709433</v>
      </c>
      <c r="G81" s="138">
        <f t="shared" si="16"/>
        <v>98.765762122305077</v>
      </c>
      <c r="H81" s="138">
        <f t="shared" si="16"/>
        <v>45.705307955799377</v>
      </c>
      <c r="I81" s="138">
        <f t="shared" si="16"/>
        <v>98.689546038079499</v>
      </c>
      <c r="J81" s="138">
        <f>+C81*D81*E81*F81*H81*I81/10000000000</f>
        <v>5.7612534928279002</v>
      </c>
    </row>
    <row r="82" spans="2:10" x14ac:dyDescent="0.2">
      <c r="B82" s="128" t="s">
        <v>121</v>
      </c>
      <c r="C82" s="138">
        <f t="shared" ref="C82:I82" si="17">+(C79/C78)*C81</f>
        <v>96.36738792589999</v>
      </c>
      <c r="D82" s="138">
        <f t="shared" si="17"/>
        <v>99.798857583165287</v>
      </c>
      <c r="E82" s="138">
        <f t="shared" si="17"/>
        <v>99.746548618836812</v>
      </c>
      <c r="F82" s="138">
        <f t="shared" si="17"/>
        <v>99.524250062073747</v>
      </c>
      <c r="G82" s="138">
        <f t="shared" si="17"/>
        <v>99.93205913577961</v>
      </c>
      <c r="H82" s="138">
        <f t="shared" si="17"/>
        <v>49.790917593894086</v>
      </c>
      <c r="I82" s="138">
        <f t="shared" si="17"/>
        <v>99.032333611085676</v>
      </c>
      <c r="J82" s="138">
        <f>+C82*D82*E82*F82*H82*I82/10000000000</f>
        <v>47.077088002233829</v>
      </c>
    </row>
  </sheetData>
  <mergeCells count="3">
    <mergeCell ref="B2:E2"/>
    <mergeCell ref="G2:J2"/>
    <mergeCell ref="L2:N2"/>
  </mergeCells>
  <conditionalFormatting sqref="L4:N65 O56">
    <cfRule type="expression" dxfId="2" priority="2">
      <formula>ABS(L4)&gt;=10%</formula>
    </cfRule>
  </conditionalFormatting>
  <conditionalFormatting sqref="T4:T65">
    <cfRule type="containsText" dxfId="1" priority="4" operator="containsText" text="NO">
      <formula>NOT(ISERROR(SEARCH("NO",T4)))</formula>
    </cfRule>
    <cfRule type="containsText" dxfId="0" priority="5" operator="containsText" text="SI">
      <formula>NOT(ISERROR(SEARCH("SI",T4)))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view="pageBreakPreview" zoomScaleNormal="65" workbookViewId="0">
      <selection activeCell="H12" sqref="H12"/>
    </sheetView>
  </sheetViews>
  <sheetFormatPr baseColWidth="10" defaultColWidth="10.5" defaultRowHeight="15" x14ac:dyDescent="0.2"/>
  <cols>
    <col min="1" max="1" width="17.5" customWidth="1"/>
    <col min="2" max="2" width="10.83203125" style="139" customWidth="1"/>
    <col min="3" max="3" width="10.83203125" style="37" customWidth="1"/>
  </cols>
  <sheetData>
    <row r="1" spans="1:5" ht="19" x14ac:dyDescent="0.2">
      <c r="A1" s="140" t="s">
        <v>122</v>
      </c>
      <c r="B1" s="141">
        <v>163348</v>
      </c>
      <c r="C1" s="142">
        <v>0.65749999999999997</v>
      </c>
      <c r="D1" s="143">
        <v>0.64974739837070217</v>
      </c>
      <c r="E1" s="143">
        <v>0</v>
      </c>
    </row>
    <row r="2" spans="1:5" ht="19" x14ac:dyDescent="0.25">
      <c r="A2" s="140" t="s">
        <v>123</v>
      </c>
      <c r="B2" s="144">
        <v>88770</v>
      </c>
      <c r="C2" s="145">
        <v>0.65669999999999995</v>
      </c>
      <c r="D2" s="143">
        <v>0.6489568311939774</v>
      </c>
      <c r="E2" s="143"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0"/>
  <sheetViews>
    <sheetView tabSelected="1" view="pageBreakPreview" zoomScaleNormal="65" zoomScalePageLayoutView="110" workbookViewId="0">
      <selection activeCell="Q12" sqref="Q12"/>
    </sheetView>
  </sheetViews>
  <sheetFormatPr baseColWidth="10" defaultColWidth="11.5" defaultRowHeight="15" x14ac:dyDescent="0.2"/>
  <cols>
    <col min="1" max="1" width="4.1640625" customWidth="1"/>
    <col min="2" max="2" width="3.5" customWidth="1"/>
    <col min="4" max="4" width="6.83203125" customWidth="1"/>
    <col min="5" max="5" width="7.83203125" customWidth="1"/>
    <col min="7" max="7" width="9.1640625" customWidth="1"/>
    <col min="8" max="8" width="10.5" customWidth="1"/>
    <col min="9" max="9" width="9.1640625" customWidth="1"/>
    <col min="10" max="10" width="14" customWidth="1"/>
    <col min="11" max="11" width="11.83203125" customWidth="1"/>
    <col min="12" max="12" width="10.1640625" customWidth="1"/>
    <col min="13" max="13" width="10.5" customWidth="1"/>
    <col min="14" max="14" width="10.33203125" customWidth="1"/>
    <col min="15" max="15" width="3.33203125" customWidth="1"/>
    <col min="16" max="16" width="3.6640625" customWidth="1"/>
  </cols>
  <sheetData>
    <row r="1" spans="1:17" ht="12.75" customHeight="1" thickBot="1" x14ac:dyDescent="0.25">
      <c r="A1" s="181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80"/>
      <c r="O1" s="147"/>
      <c r="P1" s="180"/>
      <c r="Q1" s="174"/>
    </row>
    <row r="2" spans="1:17" ht="12.75" customHeight="1" thickBot="1" x14ac:dyDescent="0.25">
      <c r="A2" s="182"/>
      <c r="B2" s="4"/>
      <c r="C2" s="200"/>
      <c r="D2" s="203" t="s">
        <v>124</v>
      </c>
      <c r="E2" s="3"/>
      <c r="F2" s="3"/>
      <c r="G2" s="3"/>
      <c r="H2" s="3"/>
      <c r="I2" s="3"/>
      <c r="J2" s="3"/>
      <c r="K2" s="3"/>
      <c r="L2" s="3"/>
      <c r="M2" s="3"/>
      <c r="N2" s="161"/>
      <c r="O2" s="148"/>
      <c r="P2" s="161"/>
      <c r="Q2" s="174"/>
    </row>
    <row r="3" spans="1:17" ht="12.75" customHeight="1" thickBot="1" x14ac:dyDescent="0.25">
      <c r="A3" s="182"/>
      <c r="B3" s="4"/>
      <c r="C3" s="200"/>
      <c r="D3" s="204"/>
      <c r="E3" s="205"/>
      <c r="F3" s="205"/>
      <c r="G3" s="205"/>
      <c r="H3" s="205"/>
      <c r="I3" s="205"/>
      <c r="J3" s="205"/>
      <c r="K3" s="205"/>
      <c r="L3" s="205"/>
      <c r="M3" s="205"/>
      <c r="N3" s="161"/>
      <c r="O3" s="148"/>
      <c r="P3" s="161"/>
      <c r="Q3" s="174"/>
    </row>
    <row r="4" spans="1:17" ht="12.75" customHeight="1" thickBot="1" x14ac:dyDescent="0.25">
      <c r="A4" s="182"/>
      <c r="B4" s="4"/>
      <c r="C4" s="4"/>
      <c r="D4" s="201" t="s">
        <v>125</v>
      </c>
      <c r="E4" s="201"/>
      <c r="F4" s="201"/>
      <c r="G4" s="201"/>
      <c r="H4" s="201"/>
      <c r="I4" s="201"/>
      <c r="J4" s="201"/>
      <c r="K4" s="201"/>
      <c r="L4" s="202">
        <f ca="1">TODAY()</f>
        <v>45250</v>
      </c>
      <c r="M4" s="202"/>
      <c r="N4" s="161"/>
      <c r="O4" s="148"/>
      <c r="P4" s="161"/>
      <c r="Q4" s="174"/>
    </row>
    <row r="5" spans="1:17" ht="12.75" customHeight="1" thickBot="1" x14ac:dyDescent="0.25">
      <c r="A5" s="182"/>
      <c r="B5" s="4"/>
      <c r="C5" s="4"/>
      <c r="D5" s="2"/>
      <c r="E5" s="2"/>
      <c r="F5" s="2"/>
      <c r="G5" s="2"/>
      <c r="H5" s="2"/>
      <c r="I5" s="2"/>
      <c r="J5" s="2"/>
      <c r="K5" s="2"/>
      <c r="L5" s="1"/>
      <c r="M5" s="1"/>
      <c r="N5" s="161"/>
      <c r="O5" s="148"/>
      <c r="P5" s="161"/>
      <c r="Q5" s="174"/>
    </row>
    <row r="6" spans="1:17" x14ac:dyDescent="0.2">
      <c r="A6" s="183"/>
      <c r="B6" s="184"/>
      <c r="C6" s="184"/>
      <c r="D6" s="184"/>
      <c r="E6" s="184"/>
      <c r="F6" s="184"/>
      <c r="G6" s="184"/>
      <c r="H6" s="184"/>
      <c r="I6" s="184"/>
      <c r="J6" s="185"/>
      <c r="K6" s="186"/>
      <c r="L6" s="187"/>
      <c r="M6" s="187"/>
      <c r="N6" s="161"/>
      <c r="O6" s="148"/>
      <c r="P6" s="161"/>
      <c r="Q6" s="174"/>
    </row>
    <row r="7" spans="1:17" x14ac:dyDescent="0.2">
      <c r="A7" s="183"/>
      <c r="B7" s="196"/>
      <c r="C7" s="196"/>
      <c r="D7" s="196"/>
      <c r="E7" s="195" t="s">
        <v>126</v>
      </c>
      <c r="F7" s="195" t="s">
        <v>127</v>
      </c>
      <c r="G7" s="195" t="s">
        <v>128</v>
      </c>
      <c r="H7" s="195" t="s">
        <v>127</v>
      </c>
      <c r="I7" s="196"/>
      <c r="J7" s="196"/>
      <c r="K7" s="195" t="s">
        <v>126</v>
      </c>
      <c r="L7" s="195" t="s">
        <v>127</v>
      </c>
      <c r="M7" s="195" t="s">
        <v>128</v>
      </c>
      <c r="N7" s="195" t="s">
        <v>127</v>
      </c>
      <c r="O7" s="148"/>
      <c r="P7" s="161"/>
      <c r="Q7" s="174"/>
    </row>
    <row r="8" spans="1:17" x14ac:dyDescent="0.2">
      <c r="A8" s="183"/>
      <c r="B8" s="196"/>
      <c r="C8" s="196"/>
      <c r="D8" s="196"/>
      <c r="E8" s="195" t="s">
        <v>1</v>
      </c>
      <c r="F8" s="195" t="s">
        <v>129</v>
      </c>
      <c r="G8" s="195" t="s">
        <v>130</v>
      </c>
      <c r="H8" s="195" t="s">
        <v>131</v>
      </c>
      <c r="I8" s="196"/>
      <c r="J8" s="196"/>
      <c r="K8" s="195" t="s">
        <v>1</v>
      </c>
      <c r="L8" s="195" t="s">
        <v>129</v>
      </c>
      <c r="M8" s="195" t="s">
        <v>130</v>
      </c>
      <c r="N8" s="195" t="s">
        <v>131</v>
      </c>
      <c r="O8" s="148"/>
      <c r="P8" s="161"/>
      <c r="Q8" s="174"/>
    </row>
    <row r="9" spans="1:17" x14ac:dyDescent="0.2">
      <c r="A9" s="183"/>
      <c r="B9" s="197" t="s">
        <v>75</v>
      </c>
      <c r="C9" s="197"/>
      <c r="D9" s="197"/>
      <c r="E9" s="197"/>
      <c r="F9" s="197"/>
      <c r="G9" s="197"/>
      <c r="H9" s="197" t="s">
        <v>132</v>
      </c>
      <c r="I9" s="197"/>
      <c r="J9" s="197"/>
      <c r="K9" s="197"/>
      <c r="L9" s="197"/>
      <c r="M9" s="197"/>
      <c r="N9" s="197"/>
      <c r="O9" s="148"/>
      <c r="P9" s="161"/>
      <c r="Q9" s="174"/>
    </row>
    <row r="10" spans="1:17" x14ac:dyDescent="0.2">
      <c r="A10" s="183"/>
      <c r="B10" s="198" t="s">
        <v>133</v>
      </c>
      <c r="C10" s="198"/>
      <c r="D10" s="198"/>
      <c r="E10" s="199">
        <f>Flujos!H43</f>
        <v>1286252</v>
      </c>
      <c r="F10" s="149">
        <f>Flujos!I43</f>
        <v>0.12900999999999999</v>
      </c>
      <c r="G10" s="154">
        <f>E10*F10</f>
        <v>165939.37051999997</v>
      </c>
      <c r="H10" s="149">
        <f>Flujos!J43</f>
        <v>7.7697000000000002E-2</v>
      </c>
      <c r="I10" s="194" t="s">
        <v>134</v>
      </c>
      <c r="J10" s="194"/>
      <c r="K10" s="158">
        <f>Flujos!H61</f>
        <v>87665</v>
      </c>
      <c r="L10" s="159">
        <f>Flujos!I61</f>
        <v>0.65670000000000006</v>
      </c>
      <c r="M10" s="158">
        <f>+L10*K10</f>
        <v>57569.605500000005</v>
      </c>
      <c r="N10" s="159">
        <f>Flujos!J61</f>
        <v>0.64900000000000002</v>
      </c>
      <c r="O10" s="148"/>
      <c r="P10" s="161"/>
      <c r="Q10" s="174"/>
    </row>
    <row r="11" spans="1:17" x14ac:dyDescent="0.2">
      <c r="A11" s="183"/>
      <c r="B11" s="198" t="s">
        <v>6</v>
      </c>
      <c r="C11" s="198"/>
      <c r="D11" s="198"/>
      <c r="E11" s="150">
        <f>Utilidad!O70</f>
        <v>9006.74</v>
      </c>
      <c r="F11" s="149">
        <f>Flujos!I6</f>
        <v>0.59496599999999999</v>
      </c>
      <c r="G11" s="154">
        <f t="shared" ref="G11:G22" si="0">+E11*F11</f>
        <v>5358.70407084</v>
      </c>
      <c r="H11" s="151">
        <f>Flujos!J6</f>
        <v>0.55379800000000001</v>
      </c>
      <c r="I11" s="194" t="s">
        <v>123</v>
      </c>
      <c r="J11" s="194"/>
      <c r="K11" s="152">
        <f>'Datos Extra'!B2</f>
        <v>88770</v>
      </c>
      <c r="L11" s="153">
        <f>'Datos Extra'!C2</f>
        <v>0.65669999999999995</v>
      </c>
      <c r="M11" s="158">
        <f>+L11*K11</f>
        <v>58295.258999999998</v>
      </c>
      <c r="N11" s="159">
        <f>'Datos Extra'!D2</f>
        <v>0.6489568311939774</v>
      </c>
      <c r="O11" s="148"/>
      <c r="P11" s="161"/>
      <c r="Q11" s="174"/>
    </row>
    <row r="12" spans="1:17" x14ac:dyDescent="0.2">
      <c r="A12" s="188"/>
      <c r="B12" s="164" t="s">
        <v>12</v>
      </c>
      <c r="C12" s="164"/>
      <c r="D12" s="164"/>
      <c r="E12" s="150">
        <f>Utilidad!O76</f>
        <v>2267.605</v>
      </c>
      <c r="F12" s="149">
        <f>Flujos!I12</f>
        <v>0.54733199999999993</v>
      </c>
      <c r="G12" s="154">
        <f t="shared" si="0"/>
        <v>1241.1327798599998</v>
      </c>
      <c r="H12" s="151">
        <f>Flujos!J12</f>
        <v>0.50960000000000005</v>
      </c>
      <c r="I12" s="161"/>
      <c r="J12" s="161"/>
      <c r="K12" s="221"/>
      <c r="L12" s="161"/>
      <c r="M12" s="161"/>
      <c r="N12" s="161"/>
      <c r="O12" s="148"/>
      <c r="P12" s="161"/>
      <c r="Q12" s="174"/>
    </row>
    <row r="13" spans="1:17" x14ac:dyDescent="0.2">
      <c r="A13" s="188"/>
      <c r="B13" s="164" t="s">
        <v>15</v>
      </c>
      <c r="C13" s="164"/>
      <c r="D13" s="164"/>
      <c r="E13" s="150">
        <f>Utilidad!O79</f>
        <v>0</v>
      </c>
      <c r="F13" s="151">
        <f>Flujos!I15</f>
        <v>0</v>
      </c>
      <c r="G13" s="154">
        <f t="shared" si="0"/>
        <v>0</v>
      </c>
      <c r="H13" s="151">
        <f>Flujos!J15</f>
        <v>0</v>
      </c>
      <c r="I13" s="161"/>
      <c r="J13" s="161"/>
      <c r="K13" s="161"/>
      <c r="L13" s="161"/>
      <c r="M13" s="161"/>
      <c r="N13" s="161"/>
      <c r="O13" s="189"/>
      <c r="P13" s="161"/>
      <c r="Q13" s="174"/>
    </row>
    <row r="14" spans="1:17" x14ac:dyDescent="0.2">
      <c r="A14" s="188"/>
      <c r="B14" s="164" t="s">
        <v>18</v>
      </c>
      <c r="C14" s="164"/>
      <c r="D14" s="164"/>
      <c r="E14" s="150">
        <f>Utilidad!O82</f>
        <v>0</v>
      </c>
      <c r="F14" s="151">
        <f>Flujos!I18</f>
        <v>0</v>
      </c>
      <c r="G14" s="154">
        <f t="shared" si="0"/>
        <v>0</v>
      </c>
      <c r="H14" s="151">
        <f>Utilidad!Q82</f>
        <v>0</v>
      </c>
      <c r="I14" s="161"/>
      <c r="J14" s="161"/>
      <c r="K14" s="161"/>
      <c r="L14" s="161"/>
      <c r="M14" s="161"/>
      <c r="N14" s="161"/>
      <c r="O14" s="148"/>
      <c r="P14" s="161"/>
      <c r="Q14" s="174"/>
    </row>
    <row r="15" spans="1:17" x14ac:dyDescent="0.2">
      <c r="A15" s="188"/>
      <c r="B15" s="164" t="s">
        <v>135</v>
      </c>
      <c r="C15" s="164"/>
      <c r="D15" s="164"/>
      <c r="E15" s="150">
        <f>Utilidad!O85</f>
        <v>0</v>
      </c>
      <c r="F15" s="151">
        <f>Utilidad!P85</f>
        <v>0</v>
      </c>
      <c r="G15" s="154">
        <f t="shared" si="0"/>
        <v>0</v>
      </c>
      <c r="H15" s="151">
        <f>Flujos!J18</f>
        <v>0</v>
      </c>
      <c r="I15" s="161"/>
      <c r="J15" s="161"/>
      <c r="K15" s="161"/>
      <c r="L15" s="161"/>
      <c r="M15" s="161"/>
      <c r="N15" s="161"/>
      <c r="O15" s="148"/>
      <c r="P15" s="161"/>
      <c r="Q15" s="174"/>
    </row>
    <row r="16" spans="1:17" x14ac:dyDescent="0.2">
      <c r="A16" s="188"/>
      <c r="B16" s="164" t="s">
        <v>24</v>
      </c>
      <c r="C16" s="164"/>
      <c r="D16" s="164"/>
      <c r="E16" s="150">
        <f>Utilidad!O88</f>
        <v>0</v>
      </c>
      <c r="F16" s="151">
        <f>Flujos!I24</f>
        <v>0</v>
      </c>
      <c r="G16" s="154">
        <f t="shared" si="0"/>
        <v>0</v>
      </c>
      <c r="H16" s="151">
        <f>Utilidad!Q88</f>
        <v>0</v>
      </c>
      <c r="I16" s="161"/>
      <c r="J16" s="161"/>
      <c r="K16" s="161"/>
      <c r="L16" s="161"/>
      <c r="M16" s="161"/>
      <c r="N16" s="161"/>
      <c r="O16" s="148"/>
      <c r="P16" s="161"/>
      <c r="Q16" s="174"/>
    </row>
    <row r="17" spans="1:17" x14ac:dyDescent="0.2">
      <c r="A17" s="188"/>
      <c r="B17" s="164" t="s">
        <v>30</v>
      </c>
      <c r="C17" s="164"/>
      <c r="D17" s="164"/>
      <c r="E17" s="150">
        <f>Utilidad!O91</f>
        <v>0</v>
      </c>
      <c r="F17" s="151">
        <f>Utilidad!P91</f>
        <v>0</v>
      </c>
      <c r="G17" s="154">
        <f t="shared" si="0"/>
        <v>0</v>
      </c>
      <c r="H17" s="151">
        <f>Flujos!J24</f>
        <v>0</v>
      </c>
      <c r="I17" s="161"/>
      <c r="J17" s="161"/>
      <c r="K17" s="161"/>
      <c r="L17" s="161"/>
      <c r="M17" s="161"/>
      <c r="N17" s="161"/>
      <c r="O17" s="148"/>
      <c r="P17" s="161"/>
      <c r="Q17" s="174"/>
    </row>
    <row r="18" spans="1:17" x14ac:dyDescent="0.2">
      <c r="A18" s="188"/>
      <c r="B18" s="164" t="s">
        <v>9</v>
      </c>
      <c r="C18" s="164"/>
      <c r="D18" s="164"/>
      <c r="E18" s="150">
        <f>Utilidad!O73</f>
        <v>1076.5899999999999</v>
      </c>
      <c r="F18" s="151">
        <f>Flujos!I9</f>
        <v>0.45002400000000004</v>
      </c>
      <c r="G18" s="154">
        <f t="shared" si="0"/>
        <v>484.49133816</v>
      </c>
      <c r="H18" s="151">
        <f>Flujos!J9</f>
        <v>0.40523000000000003</v>
      </c>
      <c r="I18" s="161"/>
      <c r="J18" s="161"/>
      <c r="K18" s="161"/>
      <c r="L18" s="161"/>
      <c r="M18" s="161"/>
      <c r="N18" s="161"/>
      <c r="O18" s="148"/>
      <c r="P18" s="161"/>
      <c r="Q18" s="174"/>
    </row>
    <row r="19" spans="1:17" x14ac:dyDescent="0.2">
      <c r="A19" s="188"/>
      <c r="B19" s="164" t="s">
        <v>136</v>
      </c>
      <c r="C19" s="164"/>
      <c r="D19" s="164"/>
      <c r="E19" s="150">
        <f>'Diagrama Fe T'!G38</f>
        <v>0</v>
      </c>
      <c r="F19" s="151">
        <f>Flujos!I36</f>
        <v>0</v>
      </c>
      <c r="G19" s="154">
        <f t="shared" si="0"/>
        <v>0</v>
      </c>
      <c r="H19" s="151">
        <f>Flujos!J30</f>
        <v>0</v>
      </c>
      <c r="I19" s="161"/>
      <c r="J19" s="161"/>
      <c r="K19" s="161"/>
      <c r="L19" s="161"/>
      <c r="M19" s="161"/>
      <c r="N19" s="161"/>
      <c r="O19" s="148"/>
      <c r="P19" s="161"/>
      <c r="Q19" s="174"/>
    </row>
    <row r="20" spans="1:17" x14ac:dyDescent="0.2">
      <c r="A20" s="188"/>
      <c r="B20" s="164" t="s">
        <v>137</v>
      </c>
      <c r="C20" s="164"/>
      <c r="D20" s="164"/>
      <c r="E20" s="150">
        <f>'Diagrama Fe T'!G45</f>
        <v>0</v>
      </c>
      <c r="F20" s="151">
        <f>'Diagrama Fe T'!G46</f>
        <v>0</v>
      </c>
      <c r="G20" s="154">
        <f t="shared" si="0"/>
        <v>0</v>
      </c>
      <c r="H20" s="151">
        <f>Flujos!J36</f>
        <v>0</v>
      </c>
      <c r="I20" s="161"/>
      <c r="J20" s="161"/>
      <c r="K20" s="161"/>
      <c r="L20" s="161"/>
      <c r="M20" s="161"/>
      <c r="N20" s="161"/>
      <c r="O20" s="148"/>
      <c r="P20" s="161"/>
      <c r="Q20" s="174"/>
    </row>
    <row r="21" spans="1:17" x14ac:dyDescent="0.2">
      <c r="A21" s="188"/>
      <c r="B21" s="164" t="s">
        <v>138</v>
      </c>
      <c r="C21" s="164"/>
      <c r="D21" s="164"/>
      <c r="E21" s="150">
        <f>'Diagrama Fe T'!G51</f>
        <v>0</v>
      </c>
      <c r="F21" s="151">
        <f>Flujos!I36</f>
        <v>0</v>
      </c>
      <c r="G21" s="154">
        <f t="shared" si="0"/>
        <v>0</v>
      </c>
      <c r="H21" s="151">
        <f>Flujos!J36</f>
        <v>0</v>
      </c>
      <c r="I21" s="161"/>
      <c r="J21" s="161"/>
      <c r="K21" s="161"/>
      <c r="L21" s="161"/>
      <c r="M21" s="161"/>
      <c r="N21" s="161"/>
      <c r="O21" s="148"/>
      <c r="P21" s="161"/>
      <c r="Q21" s="174"/>
    </row>
    <row r="22" spans="1:17" ht="16" thickBot="1" x14ac:dyDescent="0.25">
      <c r="A22" s="188"/>
      <c r="B22" s="207" t="s">
        <v>139</v>
      </c>
      <c r="C22" s="207"/>
      <c r="D22" s="207"/>
      <c r="E22" s="157">
        <f>'Diagrama Fe T'!G58</f>
        <v>0</v>
      </c>
      <c r="F22" s="208">
        <f>Flujos!I39</f>
        <v>0</v>
      </c>
      <c r="G22" s="209">
        <f t="shared" si="0"/>
        <v>0</v>
      </c>
      <c r="H22" s="208">
        <f>Flujos!J39</f>
        <v>0</v>
      </c>
      <c r="I22" s="161"/>
      <c r="J22" s="161"/>
      <c r="K22" s="161"/>
      <c r="L22" s="221"/>
      <c r="M22" s="161"/>
      <c r="N22" s="161"/>
      <c r="O22" s="148"/>
      <c r="P22" s="161"/>
      <c r="Q22" s="174"/>
    </row>
    <row r="23" spans="1:17" ht="18" customHeight="1" thickBot="1" x14ac:dyDescent="0.25">
      <c r="A23" s="183"/>
      <c r="B23" s="165" t="s">
        <v>140</v>
      </c>
      <c r="C23" s="165"/>
      <c r="D23" s="165"/>
      <c r="E23" s="156">
        <f>SUM(E10:E22)</f>
        <v>1298602.9350000001</v>
      </c>
      <c r="F23" s="155">
        <f>+G23/E23</f>
        <v>0.13323833948431663</v>
      </c>
      <c r="G23" s="160">
        <f>SUM(G10:G22)</f>
        <v>173023.69870885997</v>
      </c>
      <c r="H23" s="211">
        <f>SUMPRODUCT(E10:E22,H10:H22)/E23</f>
        <v>8.2024821787592836E-2</v>
      </c>
      <c r="I23" s="161"/>
      <c r="J23" s="161"/>
      <c r="K23" s="161"/>
      <c r="L23" s="161"/>
      <c r="M23" s="187"/>
      <c r="N23" s="161"/>
      <c r="O23" s="148"/>
      <c r="P23" s="161"/>
      <c r="Q23" s="174"/>
    </row>
    <row r="24" spans="1:17" x14ac:dyDescent="0.2">
      <c r="A24" s="183"/>
      <c r="B24" s="210" t="s">
        <v>141</v>
      </c>
      <c r="C24" s="210"/>
      <c r="D24" s="210"/>
      <c r="E24" s="210"/>
      <c r="F24" s="210"/>
      <c r="G24" s="210"/>
      <c r="H24" s="210" t="s">
        <v>142</v>
      </c>
      <c r="I24" s="210"/>
      <c r="J24" s="210"/>
      <c r="K24" s="210"/>
      <c r="L24" s="210"/>
      <c r="M24" s="210"/>
      <c r="N24" s="161"/>
      <c r="O24" s="148"/>
      <c r="P24" s="161"/>
      <c r="Q24" s="174"/>
    </row>
    <row r="25" spans="1:17" ht="12.75" customHeight="1" x14ac:dyDescent="0.2">
      <c r="A25" s="183"/>
      <c r="B25" s="198" t="s">
        <v>122</v>
      </c>
      <c r="C25" s="198"/>
      <c r="D25" s="198"/>
      <c r="E25" s="150">
        <f>'Datos Extra'!B1</f>
        <v>163348</v>
      </c>
      <c r="F25" s="206">
        <f>'Datos Extra'!C1</f>
        <v>0.65749999999999997</v>
      </c>
      <c r="G25" s="150">
        <f>+E25*F25</f>
        <v>107401.31</v>
      </c>
      <c r="H25" s="198" t="s">
        <v>133</v>
      </c>
      <c r="I25" s="198"/>
      <c r="J25" s="198"/>
      <c r="K25" s="158">
        <f>Flujos!H62</f>
        <v>1210937.9350000001</v>
      </c>
      <c r="L25" s="159">
        <f>Flujos!I62</f>
        <v>9.5342700787000009E-2</v>
      </c>
      <c r="M25" s="158">
        <f>+K25*L25</f>
        <v>115454.09320833268</v>
      </c>
      <c r="N25" s="161"/>
      <c r="O25" s="148"/>
      <c r="P25" s="161"/>
      <c r="Q25" s="174"/>
    </row>
    <row r="26" spans="1:17" ht="12.75" customHeight="1" x14ac:dyDescent="0.2">
      <c r="A26" s="183"/>
      <c r="B26" s="168" t="s">
        <v>140</v>
      </c>
      <c r="C26" s="168"/>
      <c r="D26" s="168"/>
      <c r="E26" s="169">
        <f>SUM(E24:E25)</f>
        <v>163348</v>
      </c>
      <c r="F26" s="170">
        <f>F25</f>
        <v>0.65749999999999997</v>
      </c>
      <c r="G26" s="171">
        <f>SUM(G24:G25)</f>
        <v>107401.31</v>
      </c>
      <c r="H26" s="168" t="s">
        <v>140</v>
      </c>
      <c r="I26" s="168"/>
      <c r="J26" s="168"/>
      <c r="K26" s="172">
        <f>K25</f>
        <v>1210937.9350000001</v>
      </c>
      <c r="L26" s="173">
        <f>L25</f>
        <v>9.5342700787000009E-2</v>
      </c>
      <c r="M26" s="172">
        <f>M25</f>
        <v>115454.09320833268</v>
      </c>
      <c r="N26" s="161"/>
      <c r="O26" s="148"/>
      <c r="P26" s="161"/>
      <c r="Q26" s="174"/>
    </row>
    <row r="27" spans="1:17" ht="12.75" customHeight="1" x14ac:dyDescent="0.2">
      <c r="A27" s="183"/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87"/>
      <c r="N27" s="161"/>
      <c r="O27" s="148"/>
      <c r="P27" s="161"/>
      <c r="Q27" s="174"/>
    </row>
    <row r="28" spans="1:17" ht="12.75" customHeight="1" thickBot="1" x14ac:dyDescent="0.25">
      <c r="A28" s="183"/>
      <c r="B28" s="167" t="s">
        <v>143</v>
      </c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1"/>
      <c r="O28" s="148"/>
      <c r="P28" s="161"/>
      <c r="Q28" s="174"/>
    </row>
    <row r="29" spans="1:17" ht="12.75" customHeight="1" thickBot="1" x14ac:dyDescent="0.25">
      <c r="A29" s="183"/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87"/>
      <c r="N29" s="161"/>
      <c r="O29" s="148"/>
      <c r="P29" s="161"/>
      <c r="Q29" s="174"/>
    </row>
    <row r="30" spans="1:17" ht="12.75" customHeight="1" thickBot="1" x14ac:dyDescent="0.25">
      <c r="A30" s="183"/>
      <c r="B30" s="213" t="s">
        <v>144</v>
      </c>
      <c r="C30" s="214"/>
      <c r="D30" s="215"/>
      <c r="E30" s="161"/>
      <c r="F30" s="161"/>
      <c r="G30" s="175" t="s">
        <v>145</v>
      </c>
      <c r="H30" s="176"/>
      <c r="I30" s="177"/>
      <c r="J30" s="161"/>
      <c r="K30" s="213" t="s">
        <v>146</v>
      </c>
      <c r="L30" s="214"/>
      <c r="M30" s="215"/>
      <c r="N30" s="161"/>
      <c r="O30" s="148"/>
      <c r="P30" s="161"/>
      <c r="Q30" s="174"/>
    </row>
    <row r="31" spans="1:17" ht="12.75" customHeight="1" thickBot="1" x14ac:dyDescent="0.25">
      <c r="A31" s="212"/>
      <c r="B31" s="178">
        <f>Utilidad!I105</f>
        <v>6.520645611161606E-2</v>
      </c>
      <c r="C31" s="178"/>
      <c r="D31" s="178"/>
      <c r="E31" s="161"/>
      <c r="F31" s="161"/>
      <c r="G31" s="166">
        <f>Utilidad!I94</f>
        <v>0.32559785580729284</v>
      </c>
      <c r="H31" s="166"/>
      <c r="I31" s="166"/>
      <c r="J31" s="161"/>
      <c r="K31" s="216">
        <f>Utilidad!I104</f>
        <v>0.53792623258518568</v>
      </c>
      <c r="L31" s="179"/>
      <c r="M31" s="217"/>
      <c r="N31" s="161"/>
      <c r="O31" s="148"/>
      <c r="P31" s="161"/>
      <c r="Q31" s="174"/>
    </row>
    <row r="32" spans="1:17" ht="12.75" customHeight="1" thickBot="1" x14ac:dyDescent="0.25">
      <c r="A32" s="73"/>
      <c r="B32" s="166"/>
      <c r="C32" s="166"/>
      <c r="D32" s="166"/>
      <c r="E32" s="161"/>
      <c r="F32" s="161"/>
      <c r="G32" s="166"/>
      <c r="H32" s="166"/>
      <c r="I32" s="166"/>
      <c r="J32" s="161"/>
      <c r="K32" s="218"/>
      <c r="L32" s="219"/>
      <c r="M32" s="220"/>
      <c r="N32" s="174"/>
      <c r="O32" s="148"/>
      <c r="Q32" s="174"/>
    </row>
    <row r="33" spans="1:17" ht="12.75" customHeight="1" thickBot="1" x14ac:dyDescent="0.25">
      <c r="A33" s="190"/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2"/>
      <c r="N33" s="191"/>
      <c r="O33" s="193"/>
      <c r="P33" s="161"/>
      <c r="Q33" s="174"/>
    </row>
    <row r="34" spans="1:17" ht="12.75" customHeight="1" x14ac:dyDescent="0.2">
      <c r="A34" s="162"/>
      <c r="B34" s="174"/>
      <c r="Q34" s="174"/>
    </row>
    <row r="35" spans="1:17" ht="12.75" customHeight="1" x14ac:dyDescent="0.2">
      <c r="A35" s="162"/>
      <c r="B35" s="174"/>
    </row>
    <row r="36" spans="1:17" x14ac:dyDescent="0.2">
      <c r="A36" s="162"/>
    </row>
    <row r="37" spans="1:17" x14ac:dyDescent="0.2">
      <c r="A37" s="162"/>
    </row>
    <row r="38" spans="1:17" x14ac:dyDescent="0.2">
      <c r="C38" s="163"/>
      <c r="D38" s="163"/>
      <c r="E38" s="163"/>
      <c r="F38" s="163"/>
      <c r="G38" s="163"/>
      <c r="H38" s="163"/>
      <c r="I38" s="163"/>
      <c r="J38" s="163"/>
      <c r="K38" s="163"/>
      <c r="L38" s="163"/>
      <c r="M38" s="163"/>
      <c r="N38" s="163"/>
    </row>
    <row r="39" spans="1:17" x14ac:dyDescent="0.2"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</row>
    <row r="40" spans="1:17" x14ac:dyDescent="0.2"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</row>
  </sheetData>
  <mergeCells count="36">
    <mergeCell ref="B31:D32"/>
    <mergeCell ref="G31:I32"/>
    <mergeCell ref="K31:M32"/>
    <mergeCell ref="H9:N9"/>
    <mergeCell ref="B26:D26"/>
    <mergeCell ref="H26:J26"/>
    <mergeCell ref="B28:M28"/>
    <mergeCell ref="B30:D30"/>
    <mergeCell ref="G30:I30"/>
    <mergeCell ref="K30:M30"/>
    <mergeCell ref="B23:D23"/>
    <mergeCell ref="B24:G24"/>
    <mergeCell ref="H24:M24"/>
    <mergeCell ref="B25:D25"/>
    <mergeCell ref="H25:J25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7:D8"/>
    <mergeCell ref="I7:J8"/>
    <mergeCell ref="B9:G9"/>
    <mergeCell ref="B10:D10"/>
    <mergeCell ref="B2:C5"/>
    <mergeCell ref="D2:M3"/>
    <mergeCell ref="D4:I5"/>
    <mergeCell ref="J4:K5"/>
    <mergeCell ref="L4:M5"/>
  </mergeCells>
  <pageMargins left="0.7" right="0.7" top="0.75" bottom="0.75" header="0.511811023622047" footer="0.511811023622047"/>
  <pageSetup scale="85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79</vt:i4>
      </vt:variant>
    </vt:vector>
  </HeadingPairs>
  <TitlesOfParts>
    <vt:vector size="84" baseType="lpstr">
      <vt:lpstr>Utilidad</vt:lpstr>
      <vt:lpstr>Diagrama Fe T</vt:lpstr>
      <vt:lpstr>Flujos</vt:lpstr>
      <vt:lpstr>Datos Extra</vt:lpstr>
      <vt:lpstr>Reporte</vt:lpstr>
      <vt:lpstr>Reporte!Print_Area</vt:lpstr>
      <vt:lpstr>Utilidad!solver_adj</vt:lpstr>
      <vt:lpstr>Utilidad!solver_lhs1</vt:lpstr>
      <vt:lpstr>Utilidad!solver_lhs10</vt:lpstr>
      <vt:lpstr>Utilidad!solver_lhs11</vt:lpstr>
      <vt:lpstr>Utilidad!solver_lhs12</vt:lpstr>
      <vt:lpstr>Utilidad!solver_lhs13</vt:lpstr>
      <vt:lpstr>Utilidad!solver_lhs14</vt:lpstr>
      <vt:lpstr>Utilidad!solver_lhs15</vt:lpstr>
      <vt:lpstr>Utilidad!solver_lhs16</vt:lpstr>
      <vt:lpstr>Utilidad!solver_lhs17</vt:lpstr>
      <vt:lpstr>Utilidad!solver_lhs18</vt:lpstr>
      <vt:lpstr>Utilidad!solver_lhs19</vt:lpstr>
      <vt:lpstr>Utilidad!solver_lhs2</vt:lpstr>
      <vt:lpstr>Utilidad!solver_lhs20</vt:lpstr>
      <vt:lpstr>Utilidad!solver_lhs21</vt:lpstr>
      <vt:lpstr>Utilidad!solver_lhs22</vt:lpstr>
      <vt:lpstr>Utilidad!solver_lhs23</vt:lpstr>
      <vt:lpstr>Utilidad!solver_lhs24</vt:lpstr>
      <vt:lpstr>Utilidad!solver_lhs25</vt:lpstr>
      <vt:lpstr>Utilidad!solver_lhs26</vt:lpstr>
      <vt:lpstr>Utilidad!solver_lhs27</vt:lpstr>
      <vt:lpstr>Utilidad!solver_lhs28</vt:lpstr>
      <vt:lpstr>Utilidad!solver_lhs29</vt:lpstr>
      <vt:lpstr>Utilidad!solver_lhs3</vt:lpstr>
      <vt:lpstr>Utilidad!solver_lhs30</vt:lpstr>
      <vt:lpstr>Utilidad!solver_lhs31</vt:lpstr>
      <vt:lpstr>Utilidad!solver_lhs32</vt:lpstr>
      <vt:lpstr>Utilidad!solver_lhs33</vt:lpstr>
      <vt:lpstr>Utilidad!solver_lhs34</vt:lpstr>
      <vt:lpstr>Utilidad!solver_lhs35</vt:lpstr>
      <vt:lpstr>Utilidad!solver_lhs36</vt:lpstr>
      <vt:lpstr>Utilidad!solver_lhs37</vt:lpstr>
      <vt:lpstr>Utilidad!solver_lhs38</vt:lpstr>
      <vt:lpstr>Utilidad!solver_lhs39</vt:lpstr>
      <vt:lpstr>Utilidad!solver_lhs4</vt:lpstr>
      <vt:lpstr>Utilidad!solver_lhs40</vt:lpstr>
      <vt:lpstr>Utilidad!solver_lhs41</vt:lpstr>
      <vt:lpstr>Utilidad!solver_lhs42</vt:lpstr>
      <vt:lpstr>Utilidad!solver_lhs43</vt:lpstr>
      <vt:lpstr>Utilidad!solver_lhs44</vt:lpstr>
      <vt:lpstr>Utilidad!solver_lhs45</vt:lpstr>
      <vt:lpstr>Utilidad!solver_lhs46</vt:lpstr>
      <vt:lpstr>Utilidad!solver_lhs47</vt:lpstr>
      <vt:lpstr>Utilidad!solver_lhs48</vt:lpstr>
      <vt:lpstr>Utilidad!solver_lhs49</vt:lpstr>
      <vt:lpstr>Utilidad!solver_lhs5</vt:lpstr>
      <vt:lpstr>Utilidad!solver_lhs50</vt:lpstr>
      <vt:lpstr>Utilidad!solver_lhs6</vt:lpstr>
      <vt:lpstr>Utilidad!solver_lhs7</vt:lpstr>
      <vt:lpstr>Utilidad!solver_lhs8</vt:lpstr>
      <vt:lpstr>Utilidad!solver_lhs9</vt:lpstr>
      <vt:lpstr>'Diagrama Fe T'!solver_opt</vt:lpstr>
      <vt:lpstr>Utilidad!solver_opt</vt:lpstr>
      <vt:lpstr>Utilidad!solver_rhs1</vt:lpstr>
      <vt:lpstr>Utilidad!solver_rhs10</vt:lpstr>
      <vt:lpstr>Utilidad!solver_rhs11</vt:lpstr>
      <vt:lpstr>Utilidad!solver_rhs2</vt:lpstr>
      <vt:lpstr>Utilidad!solver_rhs3</vt:lpstr>
      <vt:lpstr>Utilidad!solver_rhs37</vt:lpstr>
      <vt:lpstr>Utilidad!solver_rhs38</vt:lpstr>
      <vt:lpstr>Utilidad!solver_rhs39</vt:lpstr>
      <vt:lpstr>Utilidad!solver_rhs4</vt:lpstr>
      <vt:lpstr>Utilidad!solver_rhs40</vt:lpstr>
      <vt:lpstr>Utilidad!solver_rhs41</vt:lpstr>
      <vt:lpstr>Utilidad!solver_rhs42</vt:lpstr>
      <vt:lpstr>Utilidad!solver_rhs43</vt:lpstr>
      <vt:lpstr>Utilidad!solver_rhs44</vt:lpstr>
      <vt:lpstr>Utilidad!solver_rhs45</vt:lpstr>
      <vt:lpstr>Utilidad!solver_rhs46</vt:lpstr>
      <vt:lpstr>Utilidad!solver_rhs47</vt:lpstr>
      <vt:lpstr>Utilidad!solver_rhs48</vt:lpstr>
      <vt:lpstr>Utilidad!solver_rhs49</vt:lpstr>
      <vt:lpstr>Utilidad!solver_rhs5</vt:lpstr>
      <vt:lpstr>Utilidad!solver_rhs50</vt:lpstr>
      <vt:lpstr>Utilidad!solver_rhs6</vt:lpstr>
      <vt:lpstr>Utilidad!solver_rhs7</vt:lpstr>
      <vt:lpstr>Utilidad!solver_rhs8</vt:lpstr>
      <vt:lpstr>Utilidad!solver_rhs9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Arru</dc:creator>
  <dc:description/>
  <cp:lastModifiedBy>Fernando Nicolas Ureta Godoy</cp:lastModifiedBy>
  <cp:revision>5</cp:revision>
  <dcterms:created xsi:type="dcterms:W3CDTF">2021-07-19T13:22:17Z</dcterms:created>
  <dcterms:modified xsi:type="dcterms:W3CDTF">2023-11-20T15:08:11Z</dcterms:modified>
  <dc:language>es-CL</dc:language>
</cp:coreProperties>
</file>