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D02BB265-D199-D549-B0F6-BC08C61C637E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AE19" i="9" l="1"/>
  <c r="G10" i="10"/>
  <c r="N72" i="9"/>
  <c r="E78" i="9"/>
  <c r="B78" i="9"/>
  <c r="R5" i="7" l="1"/>
  <c r="R6" i="7"/>
  <c r="AE8" i="9" s="1"/>
  <c r="R7" i="7"/>
  <c r="R8" i="7"/>
  <c r="AE10" i="9" s="1"/>
  <c r="AH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O78" i="9" s="1"/>
  <c r="L78" i="9"/>
  <c r="M78" i="9" s="1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AH16" i="9" s="1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O14" i="10"/>
  <c r="Q14" i="10" s="1"/>
  <c r="N14" i="10"/>
  <c r="P13" i="10"/>
  <c r="O12" i="10"/>
  <c r="Q12" i="10" s="1"/>
  <c r="N12" i="10"/>
  <c r="J11" i="10"/>
  <c r="AD25" i="9" l="1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H22" i="10" l="1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<sst xmlns="http://schemas.openxmlformats.org/spreadsheetml/2006/main" count="641" uniqueCount="301">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</sst>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63"/>
      <c r="E2" s="559"/>
      <c r="F2" s="566" t="s">
        <v>97</v>
      </c>
      <c r="G2" s="567"/>
      <c r="H2" s="506"/>
      <c r="I2" s="506"/>
      <c r="J2" s="506"/>
      <c r="K2" s="506"/>
      <c r="L2" s="506"/>
      <c r="M2" s="506"/>
      <c r="N2" s="506"/>
      <c r="O2" s="506"/>
      <c r="P2" s="506"/>
      <c r="Q2" s="507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64"/>
      <c r="E3" s="565"/>
      <c r="F3" s="568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69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64"/>
      <c r="E4" s="565"/>
      <c r="F4" s="570" t="s">
        <v>98</v>
      </c>
      <c r="G4" s="571"/>
      <c r="H4" s="572"/>
      <c r="I4" s="572"/>
      <c r="J4" s="572"/>
      <c r="K4" s="572"/>
      <c r="L4" s="573"/>
      <c r="M4" s="570" t="s">
        <v>99</v>
      </c>
      <c r="N4" s="571"/>
      <c r="O4" s="573"/>
      <c r="P4" s="575">
        <f ca="1">+Diagrama!C4</f>
        <v>45261</v>
      </c>
      <c r="Q4" s="576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08"/>
      <c r="E5" s="562"/>
      <c r="F5" s="574"/>
      <c r="G5" s="509"/>
      <c r="H5" s="509"/>
      <c r="I5" s="509"/>
      <c r="J5" s="509"/>
      <c r="K5" s="509"/>
      <c r="L5" s="562"/>
      <c r="M5" s="574"/>
      <c r="N5" s="509"/>
      <c r="O5" s="562"/>
      <c r="P5" s="574"/>
      <c r="Q5" s="510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58"/>
      <c r="E7" s="506"/>
      <c r="F7" s="559"/>
      <c r="G7" s="352" t="s">
        <v>100</v>
      </c>
      <c r="H7" s="352" t="s">
        <v>100</v>
      </c>
      <c r="I7" s="352" t="s">
        <v>101</v>
      </c>
      <c r="J7" s="353" t="s">
        <v>102</v>
      </c>
      <c r="K7" s="561"/>
      <c r="L7" s="506"/>
      <c r="M7" s="559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60"/>
      <c r="E8" s="532"/>
      <c r="F8" s="533"/>
      <c r="G8" s="355" t="s">
        <v>270</v>
      </c>
      <c r="H8" s="355" t="s">
        <v>40</v>
      </c>
      <c r="I8" s="355" t="s">
        <v>103</v>
      </c>
      <c r="J8" s="356" t="s">
        <v>41</v>
      </c>
      <c r="K8" s="509"/>
      <c r="L8" s="509"/>
      <c r="M8" s="562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46" t="s">
        <v>68</v>
      </c>
      <c r="E9" s="547"/>
      <c r="F9" s="547"/>
      <c r="G9" s="547"/>
      <c r="H9" s="547"/>
      <c r="I9" s="547"/>
      <c r="J9" s="548"/>
      <c r="K9" s="550" t="s">
        <v>104</v>
      </c>
      <c r="L9" s="551"/>
      <c r="M9" s="551"/>
      <c r="N9" s="551"/>
      <c r="O9" s="551"/>
      <c r="P9" s="551"/>
      <c r="Q9" s="55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34" t="s">
        <v>106</v>
      </c>
      <c r="E10" s="535"/>
      <c r="F10" s="536"/>
      <c r="G10" s="439">
        <f>+Diagrama!AI12</f>
        <v>231594.13913744461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53" t="s">
        <v>107</v>
      </c>
      <c r="L10" s="547"/>
      <c r="M10" s="554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34" t="s">
        <v>108</v>
      </c>
      <c r="E11" s="535"/>
      <c r="F11" s="536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34" t="s">
        <v>109</v>
      </c>
      <c r="L11" s="535"/>
      <c r="M11" s="536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34" t="s">
        <v>110</v>
      </c>
      <c r="E12" s="535"/>
      <c r="F12" s="536"/>
      <c r="G12" s="434">
        <v>0</v>
      </c>
      <c r="H12" s="434">
        <v>0</v>
      </c>
      <c r="I12" s="435">
        <v>0</v>
      </c>
      <c r="J12" s="436">
        <v>0</v>
      </c>
      <c r="K12" s="534" t="s">
        <v>111</v>
      </c>
      <c r="L12" s="535"/>
      <c r="M12" s="536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55" t="s">
        <v>112</v>
      </c>
      <c r="E13" s="556"/>
      <c r="F13" s="557"/>
      <c r="G13" s="434">
        <v>0</v>
      </c>
      <c r="H13" s="434">
        <v>0</v>
      </c>
      <c r="I13" s="435">
        <v>0</v>
      </c>
      <c r="J13" s="436">
        <v>0</v>
      </c>
      <c r="K13" s="534" t="s">
        <v>113</v>
      </c>
      <c r="L13" s="535"/>
      <c r="M13" s="536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55"/>
      <c r="E14" s="556"/>
      <c r="F14" s="557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0</v>
      </c>
      <c r="O14" s="444">
        <f>+Diagrama!J78*(1-Diagrama!AE33)</f>
        <v>0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49" t="s">
        <v>115</v>
      </c>
      <c r="E15" s="542"/>
      <c r="F15" s="545"/>
      <c r="G15" s="445">
        <f>SUM(G10:G14)</f>
        <v>231594.13913744461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44" t="s">
        <v>115</v>
      </c>
      <c r="L15" s="542"/>
      <c r="M15" s="545"/>
      <c r="N15" s="445">
        <f>SUM(N10:N14)</f>
        <v>374298.79219249618</v>
      </c>
      <c r="O15" s="445">
        <f>SUM(O10:O14)</f>
        <v>355225</v>
      </c>
      <c r="P15" s="446">
        <f>+Q15/O15</f>
        <v>0.66236243856071231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46" t="s">
        <v>116</v>
      </c>
      <c r="E16" s="547"/>
      <c r="F16" s="547"/>
      <c r="G16" s="547"/>
      <c r="H16" s="547"/>
      <c r="I16" s="547"/>
      <c r="J16" s="548"/>
      <c r="K16" s="541" t="s">
        <v>117</v>
      </c>
      <c r="L16" s="542"/>
      <c r="M16" s="542"/>
      <c r="N16" s="542"/>
      <c r="O16" s="542"/>
      <c r="P16" s="542"/>
      <c r="Q16" s="543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34" t="s">
        <v>118</v>
      </c>
      <c r="E17" s="535"/>
      <c r="F17" s="536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34" t="s">
        <v>107</v>
      </c>
      <c r="E18" s="535"/>
      <c r="F18" s="536"/>
      <c r="G18" s="434">
        <f>+Diagrama!K72</f>
        <v>112763.78636561007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44" t="s">
        <v>115</v>
      </c>
      <c r="L18" s="542"/>
      <c r="M18" s="545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34" t="s">
        <v>109</v>
      </c>
      <c r="E19" s="535"/>
      <c r="F19" s="536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37"/>
      <c r="L19" s="538"/>
      <c r="M19" s="538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34" t="s">
        <v>94</v>
      </c>
      <c r="E20" s="535"/>
      <c r="F20" s="536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39"/>
      <c r="L20" s="538"/>
      <c r="M20" s="538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34" t="s">
        <v>111</v>
      </c>
      <c r="E21" s="535"/>
      <c r="F21" s="536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39"/>
      <c r="L21" s="538"/>
      <c r="M21" s="538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49" t="s">
        <v>115</v>
      </c>
      <c r="E22" s="542"/>
      <c r="F22" s="545"/>
      <c r="G22" s="445">
        <f>SUM(G17:G21)</f>
        <v>383763.28054871579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40" t="s">
        <v>119</v>
      </c>
      <c r="E23" s="524"/>
      <c r="F23" s="525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31" t="s">
        <v>122</v>
      </c>
      <c r="E24" s="532"/>
      <c r="F24" s="53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16" t="s">
        <v>123</v>
      </c>
      <c r="E25" s="517"/>
      <c r="F25" s="518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16" t="s">
        <v>124</v>
      </c>
      <c r="E26" s="517"/>
      <c r="F26" s="518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16" t="s">
        <v>125</v>
      </c>
      <c r="E27" s="517"/>
      <c r="F27" s="518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19" t="s">
        <v>127</v>
      </c>
      <c r="E29" s="517"/>
      <c r="F29" s="518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20" t="s">
        <v>128</v>
      </c>
      <c r="E30" s="521"/>
      <c r="F30" s="522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23" t="s">
        <v>115</v>
      </c>
      <c r="E31" s="524"/>
      <c r="F31" s="525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26" t="s">
        <v>129</v>
      </c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4"/>
      <c r="P33" s="524"/>
      <c r="Q33" s="527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28" t="s">
        <v>130</v>
      </c>
      <c r="E35" s="524"/>
      <c r="F35" s="527"/>
      <c r="G35" s="407"/>
      <c r="H35" s="529"/>
      <c r="I35" s="530"/>
      <c r="J35" s="133"/>
      <c r="K35" s="528" t="s">
        <v>131</v>
      </c>
      <c r="L35" s="524"/>
      <c r="M35" s="527"/>
      <c r="N35" s="407"/>
      <c r="O35" s="529"/>
      <c r="P35" s="530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05">
        <f>Diagrama!P19</f>
        <v>0.83600764118163129</v>
      </c>
      <c r="E36" s="506"/>
      <c r="F36" s="507"/>
      <c r="G36" s="407"/>
      <c r="H36" s="408"/>
      <c r="I36" s="409"/>
      <c r="J36" s="133"/>
      <c r="K36" s="505">
        <f>Diagrama!P21</f>
        <v>0.94722816104587992</v>
      </c>
      <c r="L36" s="511"/>
      <c r="M36" s="512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08"/>
      <c r="E37" s="509"/>
      <c r="F37" s="510"/>
      <c r="G37" s="407"/>
      <c r="H37" s="411"/>
      <c r="I37" s="412"/>
      <c r="J37" s="133"/>
      <c r="K37" s="513"/>
      <c r="L37" s="514"/>
      <c r="M37" s="515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36"/>
      <c r="M44" s="578" t="s">
        <v>46</v>
      </c>
      <c r="N44" s="547"/>
      <c r="O44" s="548"/>
      <c r="R44" s="579" t="s">
        <v>47</v>
      </c>
      <c r="S44" s="53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3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1" t="s">
        <v>63</v>
      </c>
      <c r="Q7" s="53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1" t="s">
        <v>20</v>
      </c>
      <c r="Q10" s="53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2" t="s">
        <v>66</v>
      </c>
      <c r="Q13" s="53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3" t="s">
        <v>68</v>
      </c>
      <c r="F44" s="584"/>
      <c r="G44" s="535"/>
      <c r="H44" s="583" t="s">
        <v>69</v>
      </c>
      <c r="I44" s="584"/>
      <c r="J44" s="536"/>
      <c r="K44" s="585" t="s">
        <v>70</v>
      </c>
      <c r="L44" s="584"/>
      <c r="M44" s="584"/>
      <c r="N44" s="53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6" t="s">
        <v>72</v>
      </c>
      <c r="I45" s="536"/>
      <c r="J45" s="27">
        <f>+E7</f>
        <v>1770.5761999999995</v>
      </c>
      <c r="K45" s="586" t="s">
        <v>73</v>
      </c>
      <c r="L45" s="584"/>
      <c r="M45" s="536"/>
      <c r="N45" s="27">
        <f>+C8</f>
        <v>12961.629000000001</v>
      </c>
    </row>
    <row r="46" spans="2:20" ht="15.75" customHeight="1" x14ac:dyDescent="0.2">
      <c r="E46" s="580"/>
      <c r="F46" s="536"/>
      <c r="G46" s="16"/>
      <c r="H46" s="586" t="s">
        <v>74</v>
      </c>
      <c r="I46" s="536"/>
      <c r="J46" s="27">
        <f>+J19</f>
        <v>44584.890479986498</v>
      </c>
      <c r="K46" s="586" t="s">
        <v>75</v>
      </c>
      <c r="L46" s="584"/>
      <c r="M46" s="536"/>
      <c r="N46" s="27">
        <f>+C28</f>
        <v>16162.331</v>
      </c>
    </row>
    <row r="47" spans="2:20" ht="15.75" customHeight="1" x14ac:dyDescent="0.2">
      <c r="E47" s="580"/>
      <c r="F47" s="536"/>
      <c r="G47" s="16"/>
      <c r="H47" s="586" t="s">
        <v>76</v>
      </c>
      <c r="I47" s="536"/>
      <c r="J47" s="27">
        <f>+G27</f>
        <v>-359512.14169349719</v>
      </c>
      <c r="K47" s="586" t="s">
        <v>77</v>
      </c>
      <c r="L47" s="584"/>
      <c r="M47" s="536"/>
      <c r="N47" s="27">
        <f>+S36</f>
        <v>19130.865000000002</v>
      </c>
    </row>
    <row r="48" spans="2:20" ht="15.75" customHeight="1" x14ac:dyDescent="0.2">
      <c r="E48" s="580"/>
      <c r="F48" s="536"/>
      <c r="G48" s="16"/>
      <c r="H48" s="77" t="s">
        <v>78</v>
      </c>
      <c r="I48" s="77"/>
      <c r="J48" s="27">
        <f>+O20</f>
        <v>-14174.322317347061</v>
      </c>
      <c r="K48" s="586" t="s">
        <v>79</v>
      </c>
      <c r="L48" s="584"/>
      <c r="M48" s="536"/>
      <c r="N48" s="27">
        <f>+S28</f>
        <v>108284.65870939114</v>
      </c>
    </row>
    <row r="49" spans="5:14" ht="15.75" customHeight="1" x14ac:dyDescent="0.2">
      <c r="E49" s="580"/>
      <c r="F49" s="536"/>
      <c r="G49" s="16"/>
      <c r="H49" s="586" t="s">
        <v>80</v>
      </c>
      <c r="I49" s="536"/>
      <c r="J49" s="27">
        <f>+P40</f>
        <v>-311.60807004405433</v>
      </c>
      <c r="K49" s="586" t="s">
        <v>81</v>
      </c>
      <c r="L49" s="584"/>
      <c r="M49" s="536"/>
      <c r="N49" s="27">
        <f>+G36</f>
        <v>673884.94200000004</v>
      </c>
    </row>
    <row r="50" spans="5:14" ht="15.75" customHeight="1" x14ac:dyDescent="0.25">
      <c r="E50" s="589" t="s">
        <v>82</v>
      </c>
      <c r="F50" s="536"/>
      <c r="G50" s="78">
        <f>+G45</f>
        <v>502781.82030850503</v>
      </c>
      <c r="H50" s="587" t="s">
        <v>83</v>
      </c>
      <c r="I50" s="536"/>
      <c r="J50" s="79">
        <f>+SUM(J45:J49)</f>
        <v>-327642.60540090181</v>
      </c>
      <c r="K50" s="587" t="s">
        <v>84</v>
      </c>
      <c r="L50" s="584"/>
      <c r="M50" s="53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90" t="s">
        <v>68</v>
      </c>
      <c r="F55" s="584"/>
      <c r="G55" s="535"/>
      <c r="H55" s="590" t="s">
        <v>69</v>
      </c>
      <c r="I55" s="584"/>
      <c r="J55" s="536"/>
      <c r="K55" s="588" t="s">
        <v>70</v>
      </c>
      <c r="L55" s="584"/>
      <c r="M55" s="584"/>
      <c r="N55" s="53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6" t="s">
        <v>72</v>
      </c>
      <c r="I56" s="536"/>
      <c r="J56" s="27" t="e">
        <f>+'Bal Los Colorados'!O49*'Bal Los Colorados'!G49</f>
        <v>#REF!</v>
      </c>
      <c r="K56" s="586" t="s">
        <v>73</v>
      </c>
      <c r="L56" s="584"/>
      <c r="M56" s="536"/>
      <c r="N56" s="27">
        <f>+C10</f>
        <v>7704.8210577451482</v>
      </c>
    </row>
    <row r="57" spans="5:14" ht="15.75" customHeight="1" x14ac:dyDescent="0.2">
      <c r="E57" s="580"/>
      <c r="F57" s="536"/>
      <c r="G57" s="16"/>
      <c r="H57" s="586" t="s">
        <v>74</v>
      </c>
      <c r="I57" s="536"/>
      <c r="J57" s="27" t="e">
        <f>+'Bal Los Colorados'!O53*'Bal Los Colorados'!G53</f>
        <v>#REF!</v>
      </c>
      <c r="K57" s="586" t="s">
        <v>75</v>
      </c>
      <c r="L57" s="584"/>
      <c r="M57" s="536"/>
      <c r="N57" s="27">
        <f>+C30</f>
        <v>9675.4587302503223</v>
      </c>
    </row>
    <row r="58" spans="5:14" ht="15.75" customHeight="1" x14ac:dyDescent="0.2">
      <c r="E58" s="580"/>
      <c r="F58" s="536"/>
      <c r="G58" s="16"/>
      <c r="H58" s="586" t="s">
        <v>76</v>
      </c>
      <c r="I58" s="536"/>
      <c r="J58" s="27" t="e">
        <f>+'Bal Los Colorados'!O56*'Bal Los Colorados'!G56</f>
        <v>#REF!</v>
      </c>
      <c r="K58" s="586" t="s">
        <v>77</v>
      </c>
      <c r="L58" s="584"/>
      <c r="M58" s="536"/>
      <c r="N58" s="27">
        <f>+S38</f>
        <v>7620.3234035700007</v>
      </c>
    </row>
    <row r="59" spans="5:14" ht="15.75" customHeight="1" x14ac:dyDescent="0.2">
      <c r="E59" s="580"/>
      <c r="F59" s="536"/>
      <c r="G59" s="16"/>
      <c r="H59" s="77" t="s">
        <v>78</v>
      </c>
      <c r="I59" s="77"/>
      <c r="J59" s="27" t="e">
        <f>+'Bal Los Colorados'!O62*'Bal Los Colorados'!G62</f>
        <v>#REF!</v>
      </c>
      <c r="K59" s="586" t="s">
        <v>79</v>
      </c>
      <c r="L59" s="584"/>
      <c r="M59" s="536"/>
      <c r="N59" s="27">
        <f>+S30</f>
        <v>14049.347154701374</v>
      </c>
    </row>
    <row r="60" spans="5:14" ht="15.75" customHeight="1" x14ac:dyDescent="0.2">
      <c r="E60" s="580"/>
      <c r="F60" s="536"/>
      <c r="G60" s="16"/>
      <c r="H60" s="586" t="s">
        <v>80</v>
      </c>
      <c r="I60" s="536"/>
      <c r="J60" s="27" t="e">
        <f>+'Bal Los Colorados'!O67*'Bal Los Colorados'!G67</f>
        <v>#REF!</v>
      </c>
      <c r="K60" s="586" t="s">
        <v>81</v>
      </c>
      <c r="L60" s="584"/>
      <c r="M60" s="536"/>
      <c r="N60" s="27">
        <f>+G38</f>
        <v>410848.95586592209</v>
      </c>
    </row>
    <row r="61" spans="5:14" ht="15.75" customHeight="1" x14ac:dyDescent="0.25">
      <c r="E61" s="589" t="s">
        <v>82</v>
      </c>
      <c r="F61" s="536"/>
      <c r="G61" s="78">
        <f>+G56</f>
        <v>231983.78607040126</v>
      </c>
      <c r="H61" s="587" t="s">
        <v>83</v>
      </c>
      <c r="I61" s="536"/>
      <c r="J61" s="79" t="e">
        <f>+SUM(J56:J60)</f>
        <v>#REF!</v>
      </c>
      <c r="K61" s="587" t="s">
        <v>84</v>
      </c>
      <c r="L61" s="584"/>
      <c r="M61" s="53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R22" sqref="R2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36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A4" zoomScale="125" zoomScaleNormal="70" workbookViewId="0">
      <selection activeCell="AE19" sqref="AE19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45261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20" t="s">
        <v>262</v>
      </c>
      <c r="AE4" s="620"/>
      <c r="AF4" s="620"/>
      <c r="AG4" s="620"/>
      <c r="AH4" s="144"/>
      <c r="AI4" s="144"/>
      <c r="AK4"/>
      <c r="AL4" s="621" t="s">
        <v>293</v>
      </c>
      <c r="AM4" s="621"/>
      <c r="AN4" s="621"/>
      <c r="AO4" s="621"/>
      <c r="AP4" s="621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12" t="s">
        <v>165</v>
      </c>
      <c r="AB5" s="622"/>
      <c r="AC5" s="613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23"/>
      <c r="AV5" s="623"/>
      <c r="AW5" s="623"/>
      <c r="AX5" s="62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24" t="s">
        <v>170</v>
      </c>
      <c r="AB6" s="625"/>
      <c r="AC6" s="62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27" t="s">
        <v>171</v>
      </c>
      <c r="AB7" s="628"/>
      <c r="AC7" s="62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24" t="s">
        <v>172</v>
      </c>
      <c r="AB8" s="625"/>
      <c r="AC8" s="62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27" t="s">
        <v>173</v>
      </c>
      <c r="AB9" s="628"/>
      <c r="AC9" s="62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23"/>
      <c r="AV14" s="623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30" t="s">
        <v>159</v>
      </c>
      <c r="AB29" s="631"/>
      <c r="AC29" s="631"/>
      <c r="AD29" s="631"/>
      <c r="AE29" s="631"/>
      <c r="AF29" s="631"/>
      <c r="AG29" s="631"/>
      <c r="AH29" s="631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20" t="s">
        <v>215</v>
      </c>
      <c r="AL39" s="62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12" t="s">
        <v>107</v>
      </c>
      <c r="AL40" s="613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0" t="s">
        <v>221</v>
      </c>
      <c r="AL41" s="611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0" t="s">
        <v>223</v>
      </c>
      <c r="AL42" s="611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0" t="s">
        <v>225</v>
      </c>
      <c r="AL43" s="611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0" t="s">
        <v>227</v>
      </c>
      <c r="AL44" s="611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12" t="s">
        <v>109</v>
      </c>
      <c r="AL45" s="613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0" t="s">
        <v>221</v>
      </c>
      <c r="AL46" s="611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0" t="s">
        <v>223</v>
      </c>
      <c r="AL47" s="611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0" t="s">
        <v>225</v>
      </c>
      <c r="AL48" s="611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0" t="s">
        <v>227</v>
      </c>
      <c r="AL49" s="611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12" t="s">
        <v>93</v>
      </c>
      <c r="AL50" s="613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0" t="s">
        <v>221</v>
      </c>
      <c r="AL51" s="611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0" t="s">
        <v>223</v>
      </c>
      <c r="AL52" s="611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0" t="s">
        <v>225</v>
      </c>
      <c r="AL53" s="611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0" t="s">
        <v>227</v>
      </c>
      <c r="AL54" s="611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12" t="s">
        <v>236</v>
      </c>
      <c r="AL55" s="613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0" t="s">
        <v>221</v>
      </c>
      <c r="AL56" s="611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0" t="s">
        <v>223</v>
      </c>
      <c r="AL57" s="611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14" t="s">
        <v>237</v>
      </c>
      <c r="H68" s="615"/>
      <c r="I68" s="61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17" t="s">
        <v>68</v>
      </c>
      <c r="D69" s="618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09" t="s">
        <v>157</v>
      </c>
      <c r="D70" s="518"/>
      <c r="E70" s="247">
        <f>+AI26</f>
        <v>0</v>
      </c>
      <c r="F70" s="248">
        <f>+AI28</f>
        <v>0</v>
      </c>
      <c r="G70" s="250"/>
      <c r="H70" s="461"/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66753</v>
      </c>
      <c r="N70" s="249">
        <f>'Datos Extra'!C44</f>
        <v>14273.091962099075</v>
      </c>
      <c r="O70" s="255">
        <f t="shared" ref="O70:O80" si="3">N70-M70</f>
        <v>-52479.908037900925</v>
      </c>
      <c r="P70" s="256">
        <v>97.84</v>
      </c>
      <c r="Q70" s="257">
        <f>+O70*P70</f>
        <v>-5134634.2024282264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09" t="s">
        <v>88</v>
      </c>
      <c r="D71" s="518"/>
      <c r="E71" s="259"/>
      <c r="F71" s="259">
        <f>Flujos!G38/(1-Flujos!R38)</f>
        <v>66000</v>
      </c>
      <c r="G71" s="261"/>
      <c r="H71" s="461"/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-41264</v>
      </c>
      <c r="N71" s="249">
        <f>'Datos Extra'!C45</f>
        <v>12095.744312286377</v>
      </c>
      <c r="O71" s="255">
        <f t="shared" si="3"/>
        <v>53359.744312286377</v>
      </c>
      <c r="P71" s="256">
        <v>33.365380000000002</v>
      </c>
      <c r="Q71" s="257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09" t="s">
        <v>89</v>
      </c>
      <c r="D72" s="518"/>
      <c r="E72" s="259">
        <f>+AI16+AI17</f>
        <v>209647.65034558089</v>
      </c>
      <c r="F72" s="248">
        <f>+AI19</f>
        <v>112763.78636561007</v>
      </c>
      <c r="G72" s="260"/>
      <c r="H72" s="248"/>
      <c r="I72" s="261"/>
      <c r="J72" s="251">
        <f>+E72+G72</f>
        <v>209647.65034558089</v>
      </c>
      <c r="K72" s="263">
        <f>+F72+I72</f>
        <v>112763.78636561007</v>
      </c>
      <c r="L72" s="253">
        <f>'Datos Extra'!B3</f>
        <v>50490</v>
      </c>
      <c r="M72" s="254">
        <f>+L72+J72-K72</f>
        <v>147373.8639799708</v>
      </c>
      <c r="N72" s="249">
        <f>'Datos Extra'!C42</f>
        <v>147374.00000000003</v>
      </c>
      <c r="O72" s="255">
        <f>N72-M72</f>
        <v>0.13602002922561951</v>
      </c>
      <c r="P72" s="256">
        <v>43.87</v>
      </c>
      <c r="Q72" s="257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09" t="s">
        <v>158</v>
      </c>
      <c r="D73" s="518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09" t="s">
        <v>90</v>
      </c>
      <c r="D74" s="518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09" t="s">
        <v>91</v>
      </c>
      <c r="D75" s="518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09" t="s">
        <v>92</v>
      </c>
      <c r="D76" s="518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09" t="s">
        <v>93</v>
      </c>
      <c r="D77" s="518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f>+AD33</f>
        <v>0</v>
      </c>
      <c r="C78" s="609" t="s">
        <v>94</v>
      </c>
      <c r="D78" s="518"/>
      <c r="E78" s="259">
        <f>AF33</f>
        <v>0</v>
      </c>
      <c r="F78" s="248">
        <v>0</v>
      </c>
      <c r="G78" s="260"/>
      <c r="H78" s="248">
        <v>0</v>
      </c>
      <c r="I78" s="261"/>
      <c r="J78" s="272">
        <f>+E78+G78</f>
        <v>0</v>
      </c>
      <c r="K78" s="262">
        <f>+F78+I78</f>
        <v>0</v>
      </c>
      <c r="L78" s="253">
        <f>'Datos Extra'!B9</f>
        <v>2203</v>
      </c>
      <c r="M78" s="260">
        <f>J78+L78-K78+H78</f>
        <v>2203</v>
      </c>
      <c r="N78" s="249">
        <f>'Datos Extra'!C46</f>
        <v>1837.2749805450439</v>
      </c>
      <c r="O78" s="255">
        <f t="shared" si="3"/>
        <v>-365.72501945495605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09" t="s">
        <v>95</v>
      </c>
      <c r="D79" s="518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09" t="s">
        <v>96</v>
      </c>
      <c r="D80" s="518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374298.79219249618</v>
      </c>
      <c r="F81" s="255">
        <f>+F70+F71+F72+F77+F78</f>
        <v>383763.28054871579</v>
      </c>
      <c r="G81" s="196"/>
      <c r="I81" s="196"/>
      <c r="J81" s="276">
        <f>+J70+J71+J72+J77+J78</f>
        <v>374298.79219249618</v>
      </c>
      <c r="K81" s="277">
        <f>+K70+K71+K72+K77+K78</f>
        <v>383763.28054871579</v>
      </c>
      <c r="L81" s="278"/>
      <c r="M81" s="278"/>
      <c r="N81" s="278"/>
      <c r="O81" s="255">
        <f>SUM(O70:O80)</f>
        <v>11937.510692556825</v>
      </c>
      <c r="P81" s="279"/>
      <c r="Q81" s="280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8359.5996111500717</v>
      </c>
      <c r="P82" s="279"/>
      <c r="Q82" s="280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246</v>
      </c>
      <c r="D85" s="607"/>
      <c r="E85" s="607"/>
      <c r="F85" s="607"/>
      <c r="G85" s="607"/>
      <c r="H85" s="608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3" t="s">
        <v>247</v>
      </c>
      <c r="D86" s="604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05"/>
      <c r="S86" s="538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03" t="s">
        <v>249</v>
      </c>
      <c r="D88" s="604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05"/>
      <c r="Q88" s="538"/>
      <c r="R88" s="196"/>
      <c r="S88" s="196"/>
      <c r="T88" s="196"/>
    </row>
    <row r="89" spans="3:26" ht="15.75" customHeight="1" x14ac:dyDescent="0.2">
      <c r="C89" s="603" t="s">
        <v>250</v>
      </c>
      <c r="D89" s="604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5"/>
      <c r="Q89" s="538"/>
      <c r="R89" s="196"/>
      <c r="S89" s="196"/>
      <c r="T89" s="196"/>
    </row>
    <row r="90" spans="3:26" ht="14.25" customHeight="1" x14ac:dyDescent="0.2">
      <c r="C90" s="603" t="s">
        <v>251</v>
      </c>
      <c r="D90" s="604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5"/>
      <c r="Q90" s="538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05"/>
      <c r="Q91" s="538"/>
      <c r="R91" s="196"/>
      <c r="S91" s="196"/>
      <c r="T91" s="196"/>
    </row>
    <row r="92" spans="3:26" ht="14.25" customHeight="1" x14ac:dyDescent="0.2">
      <c r="C92" s="606" t="s">
        <v>252</v>
      </c>
      <c r="D92" s="607"/>
      <c r="E92" s="607"/>
      <c r="F92" s="607"/>
      <c r="G92" s="607"/>
      <c r="H92" s="608"/>
      <c r="I92" s="258"/>
      <c r="J92" s="258"/>
      <c r="K92" s="133"/>
      <c r="L92" s="196"/>
      <c r="M92" s="133"/>
      <c r="N92" s="196"/>
      <c r="O92" s="133"/>
      <c r="P92" s="605"/>
      <c r="Q92" s="538"/>
      <c r="R92" s="196"/>
      <c r="S92" s="196"/>
      <c r="T92" s="196"/>
    </row>
    <row r="93" spans="3:26" ht="14.25" customHeight="1" x14ac:dyDescent="0.2">
      <c r="C93" s="603" t="s">
        <v>253</v>
      </c>
      <c r="D93" s="604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05"/>
      <c r="Q93" s="538"/>
      <c r="R93" s="196"/>
      <c r="S93" s="196"/>
    </row>
    <row r="94" spans="3:26" ht="14.25" customHeight="1" x14ac:dyDescent="0.2">
      <c r="C94" s="603" t="s">
        <v>254</v>
      </c>
      <c r="D94" s="604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05"/>
      <c r="Q94" s="538"/>
      <c r="R94" s="196"/>
      <c r="S94" s="196"/>
    </row>
    <row r="95" spans="3:26" ht="14.25" customHeight="1" x14ac:dyDescent="0.2">
      <c r="C95" s="603" t="s">
        <v>255</v>
      </c>
      <c r="D95" s="604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05"/>
      <c r="Q95" s="538"/>
      <c r="R95" s="196"/>
      <c r="S95" s="196"/>
    </row>
    <row r="96" spans="3:26" ht="14.25" customHeight="1" x14ac:dyDescent="0.2">
      <c r="C96" s="603" t="s">
        <v>256</v>
      </c>
      <c r="D96" s="604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05"/>
      <c r="Q96" s="538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2023-12-01T17:25:24Z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