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lujos" sheetId="1" state="visible" r:id="rId2"/>
    <sheet name="Reporte " sheetId="2" state="visible" r:id="rId3"/>
    <sheet name="Datos Extra" sheetId="3" state="visible" r:id="rId4"/>
    <sheet name="Utilidad" sheetId="4" state="visible" r:id="rId5"/>
    <sheet name="Info Planta" sheetId="5" state="hidden" r:id="rId6"/>
    <sheet name="Calc Nodos" sheetId="6" state="hidden" r:id="rId7"/>
    <sheet name="Bal AL FeT" sheetId="7" state="hidden" r:id="rId8"/>
    <sheet name="Bal AL FeMag" sheetId="8" state="hidden" r:id="rId9"/>
    <sheet name="Diag Bal AL FeT" sheetId="9" state="visible" r:id="rId10"/>
    <sheet name="Diag ML FeT" sheetId="10" state="visible" r:id="rId11"/>
    <sheet name="Bal ML FeT" sheetId="11" state="hidden" r:id="rId12"/>
    <sheet name="Bal ML FeMag" sheetId="12" state="hidden" r:id="rId13"/>
  </sheets>
  <definedNames>
    <definedName function="false" hidden="false" localSheetId="5" name="solver_cvg" vbProcedure="false">0.0001</definedName>
    <definedName function="false" hidden="false" localSheetId="5" name="solver_drv" vbProcedure="false">1</definedName>
    <definedName function="false" hidden="false" localSheetId="5" name="solver_eng" vbProcedure="false">1</definedName>
    <definedName function="false" hidden="false" localSheetId="5" name="solver_est" vbProcedure="false">1</definedName>
    <definedName function="false" hidden="false" localSheetId="5" name="solver_itr" vbProcedure="false">2147483647</definedName>
    <definedName function="false" hidden="false" localSheetId="5" name="solver_mip" vbProcedure="false">2147483647</definedName>
    <definedName function="false" hidden="false" localSheetId="5" name="solver_mni" vbProcedure="false">30</definedName>
    <definedName function="false" hidden="false" localSheetId="5" name="solver_mrt" vbProcedure="false">0.075</definedName>
    <definedName function="false" hidden="false" localSheetId="5" name="solver_msl" vbProcedure="false">2</definedName>
    <definedName function="false" hidden="false" localSheetId="5" name="solver_neg" vbProcedure="false">1</definedName>
    <definedName function="false" hidden="false" localSheetId="5" name="solver_nod" vbProcedure="false">2147483647</definedName>
    <definedName function="false" hidden="false" localSheetId="5" name="solver_num" vbProcedure="false">35</definedName>
    <definedName function="false" hidden="false" localSheetId="5" name="solver_nwt" vbProcedure="false">1</definedName>
    <definedName function="false" hidden="false" localSheetId="5" name="solver_pre" vbProcedure="false">0.000001</definedName>
    <definedName function="false" hidden="false" localSheetId="5" name="solver_rbv" vbProcedure="false">1</definedName>
    <definedName function="false" hidden="false" localSheetId="5" name="solver_rel1" vbProcedure="false">1</definedName>
    <definedName function="false" hidden="false" localSheetId="5" name="solver_rel10" vbProcedure="false">2</definedName>
    <definedName function="false" hidden="false" localSheetId="5" name="solver_rel11" vbProcedure="false">2</definedName>
    <definedName function="false" hidden="false" localSheetId="5" name="solver_rel12" vbProcedure="false">2</definedName>
    <definedName function="false" hidden="false" localSheetId="5" name="solver_rel13" vbProcedure="false">2</definedName>
    <definedName function="false" hidden="false" localSheetId="5" name="solver_rel14" vbProcedure="false">2</definedName>
    <definedName function="false" hidden="false" localSheetId="5" name="solver_rel15" vbProcedure="false">1</definedName>
    <definedName function="false" hidden="false" localSheetId="5" name="solver_rel16" vbProcedure="false">1</definedName>
    <definedName function="false" hidden="false" localSheetId="5" name="solver_rel17" vbProcedure="false">2</definedName>
    <definedName function="false" hidden="false" localSheetId="5" name="solver_rel18" vbProcedure="false">2</definedName>
    <definedName function="false" hidden="false" localSheetId="5" name="solver_rel19" vbProcedure="false">2</definedName>
    <definedName function="false" hidden="false" localSheetId="5" name="solver_rel2" vbProcedure="false">1</definedName>
    <definedName function="false" hidden="false" localSheetId="5" name="solver_rel20" vbProcedure="false">2</definedName>
    <definedName function="false" hidden="false" localSheetId="5" name="solver_rel21" vbProcedure="false">1</definedName>
    <definedName function="false" hidden="false" localSheetId="5" name="solver_rel22" vbProcedure="false">1</definedName>
    <definedName function="false" hidden="false" localSheetId="5" name="solver_rel23" vbProcedure="false">1</definedName>
    <definedName function="false" hidden="false" localSheetId="5" name="solver_rel24" vbProcedure="false">1</definedName>
    <definedName function="false" hidden="false" localSheetId="5" name="solver_rel25" vbProcedure="false">1</definedName>
    <definedName function="false" hidden="false" localSheetId="5" name="solver_rel26" vbProcedure="false">1</definedName>
    <definedName function="false" hidden="false" localSheetId="5" name="solver_rel27" vbProcedure="false">1</definedName>
    <definedName function="false" hidden="false" localSheetId="5" name="solver_rel28" vbProcedure="false">1</definedName>
    <definedName function="false" hidden="false" localSheetId="5" name="solver_rel29" vbProcedure="false">1</definedName>
    <definedName function="false" hidden="false" localSheetId="5" name="solver_rel3" vbProcedure="false">1</definedName>
    <definedName function="false" hidden="false" localSheetId="5" name="solver_rel30" vbProcedure="false">1</definedName>
    <definedName function="false" hidden="false" localSheetId="5" name="solver_rel31" vbProcedure="false">1</definedName>
    <definedName function="false" hidden="false" localSheetId="5" name="solver_rel32" vbProcedure="false">1</definedName>
    <definedName function="false" hidden="false" localSheetId="5" name="solver_rel33" vbProcedure="false">1</definedName>
    <definedName function="false" hidden="false" localSheetId="5" name="solver_rel34" vbProcedure="false">1</definedName>
    <definedName function="false" hidden="false" localSheetId="5" name="solver_rel35" vbProcedure="false">1</definedName>
    <definedName function="false" hidden="false" localSheetId="5" name="solver_rel4" vbProcedure="false">1</definedName>
    <definedName function="false" hidden="false" localSheetId="5" name="solver_rel5" vbProcedure="false">1</definedName>
    <definedName function="false" hidden="false" localSheetId="5" name="solver_rel6" vbProcedure="false">1</definedName>
    <definedName function="false" hidden="false" localSheetId="5" name="solver_rel7" vbProcedure="false">1</definedName>
    <definedName function="false" hidden="false" localSheetId="5" name="solver_rel8" vbProcedure="false">1</definedName>
    <definedName function="false" hidden="false" localSheetId="5" name="solver_rel9" vbProcedure="false">2</definedName>
    <definedName function="false" hidden="false" localSheetId="5" name="solver_rhs10" vbProcedure="false">0</definedName>
    <definedName function="false" hidden="false" localSheetId="5" name="solver_rhs11" vbProcedure="false">0</definedName>
    <definedName function="false" hidden="false" localSheetId="5" name="solver_rhs12" vbProcedure="false">0</definedName>
    <definedName function="false" hidden="false" localSheetId="5" name="solver_rhs13" vbProcedure="false">0</definedName>
    <definedName function="false" hidden="false" localSheetId="5" name="solver_rhs14" vbProcedure="false">0</definedName>
    <definedName function="false" hidden="false" localSheetId="5" name="solver_rhs17" vbProcedure="false">0</definedName>
    <definedName function="false" hidden="false" localSheetId="5" name="solver_rhs18" vbProcedure="false">0</definedName>
    <definedName function="false" hidden="false" localSheetId="5" name="solver_rhs19" vbProcedure="false">0</definedName>
    <definedName function="false" hidden="false" localSheetId="5" name="solver_rhs20" vbProcedure="false">0</definedName>
    <definedName function="false" hidden="false" localSheetId="5" name="solver_rhs9" vbProcedure="false">0</definedName>
    <definedName function="false" hidden="false" localSheetId="5" name="solver_rlx" vbProcedure="false">2</definedName>
    <definedName function="false" hidden="false" localSheetId="5" name="solver_rsd" vbProcedure="false">0</definedName>
    <definedName function="false" hidden="false" localSheetId="5" name="solver_scl" vbProcedure="false">1</definedName>
    <definedName function="false" hidden="false" localSheetId="5" name="solver_sho" vbProcedure="false">2</definedName>
    <definedName function="false" hidden="false" localSheetId="5" name="solver_ssz" vbProcedure="false">100</definedName>
    <definedName function="false" hidden="false" localSheetId="5" name="solver_tim" vbProcedure="false">2147483647</definedName>
    <definedName function="false" hidden="false" localSheetId="5" name="solver_tol" vbProcedure="false">1</definedName>
    <definedName function="false" hidden="false" localSheetId="5" name="solver_typ" vbProcedure="false">2</definedName>
    <definedName function="false" hidden="false" localSheetId="5" name="solver_val" vbProcedure="false">0</definedName>
    <definedName function="false" hidden="false" localSheetId="5" name="solver_ver" vbProcedure="false">3</definedName>
    <definedName function="false" hidden="false" localSheetId="6" name="solver_adj" vbProcedure="false">'Bal AL FeT'!$J$26:$K$42</definedName>
    <definedName function="false" hidden="false" localSheetId="6" name="solver_cvg" vbProcedure="false">0.0001</definedName>
    <definedName function="false" hidden="false" localSheetId="6" name="solver_drv" vbProcedure="false">1</definedName>
    <definedName function="false" hidden="false" localSheetId="6" name="solver_eng" vbProcedure="false">1</definedName>
    <definedName function="false" hidden="false" localSheetId="6" name="solver_est" vbProcedure="false">1</definedName>
    <definedName function="false" hidden="false" localSheetId="6" name="solver_itr" vbProcedure="false">2147483647</definedName>
    <definedName function="false" hidden="false" localSheetId="6" name="solver_lhs1" vbProcedure="false">'Bal AL FeT'!$P$32</definedName>
    <definedName function="false" hidden="false" localSheetId="6" name="solver_lhs10" vbProcedure="false">'Bal AL FeT'!$W$37</definedName>
    <definedName function="false" hidden="false" localSheetId="6" name="solver_lhs11" vbProcedure="false">'Bal AL FeT'!$W$33</definedName>
    <definedName function="false" hidden="false" localSheetId="6" name="solver_lhs12" vbProcedure="false">'Bal AL FeT'!$V$36</definedName>
    <definedName function="false" hidden="false" localSheetId="6" name="solver_lhs13" vbProcedure="false">'Bal AL FeT'!$W$36</definedName>
    <definedName function="false" hidden="false" localSheetId="6" name="solver_lhs14" vbProcedure="false">'Bal AL FeT'!$W$35</definedName>
    <definedName function="false" hidden="false" localSheetId="6" name="solver_lhs15" vbProcedure="false">'Bal AL FeT'!$R$37</definedName>
    <definedName function="false" hidden="false" localSheetId="6" name="solver_lhs16" vbProcedure="false">'Bal AL FeT'!$R$41</definedName>
    <definedName function="false" hidden="false" localSheetId="6" name="solver_lhs17" vbProcedure="false">'Bal AL FeT'!$V$35</definedName>
    <definedName function="false" hidden="false" localSheetId="6" name="solver_lhs18" vbProcedure="false">'Bal AL FeT'!$V$33</definedName>
    <definedName function="false" hidden="false" localSheetId="6" name="solver_lhs19" vbProcedure="false">'Bal AL FeT'!$V$34</definedName>
    <definedName function="false" hidden="false" localSheetId="6" name="solver_lhs2" vbProcedure="false">'Bal AL FeT'!$P$27</definedName>
    <definedName function="false" hidden="false" localSheetId="6" name="solver_lhs20" vbProcedure="false">'Bal AL FeT'!$W$34</definedName>
    <definedName function="false" hidden="false" localSheetId="6" name="solver_lhs21" vbProcedure="false">'Bal AL FeT'!$R$42</definedName>
    <definedName function="false" hidden="false" localSheetId="6" name="solver_lhs22" vbProcedure="false">'Bal AL FeT'!$R$38</definedName>
    <definedName function="false" hidden="false" localSheetId="6" name="solver_lhs23" vbProcedure="false">'Bal AL FeT'!$R$40</definedName>
    <definedName function="false" hidden="false" localSheetId="6" name="solver_lhs24" vbProcedure="false">'Bal AL FeT'!$R$35</definedName>
    <definedName function="false" hidden="false" localSheetId="6" name="solver_lhs25" vbProcedure="false">'Bal AL FeT'!$P$39</definedName>
    <definedName function="false" hidden="false" localSheetId="6" name="solver_lhs26" vbProcedure="false">'Bal AL FeT'!$R$27</definedName>
    <definedName function="false" hidden="false" localSheetId="6" name="solver_lhs27" vbProcedure="false">'Bal AL FeT'!$R$33</definedName>
    <definedName function="false" hidden="false" localSheetId="6" name="solver_lhs28" vbProcedure="false">'Bal AL FeT'!$R$28</definedName>
    <definedName function="false" hidden="false" localSheetId="6" name="solver_lhs29" vbProcedure="false">'Bal AL FeT'!$R$29</definedName>
    <definedName function="false" hidden="false" localSheetId="6" name="solver_lhs3" vbProcedure="false">'Bal AL FeT'!$P$35</definedName>
    <definedName function="false" hidden="false" localSheetId="6" name="solver_lhs30" vbProcedure="false">'Bal AL FeT'!$P$40</definedName>
    <definedName function="false" hidden="false" localSheetId="6" name="solver_lhs31" vbProcedure="false">'Bal AL FeT'!$P$36</definedName>
    <definedName function="false" hidden="false" localSheetId="6" name="solver_lhs32" vbProcedure="false">'Bal AL FeT'!$P$33</definedName>
    <definedName function="false" hidden="false" localSheetId="6" name="solver_lhs33" vbProcedure="false">'Bal AL FeT'!$P$29</definedName>
    <definedName function="false" hidden="false" localSheetId="6" name="solver_lhs34" vbProcedure="false">'Bal AL FeT'!$P$28</definedName>
    <definedName function="false" hidden="false" localSheetId="6" name="solver_lhs35" vbProcedure="false">'Bal AL FeT'!$P$31</definedName>
    <definedName function="false" hidden="false" localSheetId="6" name="solver_lhs4" vbProcedure="false">'Bal AL FeT'!$P$37</definedName>
    <definedName function="false" hidden="false" localSheetId="6" name="solver_lhs5" vbProcedure="false">'Bal AL FeT'!$P$42</definedName>
    <definedName function="false" hidden="false" localSheetId="6" name="solver_lhs6" vbProcedure="false">'Bal AL FeT'!$R$32</definedName>
    <definedName function="false" hidden="false" localSheetId="6" name="solver_lhs7" vbProcedure="false">'Bal AL FeT'!$P$25</definedName>
    <definedName function="false" hidden="false" localSheetId="6" name="solver_lhs8" vbProcedure="false">'Bal AL FeT'!$R$36</definedName>
    <definedName function="false" hidden="false" localSheetId="6" name="solver_lhs9" vbProcedure="false">'Bal AL FeT'!$V$37</definedName>
    <definedName function="false" hidden="false" localSheetId="6" name="solver_mip" vbProcedure="false">2147483647</definedName>
    <definedName function="false" hidden="false" localSheetId="6" name="solver_mni" vbProcedure="false">30</definedName>
    <definedName function="false" hidden="false" localSheetId="6" name="solver_mrt" vbProcedure="false">0.075</definedName>
    <definedName function="false" hidden="false" localSheetId="6" name="solver_msl" vbProcedure="false">2</definedName>
    <definedName function="false" hidden="false" localSheetId="6" name="solver_neg" vbProcedure="false">1</definedName>
    <definedName function="false" hidden="false" localSheetId="6" name="solver_nod" vbProcedure="false">2147483647</definedName>
    <definedName function="false" hidden="false" localSheetId="6" name="solver_num" vbProcedure="false">27</definedName>
    <definedName function="false" hidden="false" localSheetId="6" name="solver_nwt" vbProcedure="false">1</definedName>
    <definedName function="false" hidden="false" localSheetId="6" name="solver_opt" vbProcedure="false">'Bal AL FeT'!$V$40</definedName>
    <definedName function="false" hidden="false" localSheetId="6" name="solver_pre" vbProcedure="false">0.000001</definedName>
    <definedName function="false" hidden="false" localSheetId="6" name="solver_rbv" vbProcedure="false">1</definedName>
    <definedName function="false" hidden="false" localSheetId="6" name="solver_rel1" vbProcedure="false">1</definedName>
    <definedName function="false" hidden="false" localSheetId="6" name="solver_rel10" vbProcedure="false">1</definedName>
    <definedName function="false" hidden="false" localSheetId="6" name="solver_rel11" vbProcedure="false">1</definedName>
    <definedName function="false" hidden="false" localSheetId="6" name="solver_rel12" vbProcedure="false">1</definedName>
    <definedName function="false" hidden="false" localSheetId="6" name="solver_rel13" vbProcedure="false">1</definedName>
    <definedName function="false" hidden="false" localSheetId="6" name="solver_rel14" vbProcedure="false">1</definedName>
    <definedName function="false" hidden="false" localSheetId="6" name="solver_rel15" vbProcedure="false">2</definedName>
    <definedName function="false" hidden="false" localSheetId="6" name="solver_rel16" vbProcedure="false">2</definedName>
    <definedName function="false" hidden="false" localSheetId="6" name="solver_rel17" vbProcedure="false">1</definedName>
    <definedName function="false" hidden="false" localSheetId="6" name="solver_rel18" vbProcedure="false">2</definedName>
    <definedName function="false" hidden="false" localSheetId="6" name="solver_rel19" vbProcedure="false">2</definedName>
    <definedName function="false" hidden="false" localSheetId="6" name="solver_rel2" vbProcedure="false">1</definedName>
    <definedName function="false" hidden="false" localSheetId="6" name="solver_rel20" vbProcedure="false">1</definedName>
    <definedName function="false" hidden="false" localSheetId="6" name="solver_rel21" vbProcedure="false">1</definedName>
    <definedName function="false" hidden="false" localSheetId="6" name="solver_rel22" vbProcedure="false">2</definedName>
    <definedName function="false" hidden="false" localSheetId="6" name="solver_rel23" vbProcedure="false">2</definedName>
    <definedName function="false" hidden="false" localSheetId="6" name="solver_rel24" vbProcedure="false">2</definedName>
    <definedName function="false" hidden="false" localSheetId="6" name="solver_rel25" vbProcedure="false">2</definedName>
    <definedName function="false" hidden="false" localSheetId="6" name="solver_rel26" vbProcedure="false">2</definedName>
    <definedName function="false" hidden="false" localSheetId="6" name="solver_rel27" vbProcedure="false">2</definedName>
    <definedName function="false" hidden="false" localSheetId="6" name="solver_rel3" vbProcedure="false">1</definedName>
    <definedName function="false" hidden="false" localSheetId="6" name="solver_rel4" vbProcedure="false">1</definedName>
    <definedName function="false" hidden="false" localSheetId="6" name="solver_rel5" vbProcedure="false">1</definedName>
    <definedName function="false" hidden="false" localSheetId="6" name="solver_rel6" vbProcedure="false">1</definedName>
    <definedName function="false" hidden="false" localSheetId="6" name="solver_rel7" vbProcedure="false">1</definedName>
    <definedName function="false" hidden="false" localSheetId="6" name="solver_rel8" vbProcedure="false">1</definedName>
    <definedName function="false" hidden="false" localSheetId="6" name="solver_rel9" vbProcedure="false">1</definedName>
    <definedName function="false" hidden="false" localSheetId="6" name="solver_rhs1" vbProcedure="false">'Bal AL FeT'!$Q$32</definedName>
    <definedName function="false" hidden="false" localSheetId="6" name="solver_rhs15" vbProcedure="false">'Bal AL FeT'!$S$37</definedName>
    <definedName function="false" hidden="false" localSheetId="6" name="solver_rhs16" vbProcedure="false">'Bal AL FeT'!$S$41</definedName>
    <definedName function="false" hidden="false" localSheetId="6" name="solver_rhs18" vbProcedure="false">0</definedName>
    <definedName function="false" hidden="false" localSheetId="6" name="solver_rhs19" vbProcedure="false">0</definedName>
    <definedName function="false" hidden="false" localSheetId="6" name="solver_rhs2" vbProcedure="false">'Bal AL FeT'!$Q$27</definedName>
    <definedName function="false" hidden="false" localSheetId="6" name="solver_rhs21" vbProcedure="false">'Bal AL FeT'!$S$42</definedName>
    <definedName function="false" hidden="false" localSheetId="6" name="solver_rhs22" vbProcedure="false">'Bal AL FeT'!$S$38</definedName>
    <definedName function="false" hidden="false" localSheetId="6" name="solver_rhs23" vbProcedure="false">'Bal AL FeT'!$S$40</definedName>
    <definedName function="false" hidden="false" localSheetId="6" name="solver_rhs24" vbProcedure="false">'Bal AL FeT'!$S$35</definedName>
    <definedName function="false" hidden="false" localSheetId="6" name="solver_rhs25" vbProcedure="false">'Bal AL FeT'!$Q$39</definedName>
    <definedName function="false" hidden="false" localSheetId="6" name="solver_rhs26" vbProcedure="false">'Bal AL FeT'!$S$27</definedName>
    <definedName function="false" hidden="false" localSheetId="6" name="solver_rhs27" vbProcedure="false">'Bal AL FeT'!$S$33</definedName>
    <definedName function="false" hidden="false" localSheetId="6" name="solver_rhs28" vbProcedure="false">'Bal AL FeT'!$S$28</definedName>
    <definedName function="false" hidden="false" localSheetId="6" name="solver_rhs29" vbProcedure="false">'Bal AL FeT'!$S$29</definedName>
    <definedName function="false" hidden="false" localSheetId="6" name="solver_rhs3" vbProcedure="false">'Bal AL FeT'!$Q$35</definedName>
    <definedName function="false" hidden="false" localSheetId="6" name="solver_rhs30" vbProcedure="false">'Bal AL FeT'!$Q$40</definedName>
    <definedName function="false" hidden="false" localSheetId="6" name="solver_rhs31" vbProcedure="false">'Bal AL FeT'!$Q$36</definedName>
    <definedName function="false" hidden="false" localSheetId="6" name="solver_rhs32" vbProcedure="false">'Bal AL FeT'!$Q$33</definedName>
    <definedName function="false" hidden="false" localSheetId="6" name="solver_rhs33" vbProcedure="false">'Bal AL FeT'!$Q$29</definedName>
    <definedName function="false" hidden="false" localSheetId="6" name="solver_rhs34" vbProcedure="false">'Bal AL FeT'!$Q$28</definedName>
    <definedName function="false" hidden="false" localSheetId="6" name="solver_rhs35" vbProcedure="false">'Bal AL FeT'!$Q$31</definedName>
    <definedName function="false" hidden="false" localSheetId="6" name="solver_rhs4" vbProcedure="false">'Bal AL FeT'!$Q$37</definedName>
    <definedName function="false" hidden="false" localSheetId="6" name="solver_rhs5" vbProcedure="false">'Bal AL FeT'!$Q$42</definedName>
    <definedName function="false" hidden="false" localSheetId="6" name="solver_rhs6" vbProcedure="false">'Bal AL FeT'!$S$32</definedName>
    <definedName function="false" hidden="false" localSheetId="6" name="solver_rhs7" vbProcedure="false">'Bal AL FeT'!$Q$25</definedName>
    <definedName function="false" hidden="false" localSheetId="6" name="solver_rhs8" vbProcedure="false">'Bal AL FeT'!$S$36</definedName>
    <definedName function="false" hidden="false" localSheetId="6" name="solver_rlx" vbProcedure="false">2</definedName>
    <definedName function="false" hidden="false" localSheetId="6" name="solver_rsd" vbProcedure="false">0</definedName>
    <definedName function="false" hidden="false" localSheetId="6" name="solver_scl" vbProcedure="false">1</definedName>
    <definedName function="false" hidden="false" localSheetId="6" name="solver_sho" vbProcedure="false">2</definedName>
    <definedName function="false" hidden="false" localSheetId="6" name="solver_ssz" vbProcedure="false">100</definedName>
    <definedName function="false" hidden="false" localSheetId="6" name="solver_tim" vbProcedure="false">2147483647</definedName>
    <definedName function="false" hidden="false" localSheetId="6" name="solver_tol" vbProcedure="false">1</definedName>
    <definedName function="false" hidden="false" localSheetId="6" name="solver_typ" vbProcedure="false">2</definedName>
    <definedName function="false" hidden="false" localSheetId="6" name="solver_val" vbProcedure="false">0</definedName>
    <definedName function="false" hidden="false" localSheetId="6" name="solver_ver" vbProcedure="false">3</definedName>
    <definedName function="false" hidden="false" localSheetId="7" name="solver_adj" vbProcedure="false">'Bal AL FeMag'!$K$26:$K$42</definedName>
    <definedName function="false" hidden="false" localSheetId="7" name="solver_lhs1" vbProcedure="false">'Bal AL FeMag'!$P$29</definedName>
    <definedName function="false" hidden="false" localSheetId="7" name="solver_lhs10" vbProcedure="false">'Bal AL FeMag'!$R$28</definedName>
    <definedName function="false" hidden="false" localSheetId="7" name="solver_lhs11" vbProcedure="false">'Bal AL FeMag'!$R$29</definedName>
    <definedName function="false" hidden="false" localSheetId="7" name="solver_lhs12" vbProcedure="false">'Bal AL FeMag'!$R$40</definedName>
    <definedName function="false" hidden="false" localSheetId="7" name="solver_lhs13" vbProcedure="false">'Bal AL FeMag'!$R$32</definedName>
    <definedName function="false" hidden="false" localSheetId="7" name="solver_lhs14" vbProcedure="false">'Bal AL FeMag'!$R$42</definedName>
    <definedName function="false" hidden="false" localSheetId="7" name="solver_lhs15" vbProcedure="false">'Bal AL FeMag'!$V$35</definedName>
    <definedName function="false" hidden="false" localSheetId="7" name="solver_lhs16" vbProcedure="false">'Bal AL FeMag'!$V$34</definedName>
    <definedName function="false" hidden="false" localSheetId="7" name="solver_lhs17" vbProcedure="false">'Bal AL FeMag'!$R$30</definedName>
    <definedName function="false" hidden="false" localSheetId="7" name="solver_lhs18" vbProcedure="false">'Bal AL FeMag'!$V$36</definedName>
    <definedName function="false" hidden="false" localSheetId="7" name="solver_lhs19" vbProcedure="false">'Bal AL FeMag'!$V$33</definedName>
    <definedName function="false" hidden="false" localSheetId="7" name="solver_lhs2" vbProcedure="false">'Bal AL FeMag'!$P$32</definedName>
    <definedName function="false" hidden="false" localSheetId="7" name="solver_lhs20" vbProcedure="false">'Bal AL FeMag'!$R$33</definedName>
    <definedName function="false" hidden="false" localSheetId="7" name="solver_lhs21" vbProcedure="false">'Bal AL FeMag'!$P$25</definedName>
    <definedName function="false" hidden="false" localSheetId="7" name="solver_lhs22" vbProcedure="false">'Bal AL FeMag'!$W$33</definedName>
    <definedName function="false" hidden="false" localSheetId="7" name="solver_lhs23" vbProcedure="false">'Bal AL FeMag'!$V$37</definedName>
    <definedName function="false" hidden="false" localSheetId="7" name="solver_lhs24" vbProcedure="false">'Bal AL FeMag'!$W$34</definedName>
    <definedName function="false" hidden="false" localSheetId="7" name="solver_lhs25" vbProcedure="false">'Bal AL FeMag'!$W$36</definedName>
    <definedName function="false" hidden="false" localSheetId="7" name="solver_lhs26" vbProcedure="false">'Bal AL FeMag'!$W$35</definedName>
    <definedName function="false" hidden="false" localSheetId="7" name="solver_lhs27" vbProcedure="false">'Bal AL FeMag'!$W$37</definedName>
    <definedName function="false" hidden="false" localSheetId="7" name="solver_lhs3" vbProcedure="false">'Bal AL FeMag'!$P$31</definedName>
    <definedName function="false" hidden="false" localSheetId="7" name="solver_lhs4" vbProcedure="false">'Bal AL FeMag'!$P$33</definedName>
    <definedName function="false" hidden="false" localSheetId="7" name="solver_lhs5" vbProcedure="false">'Bal AL FeMag'!$P$35</definedName>
    <definedName function="false" hidden="false" localSheetId="7" name="solver_lhs6" vbProcedure="false">'Bal AL FeMag'!$P$39</definedName>
    <definedName function="false" hidden="false" localSheetId="7" name="solver_lhs7" vbProcedure="false">'Bal AL FeMag'!$P$36</definedName>
    <definedName function="false" hidden="false" localSheetId="7" name="solver_lhs8" vbProcedure="false">'Bal AL FeMag'!$P$42</definedName>
    <definedName function="false" hidden="false" localSheetId="7" name="solver_lhs9" vbProcedure="false">'Bal AL FeMag'!$R$27</definedName>
    <definedName function="false" hidden="false" localSheetId="7" name="solver_opt" vbProcedure="false">'Bal AL FeMag'!$V$40</definedName>
    <definedName function="false" hidden="false" localSheetId="7" name="solver_rhs1" vbProcedure="false">'Bal AL FeMag'!$Q$29</definedName>
    <definedName function="false" hidden="false" localSheetId="7" name="solver_rhs10" vbProcedure="false">'Bal AL FeMag'!$S$28</definedName>
    <definedName function="false" hidden="false" localSheetId="7" name="solver_rhs11" vbProcedure="false">'Bal AL FeMag'!$S$29</definedName>
    <definedName function="false" hidden="false" localSheetId="7" name="solver_rhs12" vbProcedure="false">'Bal AL FeMag'!$S$40</definedName>
    <definedName function="false" hidden="false" localSheetId="7" name="solver_rhs13" vbProcedure="false">'Bal AL FeMag'!$S$32</definedName>
    <definedName function="false" hidden="false" localSheetId="7" name="solver_rhs14" vbProcedure="false">'Bal AL FeMag'!$S$42</definedName>
    <definedName function="false" hidden="false" localSheetId="7" name="solver_rhs17" vbProcedure="false">'Bal AL FeMag'!$S$30</definedName>
    <definedName function="false" hidden="false" localSheetId="7" name="solver_rhs2" vbProcedure="false">'Bal AL FeMag'!$Q$32</definedName>
    <definedName function="false" hidden="false" localSheetId="7" name="solver_rhs20" vbProcedure="false">'Bal AL FeMag'!$S$33</definedName>
    <definedName function="false" hidden="false" localSheetId="7" name="solver_rhs21" vbProcedure="false">'Bal AL FeMag'!$Q$25</definedName>
    <definedName function="false" hidden="false" localSheetId="7" name="solver_rhs3" vbProcedure="false">'Bal AL FeMag'!$Q$31</definedName>
    <definedName function="false" hidden="false" localSheetId="7" name="solver_rhs4" vbProcedure="false">'Bal AL FeMag'!$Q$33</definedName>
    <definedName function="false" hidden="false" localSheetId="7" name="solver_rhs5" vbProcedure="false">'Bal AL FeMag'!$Q$35</definedName>
    <definedName function="false" hidden="false" localSheetId="7" name="solver_rhs6" vbProcedure="false">'Bal AL FeMag'!$Q$39</definedName>
    <definedName function="false" hidden="false" localSheetId="7" name="solver_rhs7" vbProcedure="false">'Bal AL FeMag'!$Q$36</definedName>
    <definedName function="false" hidden="false" localSheetId="7" name="solver_rhs8" vbProcedure="false">'Bal AL FeMag'!$Q$42</definedName>
    <definedName function="false" hidden="false" localSheetId="7" name="solver_rhs9" vbProcedure="false">'Bal AL FeMag'!$S$27</definedName>
    <definedName function="false" hidden="false" localSheetId="10" name="solver_adj" vbProcedure="false">'Bal ML FeT'!$J$20:$K$30</definedName>
    <definedName function="false" hidden="false" localSheetId="10" name="solver_cvg" vbProcedure="false">0.0001</definedName>
    <definedName function="false" hidden="false" localSheetId="10" name="solver_drv" vbProcedure="false">2</definedName>
    <definedName function="false" hidden="false" localSheetId="10" name="solver_eng" vbProcedure="false">1</definedName>
    <definedName function="false" hidden="false" localSheetId="10" name="solver_est" vbProcedure="false">1</definedName>
    <definedName function="false" hidden="false" localSheetId="10" name="solver_itr" vbProcedure="false">2147483647</definedName>
    <definedName function="false" hidden="false" localSheetId="10" name="solver_lhs1" vbProcedure="false">'Bal ML FeT'!$W$21</definedName>
    <definedName function="false" hidden="false" localSheetId="10" name="solver_lhs10" vbProcedure="false">'Bal ML FeT'!$R$30</definedName>
    <definedName function="false" hidden="false" localSheetId="10" name="solver_lhs11" vbProcedure="false">'Bal ML FeT'!$V$20</definedName>
    <definedName function="false" hidden="false" localSheetId="10" name="solver_lhs12" vbProcedure="false">'Bal ML FeT'!$V$19</definedName>
    <definedName function="false" hidden="false" localSheetId="10" name="solver_lhs13" vbProcedure="false">'Bal ML FeT'!$R$25</definedName>
    <definedName function="false" hidden="false" localSheetId="10" name="solver_lhs14" vbProcedure="false">'Bal ML FeT'!$R$23</definedName>
    <definedName function="false" hidden="false" localSheetId="10" name="solver_lhs15" vbProcedure="false">'Bal ML FeT'!$R$21</definedName>
    <definedName function="false" hidden="false" localSheetId="10" name="solver_lhs16" vbProcedure="false">'Bal ML FeT'!$R$22</definedName>
    <definedName function="false" hidden="false" localSheetId="10" name="solver_lhs17" vbProcedure="false">'Bal ML FeT'!$P$30</definedName>
    <definedName function="false" hidden="false" localSheetId="10" name="solver_lhs18" vbProcedure="false">'Bal ML FeT'!$R$20</definedName>
    <definedName function="false" hidden="false" localSheetId="10" name="solver_lhs19" vbProcedure="false">'Bal ML FeT'!$P$29</definedName>
    <definedName function="false" hidden="false" localSheetId="10" name="solver_lhs2" vbProcedure="false">'Bal ML FeT'!$W$20</definedName>
    <definedName function="false" hidden="false" localSheetId="10" name="solver_lhs20" vbProcedure="false">'Bal ML FeT'!$P$28</definedName>
    <definedName function="false" hidden="false" localSheetId="10" name="solver_lhs21" vbProcedure="false">'Bal ML FeT'!$P$27</definedName>
    <definedName function="false" hidden="false" localSheetId="10" name="solver_lhs22" vbProcedure="false">'Bal ML FeT'!$P$25</definedName>
    <definedName function="false" hidden="false" localSheetId="10" name="solver_lhs23" vbProcedure="false">'Bal ML FeT'!$P$24</definedName>
    <definedName function="false" hidden="false" localSheetId="10" name="solver_lhs24" vbProcedure="false">'Bal ML FeT'!$J$21</definedName>
    <definedName function="false" hidden="false" localSheetId="10" name="solver_lhs25" vbProcedure="false">'Bal ML FeT'!$K$30</definedName>
    <definedName function="false" hidden="false" localSheetId="10" name="solver_lhs26" vbProcedure="false">'Bal ML FeT'!$P$20</definedName>
    <definedName function="false" hidden="false" localSheetId="10" name="solver_lhs3" vbProcedure="false">'Bal ML FeT'!$W$22</definedName>
    <definedName function="false" hidden="false" localSheetId="10" name="solver_lhs4" vbProcedure="false">'Bal ML FeT'!$W$19</definedName>
    <definedName function="false" hidden="false" localSheetId="10" name="solver_lhs5" vbProcedure="false">'Bal ML FeT'!$V$22</definedName>
    <definedName function="false" hidden="false" localSheetId="10" name="solver_lhs6" vbProcedure="false">'Bal ML FeT'!$P$22</definedName>
    <definedName function="false" hidden="false" localSheetId="10" name="solver_lhs7" vbProcedure="false">'Bal ML FeT'!$R$26</definedName>
    <definedName function="false" hidden="false" localSheetId="10" name="solver_lhs8" vbProcedure="false">'Bal ML FeT'!$R$28</definedName>
    <definedName function="false" hidden="false" localSheetId="10" name="solver_lhs9" vbProcedure="false">'Bal ML FeT'!$V$21</definedName>
    <definedName function="false" hidden="false" localSheetId="10" name="solver_mip" vbProcedure="false">2147483647</definedName>
    <definedName function="false" hidden="false" localSheetId="10" name="solver_mni" vbProcedure="false">30</definedName>
    <definedName function="false" hidden="false" localSheetId="10" name="solver_mrt" vbProcedure="false">0.075</definedName>
    <definedName function="false" hidden="false" localSheetId="10" name="solver_msl" vbProcedure="false">2</definedName>
    <definedName function="false" hidden="false" localSheetId="10" name="solver_neg" vbProcedure="false">1</definedName>
    <definedName function="false" hidden="false" localSheetId="10" name="solver_nod" vbProcedure="false">2147483647</definedName>
    <definedName function="false" hidden="false" localSheetId="10" name="solver_num" vbProcedure="false">26</definedName>
    <definedName function="false" hidden="false" localSheetId="10" name="solver_nwt" vbProcedure="false">1</definedName>
    <definedName function="false" hidden="false" localSheetId="10" name="solver_opt" vbProcedure="false">'Bal ML FeT'!$V$26</definedName>
    <definedName function="false" hidden="false" localSheetId="10" name="solver_pre" vbProcedure="false">0.000001</definedName>
    <definedName function="false" hidden="false" localSheetId="10" name="solver_rbv" vbProcedure="false">2</definedName>
    <definedName function="false" hidden="false" localSheetId="10" name="solver_rel1" vbProcedure="false">2</definedName>
    <definedName function="false" hidden="false" localSheetId="10" name="solver_rel10" vbProcedure="false">1</definedName>
    <definedName function="false" hidden="false" localSheetId="10" name="solver_rel11" vbProcedure="false">2</definedName>
    <definedName function="false" hidden="false" localSheetId="10" name="solver_rel12" vbProcedure="false">2</definedName>
    <definedName function="false" hidden="false" localSheetId="10" name="solver_rel13" vbProcedure="false">1</definedName>
    <definedName function="false" hidden="false" localSheetId="10" name="solver_rel14" vbProcedure="false">1</definedName>
    <definedName function="false" hidden="false" localSheetId="10" name="solver_rel15" vbProcedure="false">1</definedName>
    <definedName function="false" hidden="false" localSheetId="10" name="solver_rel16" vbProcedure="false">1</definedName>
    <definedName function="false" hidden="false" localSheetId="10" name="solver_rel17" vbProcedure="false">1</definedName>
    <definedName function="false" hidden="false" localSheetId="10" name="solver_rel18" vbProcedure="false">1</definedName>
    <definedName function="false" hidden="false" localSheetId="10" name="solver_rel19" vbProcedure="false">1</definedName>
    <definedName function="false" hidden="false" localSheetId="10" name="solver_rel2" vbProcedure="false">2</definedName>
    <definedName function="false" hidden="false" localSheetId="10" name="solver_rel20" vbProcedure="false">1</definedName>
    <definedName function="false" hidden="false" localSheetId="10" name="solver_rel21" vbProcedure="false">1</definedName>
    <definedName function="false" hidden="false" localSheetId="10" name="solver_rel22" vbProcedure="false">1</definedName>
    <definedName function="false" hidden="false" localSheetId="10" name="solver_rel23" vbProcedure="false">1</definedName>
    <definedName function="false" hidden="false" localSheetId="10" name="solver_rel24" vbProcedure="false">2</definedName>
    <definedName function="false" hidden="false" localSheetId="10" name="solver_rel25" vbProcedure="false">2</definedName>
    <definedName function="false" hidden="false" localSheetId="10" name="solver_rel26" vbProcedure="false">1</definedName>
    <definedName function="false" hidden="false" localSheetId="10" name="solver_rel3" vbProcedure="false">2</definedName>
    <definedName function="false" hidden="false" localSheetId="10" name="solver_rel4" vbProcedure="false">2</definedName>
    <definedName function="false" hidden="false" localSheetId="10" name="solver_rel5" vbProcedure="false">2</definedName>
    <definedName function="false" hidden="false" localSheetId="10" name="solver_rel6" vbProcedure="false">1</definedName>
    <definedName function="false" hidden="false" localSheetId="10" name="solver_rel7" vbProcedure="false">1</definedName>
    <definedName function="false" hidden="false" localSheetId="10" name="solver_rel8" vbProcedure="false">1</definedName>
    <definedName function="false" hidden="false" localSheetId="10" name="solver_rel9" vbProcedure="false">2</definedName>
    <definedName function="false" hidden="false" localSheetId="10" name="solver_rhs1" vbProcedure="false">0</definedName>
    <definedName function="false" hidden="false" localSheetId="10" name="solver_rhs10" vbProcedure="false">'Bal ML FeT'!$S$30</definedName>
    <definedName function="false" hidden="false" localSheetId="10" name="solver_rhs11" vbProcedure="false">0</definedName>
    <definedName function="false" hidden="false" localSheetId="10" name="solver_rhs12" vbProcedure="false">0</definedName>
    <definedName function="false" hidden="false" localSheetId="10" name="solver_rhs13" vbProcedure="false">'Bal ML FeT'!$S$25</definedName>
    <definedName function="false" hidden="false" localSheetId="10" name="solver_rhs14" vbProcedure="false">'Bal ML FeT'!$S$23</definedName>
    <definedName function="false" hidden="false" localSheetId="10" name="solver_rhs15" vbProcedure="false">'Bal ML FeT'!$S$21</definedName>
    <definedName function="false" hidden="false" localSheetId="10" name="solver_rhs16" vbProcedure="false">'Bal ML FeT'!$S$22</definedName>
    <definedName function="false" hidden="false" localSheetId="10" name="solver_rhs17" vbProcedure="false">'Bal ML FeT'!$Q$30</definedName>
    <definedName function="false" hidden="false" localSheetId="10" name="solver_rhs18" vbProcedure="false">'Bal ML FeT'!$S$20</definedName>
    <definedName function="false" hidden="false" localSheetId="10" name="solver_rhs19" vbProcedure="false">'Bal ML FeT'!$Q$29</definedName>
    <definedName function="false" hidden="false" localSheetId="10" name="solver_rhs2" vbProcedure="false">0</definedName>
    <definedName function="false" hidden="false" localSheetId="10" name="solver_rhs20" vbProcedure="false">'Bal ML FeT'!$Q$28</definedName>
    <definedName function="false" hidden="false" localSheetId="10" name="solver_rhs21" vbProcedure="false">'Bal ML FeT'!$Q$27</definedName>
    <definedName function="false" hidden="false" localSheetId="10" name="solver_rhs22" vbProcedure="false">'Bal ML FeT'!$Q$25</definedName>
    <definedName function="false" hidden="false" localSheetId="10" name="solver_rhs23" vbProcedure="false">'Bal ML FeT'!$Q$24</definedName>
    <definedName function="false" hidden="false" localSheetId="10" name="solver_rhs24" vbProcedure="false">'Bal ML FeT'!$G$21</definedName>
    <definedName function="false" hidden="false" localSheetId="10" name="solver_rhs25" vbProcedure="false">'Bal ML FeT'!$K$29</definedName>
    <definedName function="false" hidden="false" localSheetId="10" name="solver_rhs26" vbProcedure="false">'Bal ML FeT'!$Q$20</definedName>
    <definedName function="false" hidden="false" localSheetId="10" name="solver_rhs3" vbProcedure="false">0</definedName>
    <definedName function="false" hidden="false" localSheetId="10" name="solver_rhs4" vbProcedure="false">0</definedName>
    <definedName function="false" hidden="false" localSheetId="10" name="solver_rhs5" vbProcedure="false">0</definedName>
    <definedName function="false" hidden="false" localSheetId="10" name="solver_rhs6" vbProcedure="false">'Bal ML FeT'!$Q$22</definedName>
    <definedName function="false" hidden="false" localSheetId="10" name="solver_rhs7" vbProcedure="false">'Bal ML FeT'!$S$26</definedName>
    <definedName function="false" hidden="false" localSheetId="10" name="solver_rhs8" vbProcedure="false">'Bal ML FeT'!$S$28</definedName>
    <definedName function="false" hidden="false" localSheetId="10" name="solver_rhs9" vbProcedure="false">0</definedName>
    <definedName function="false" hidden="false" localSheetId="10" name="solver_rlx" vbProcedure="false">2</definedName>
    <definedName function="false" hidden="false" localSheetId="10" name="solver_rsd" vbProcedure="false">0</definedName>
    <definedName function="false" hidden="false" localSheetId="10" name="solver_scl" vbProcedure="false">2</definedName>
    <definedName function="false" hidden="false" localSheetId="10" name="solver_sho" vbProcedure="false">2</definedName>
    <definedName function="false" hidden="false" localSheetId="10" name="solver_ssz" vbProcedure="false">100</definedName>
    <definedName function="false" hidden="false" localSheetId="10" name="solver_tim" vbProcedure="false">2147483647</definedName>
    <definedName function="false" hidden="false" localSheetId="10" name="solver_tol" vbProcedure="false">1</definedName>
    <definedName function="false" hidden="false" localSheetId="10" name="solver_typ" vbProcedure="false">2</definedName>
    <definedName function="false" hidden="false" localSheetId="10" name="solver_val" vbProcedure="false">0</definedName>
    <definedName function="false" hidden="false" localSheetId="10" name="solver_ver" vbProcedure="false">3</definedName>
    <definedName function="false" hidden="false" localSheetId="11" name="solver_adj" vbProcedure="false">'Bal ML FeMag'!$K$20:$K$30</definedName>
    <definedName function="false" hidden="false" localSheetId="11" name="solver_cvg" vbProcedure="false">0.0001</definedName>
    <definedName function="false" hidden="false" localSheetId="11" name="solver_drv" vbProcedure="false">2</definedName>
    <definedName function="false" hidden="false" localSheetId="11" name="solver_eng" vbProcedure="false">1</definedName>
    <definedName function="false" hidden="false" localSheetId="11" name="solver_est" vbProcedure="false">1</definedName>
    <definedName function="false" hidden="false" localSheetId="11" name="solver_itr" vbProcedure="false">2147483647</definedName>
    <definedName function="false" hidden="false" localSheetId="11" name="solver_lhs1" vbProcedure="false">'Bal ML FeMag'!$R$22</definedName>
    <definedName function="false" hidden="false" localSheetId="11" name="solver_lhs10" vbProcedure="false">'Bal ML FeMag'!$V$22</definedName>
    <definedName function="false" hidden="false" localSheetId="11" name="solver_lhs11" vbProcedure="false">'Bal ML FeMag'!$V$21</definedName>
    <definedName function="false" hidden="false" localSheetId="11" name="solver_lhs12" vbProcedure="false">'Bal ML FeMag'!$W$19</definedName>
    <definedName function="false" hidden="false" localSheetId="11" name="solver_lhs13" vbProcedure="false">'Bal ML FeMag'!$V$20</definedName>
    <definedName function="false" hidden="false" localSheetId="11" name="solver_lhs14" vbProcedure="false">'Bal ML FeMag'!$W$20</definedName>
    <definedName function="false" hidden="false" localSheetId="11" name="solver_lhs15" vbProcedure="false">'Bal ML FeMag'!$R$20</definedName>
    <definedName function="false" hidden="false" localSheetId="11" name="solver_lhs16" vbProcedure="false">'Bal ML FeMag'!$R$29</definedName>
    <definedName function="false" hidden="false" localSheetId="11" name="solver_lhs17" vbProcedure="false">'Bal ML FeMag'!$R$28</definedName>
    <definedName function="false" hidden="false" localSheetId="11" name="solver_lhs2" vbProcedure="false">'Bal ML FeMag'!$R$24</definedName>
    <definedName function="false" hidden="false" localSheetId="11" name="solver_lhs3" vbProcedure="false">'Bal ML FeMag'!$R$26</definedName>
    <definedName function="false" hidden="false" localSheetId="11" name="solver_lhs4" vbProcedure="false">'Bal ML FeMag'!$R$27</definedName>
    <definedName function="false" hidden="false" localSheetId="11" name="solver_lhs5" vbProcedure="false">'Bal ML FeMag'!$R$30</definedName>
    <definedName function="false" hidden="false" localSheetId="11" name="solver_lhs6" vbProcedure="false">'Bal ML FeMag'!$R$23</definedName>
    <definedName function="false" hidden="false" localSheetId="11" name="solver_lhs7" vbProcedure="false">'Bal ML FeMag'!$W$21</definedName>
    <definedName function="false" hidden="false" localSheetId="11" name="solver_lhs8" vbProcedure="false">'Bal ML FeMag'!$V$19</definedName>
    <definedName function="false" hidden="false" localSheetId="11" name="solver_lhs9" vbProcedure="false">'Bal ML FeMag'!$W$22</definedName>
    <definedName function="false" hidden="false" localSheetId="11" name="solver_mip" vbProcedure="false">2147483647</definedName>
    <definedName function="false" hidden="false" localSheetId="11" name="solver_mni" vbProcedure="false">30</definedName>
    <definedName function="false" hidden="false" localSheetId="11" name="solver_mrt" vbProcedure="false">0.075</definedName>
    <definedName function="false" hidden="false" localSheetId="11" name="solver_msl" vbProcedure="false">2</definedName>
    <definedName function="false" hidden="false" localSheetId="11" name="solver_neg" vbProcedure="false">1</definedName>
    <definedName function="false" hidden="false" localSheetId="11" name="solver_nod" vbProcedure="false">2147483647</definedName>
    <definedName function="false" hidden="false" localSheetId="11" name="solver_num" vbProcedure="false">17</definedName>
    <definedName function="false" hidden="false" localSheetId="11" name="solver_nwt" vbProcedure="false">1</definedName>
    <definedName function="false" hidden="false" localSheetId="11" name="solver_opt" vbProcedure="false">'Bal ML FeMag'!$V$26</definedName>
    <definedName function="false" hidden="false" localSheetId="11" name="solver_pre" vbProcedure="false">0.000001</definedName>
    <definedName function="false" hidden="false" localSheetId="11" name="solver_rbv" vbProcedure="false">2</definedName>
    <definedName function="false" hidden="false" localSheetId="11" name="solver_rel1" vbProcedure="false">1</definedName>
    <definedName function="false" hidden="false" localSheetId="11" name="solver_rel10" vbProcedure="false">2</definedName>
    <definedName function="false" hidden="false" localSheetId="11" name="solver_rel11" vbProcedure="false">2</definedName>
    <definedName function="false" hidden="false" localSheetId="11" name="solver_rel12" vbProcedure="false">2</definedName>
    <definedName function="false" hidden="false" localSheetId="11" name="solver_rel13" vbProcedure="false">2</definedName>
    <definedName function="false" hidden="false" localSheetId="11" name="solver_rel14" vbProcedure="false">2</definedName>
    <definedName function="false" hidden="false" localSheetId="11" name="solver_rel15" vbProcedure="false">1</definedName>
    <definedName function="false" hidden="false" localSheetId="11" name="solver_rel16" vbProcedure="false">1</definedName>
    <definedName function="false" hidden="false" localSheetId="11" name="solver_rel17" vbProcedure="false">1</definedName>
    <definedName function="false" hidden="false" localSheetId="11" name="solver_rel2" vbProcedure="false">1</definedName>
    <definedName function="false" hidden="false" localSheetId="11" name="solver_rel3" vbProcedure="false">1</definedName>
    <definedName function="false" hidden="false" localSheetId="11" name="solver_rel4" vbProcedure="false">1</definedName>
    <definedName function="false" hidden="false" localSheetId="11" name="solver_rel5" vbProcedure="false">1</definedName>
    <definedName function="false" hidden="false" localSheetId="11" name="solver_rel6" vbProcedure="false">1</definedName>
    <definedName function="false" hidden="false" localSheetId="11" name="solver_rel7" vbProcedure="false">2</definedName>
    <definedName function="false" hidden="false" localSheetId="11" name="solver_rel8" vbProcedure="false">2</definedName>
    <definedName function="false" hidden="false" localSheetId="11" name="solver_rel9" vbProcedure="false">2</definedName>
    <definedName function="false" hidden="false" localSheetId="11" name="solver_rhs1" vbProcedure="false">'Bal ML FeMag'!$S$22</definedName>
    <definedName function="false" hidden="false" localSheetId="11" name="solver_rhs10" vbProcedure="false">0</definedName>
    <definedName function="false" hidden="false" localSheetId="11" name="solver_rhs11" vbProcedure="false">0</definedName>
    <definedName function="false" hidden="false" localSheetId="11" name="solver_rhs12" vbProcedure="false">0</definedName>
    <definedName function="false" hidden="false" localSheetId="11" name="solver_rhs13" vbProcedure="false">0</definedName>
    <definedName function="false" hidden="false" localSheetId="11" name="solver_rhs14" vbProcedure="false">0</definedName>
    <definedName function="false" hidden="false" localSheetId="11" name="solver_rhs15" vbProcedure="false">'Bal ML FeMag'!$S$20</definedName>
    <definedName function="false" hidden="false" localSheetId="11" name="solver_rhs16" vbProcedure="false">'Bal ML FeMag'!$S$29</definedName>
    <definedName function="false" hidden="false" localSheetId="11" name="solver_rhs17" vbProcedure="false">'Bal ML FeMag'!$S$28</definedName>
    <definedName function="false" hidden="false" localSheetId="11" name="solver_rhs2" vbProcedure="false">'Bal ML FeMag'!$S$24</definedName>
    <definedName function="false" hidden="false" localSheetId="11" name="solver_rhs3" vbProcedure="false">'Bal ML FeMag'!$S$26</definedName>
    <definedName function="false" hidden="false" localSheetId="11" name="solver_rhs4" vbProcedure="false">'Bal ML FeMag'!$S$27</definedName>
    <definedName function="false" hidden="false" localSheetId="11" name="solver_rhs5" vbProcedure="false">'Bal ML FeMag'!$S$30</definedName>
    <definedName function="false" hidden="false" localSheetId="11" name="solver_rhs6" vbProcedure="false">'Bal ML FeMag'!$S$23</definedName>
    <definedName function="false" hidden="false" localSheetId="11" name="solver_rhs7" vbProcedure="false">0</definedName>
    <definedName function="false" hidden="false" localSheetId="11" name="solver_rhs8" vbProcedure="false">0</definedName>
    <definedName function="false" hidden="false" localSheetId="11" name="solver_rhs9" vbProcedure="false">0</definedName>
    <definedName function="false" hidden="false" localSheetId="11" name="solver_rlx" vbProcedure="false">2</definedName>
    <definedName function="false" hidden="false" localSheetId="11" name="solver_rsd" vbProcedure="false">0</definedName>
    <definedName function="false" hidden="false" localSheetId="11" name="solver_scl" vbProcedure="false">2</definedName>
    <definedName function="false" hidden="false" localSheetId="11" name="solver_sho" vbProcedure="false">2</definedName>
    <definedName function="false" hidden="false" localSheetId="11" name="solver_ssz" vbProcedure="false">100</definedName>
    <definedName function="false" hidden="false" localSheetId="11" name="solver_tim" vbProcedure="false">2147483647</definedName>
    <definedName function="false" hidden="false" localSheetId="11" name="solver_tol" vbProcedure="false">1</definedName>
    <definedName function="false" hidden="false" localSheetId="11" name="solver_typ" vbProcedure="false">2</definedName>
    <definedName function="false" hidden="false" localSheetId="11" name="solver_val" vbProcedure="false">0</definedName>
    <definedName function="false" hidden="false" localSheetId="1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ID#AAAAnfr5UUU
Sophia Daniela Cisterna Ponce    (2023-01-18 22:35:56)
se ajusta con balance romeral</t>
        </r>
      </text>
    </comment>
    <comment ref="F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ID#AAAAnfr5UUw
Sophia Daniela Cisterna Ponce    (2023-01-18 22:35:56)
de acuerdo a ley obtenida en balance romenral calcular apuntando al mismo magnetismo</t>
        </r>
      </text>
    </comment>
    <comment ref="N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ID#AAAAnfr5UVA
Sophia Daniela Cisterna Ponce    (2023-01-18 22:35:56)
se hacen pregranzas apartir de material AL de bronces</t>
        </r>
      </text>
    </comment>
    <comment ref="S5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ID#AAAAnfr5UUo
Sophia Daniela Cisterna Ponce    (2023-01-18 22:35:56)
se envian la mayoria de los mixtos 1 a rom por buena calidad</t>
        </r>
      </text>
    </comment>
    <comment ref="T44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ID#AAAAnfr5UUs
Sophia Daniela Cisterna Ponce    (2023-01-18 22:35:56)
se mezclan mixtos hacia rom por buena ley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2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ID#AAAAnfr5UVE
Sophia Daniela Cisterna Ponce    (2023-01-18 22:35:56)
sumar al transporte de acopio ml a romeral</t>
        </r>
      </text>
    </comment>
    <comment ref="C34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ID#AAAAnfr5UUk
Sophia Daniela Cisterna Ponce    (2023-01-18 22:35:56)
sumar al transporte de acopio ml a romeral</t>
        </r>
      </text>
    </comment>
    <comment ref="C3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ID#AAAAnfr5UUE
Sophia Daniela Cisterna Ponce    (2023-01-18 22:35:56)
sumar al transporte de acopio ml a romeral</t>
        </r>
      </text>
    </comment>
    <comment ref="C38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ID#AAAAnfr5UU0
Sophia Daniela Cisterna Ponce    (2023-01-18 22:35:56)
sumar al transporte de acopio ml a romeral</t>
        </r>
      </text>
    </comment>
    <comment ref="D2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ID#AAAAnfr5UUc
Sophia Daniela Cisterna Ponce    (2023-01-18 22:35:56)
comparar con dato  de alimentacion chancado primario de reportabilidad distrito pleito</t>
        </r>
      </text>
    </comment>
    <comment ref="D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ID#AAAAnfr5UUA
Sophia Daniela Cisterna Ponce    (2023-01-18 22:35:56)
se restan 8000 ton por envio de mixto 1 a rom por buena calidad</t>
        </r>
      </text>
    </comment>
    <comment ref="D15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ID#AAAAnfr5UVI
Sophia Daniela Cisterna Ponce    (2023-01-18 22:35:56)
se coloca el movimiento mina adicional, se suma mov adicional de rechazos</t>
        </r>
      </text>
    </comment>
    <comment ref="D18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ID#AAAAnfr5UVM
Sophia Daniela Cisterna Ponce    (2023-01-18 22:35:56)
se suman 3514 porque con material AL se produjo pregranzas</t>
        </r>
      </text>
    </comment>
    <comment ref="D2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ID#AAAAnfr5UUg
Sophia Daniela Cisterna Ponce    (2023-01-18 22:35:56)
por diferencia de alimentacion-producciones</t>
        </r>
      </text>
    </comment>
    <comment ref="D2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ID#AAAAnfr5UUY
Sophia Daniela Cisterna Ponce    (2023-01-18 22:35:56)
se coloca el movimiento mina adicional</t>
        </r>
      </text>
    </comment>
    <comment ref="H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ID#AAAAnfr5UUI
Sophia Daniela Cisterna Ponce    (2023-01-18 22:35:56)
stock inicial del mes</t>
        </r>
      </text>
    </comment>
    <comment ref="K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ID#AAAAnfr5UUQ
Sophia Daniela Cisterna Ponce    (2023-01-18 22:35:56)
remanentes del dia anterior a las 08 hrs (cubicacion)</t>
        </r>
      </text>
    </comment>
    <comment ref="K1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ID#AAAAnfr5UUM
Sophia Daniela Cisterna Ponce    (2023-01-18 22:35:56)
ML Romeral</t>
        </r>
      </text>
    </comment>
    <comment ref="L15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ID#AAAAnfr5UU8
Sophia Daniela Cisterna Ponce    (2023-01-18 22:35:56)
se usa 1,95 cuando es principalemnte rechazos y 2,1 cuando es mayoria mixto 1</t>
        </r>
      </text>
    </comment>
    <comment ref="O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ID#AAAAnfr5UU4
Sophia Daniela Cisterna Ponce    (2023-01-18 22:35:56)
se ajusta incorporando  la cantidad en la cubicacion inicial</t>
        </r>
      </text>
    </comment>
  </commentList>
</comments>
</file>

<file path=xl/sharedStrings.xml><?xml version="1.0" encoding="utf-8"?>
<sst xmlns="http://schemas.openxmlformats.org/spreadsheetml/2006/main" count="432" uniqueCount="199">
  <si>
    <t xml:space="preserve">Mediciones</t>
  </si>
  <si>
    <t xml:space="preserve">Balance</t>
  </si>
  <si>
    <t xml:space="preserve">% Cambio relativo</t>
  </si>
  <si>
    <t xml:space="preserve">Max Var Ton</t>
  </si>
  <si>
    <t xml:space="preserve">Max Var  FeT</t>
  </si>
  <si>
    <t xml:space="preserve">Max Var  FeMag</t>
  </si>
  <si>
    <t xml:space="preserve">FeMag &lt; FeT</t>
  </si>
  <si>
    <t xml:space="preserve">Flujos</t>
  </si>
  <si>
    <t xml:space="preserve">TMS</t>
  </si>
  <si>
    <t xml:space="preserve">Ley FeT</t>
  </si>
  <si>
    <t xml:space="preserve">Ley FeMag</t>
  </si>
  <si>
    <t xml:space="preserve">TMSD</t>
  </si>
  <si>
    <t xml:space="preserve">%Fe T</t>
  </si>
  <si>
    <t xml:space="preserve">Alta Ley 1 Pleito</t>
  </si>
  <si>
    <t xml:space="preserve">Alta Ley 2 Pleito</t>
  </si>
  <si>
    <t xml:space="preserve">Alim AL Bronces</t>
  </si>
  <si>
    <t xml:space="preserve">Produc Granzas</t>
  </si>
  <si>
    <t xml:space="preserve">Delta Stock Granzas</t>
  </si>
  <si>
    <t xml:space="preserve">Transporte Granzas a Romeral</t>
  </si>
  <si>
    <t xml:space="preserve">Transporte Granzas a Puerto</t>
  </si>
  <si>
    <t xml:space="preserve">Produc Finos</t>
  </si>
  <si>
    <t xml:space="preserve">Delta Stock Finos</t>
  </si>
  <si>
    <t xml:space="preserve">Transporte Finos a Romeral</t>
  </si>
  <si>
    <t xml:space="preserve">Transporte Finos a Puerto</t>
  </si>
  <si>
    <t xml:space="preserve">Rechazo Mixto 1</t>
  </si>
  <si>
    <t xml:space="preserve">Delta Stock Mixto 1</t>
  </si>
  <si>
    <t xml:space="preserve">Transporte Mixto 1 a Rechazo</t>
  </si>
  <si>
    <t xml:space="preserve">Rechazo Mixto 2</t>
  </si>
  <si>
    <t xml:space="preserve">Delta Stock Mixto 2</t>
  </si>
  <si>
    <t xml:space="preserve">Transporte Mixto 2 a Romeral</t>
  </si>
  <si>
    <t xml:space="preserve">ML Pleito</t>
  </si>
  <si>
    <t xml:space="preserve">Bronces</t>
  </si>
  <si>
    <t xml:space="preserve">Acopio</t>
  </si>
  <si>
    <t xml:space="preserve">Produc Prec Granzas</t>
  </si>
  <si>
    <t xml:space="preserve">Delta Stock Prec Granzas</t>
  </si>
  <si>
    <t xml:space="preserve">Transporte Prec  Granzas  </t>
  </si>
  <si>
    <t xml:space="preserve">Prod Prec Finos</t>
  </si>
  <si>
    <t xml:space="preserve">Delta Prec Finos</t>
  </si>
  <si>
    <t xml:space="preserve">Transp Prec Finos  </t>
  </si>
  <si>
    <t xml:space="preserve">Produc Rechazos</t>
  </si>
  <si>
    <t xml:space="preserve">Delta Stock Rechazos</t>
  </si>
  <si>
    <t xml:space="preserve">Transp Rechazos a botadero</t>
  </si>
  <si>
    <t xml:space="preserve">Recuperaciones en peso</t>
  </si>
  <si>
    <t xml:space="preserve">Balance Faena Pleito</t>
  </si>
  <si>
    <t xml:space="preserve">Fecha</t>
  </si>
  <si>
    <t xml:space="preserve">Pregranza</t>
  </si>
  <si>
    <t xml:space="preserve">Prefino</t>
  </si>
  <si>
    <t xml:space="preserve">Rechazo</t>
  </si>
  <si>
    <t xml:space="preserve">Granzas</t>
  </si>
  <si>
    <t xml:space="preserve">Finos</t>
  </si>
  <si>
    <t xml:space="preserve">Mixto 1</t>
  </si>
  <si>
    <t xml:space="preserve">Mixto 2</t>
  </si>
  <si>
    <t xml:space="preserve">Mixtos</t>
  </si>
  <si>
    <t xml:space="preserve">Planta Pleito</t>
  </si>
  <si>
    <t xml:space="preserve">Alimentación Chancado Primario</t>
  </si>
  <si>
    <t xml:space="preserve">TM</t>
  </si>
  <si>
    <t xml:space="preserve">%FeT</t>
  </si>
  <si>
    <t xml:space="preserve">%Femag</t>
  </si>
  <si>
    <t xml:space="preserve">Alimentación Alta Ley (AL)</t>
  </si>
  <si>
    <t xml:space="preserve">Alimentación Mediana Ley (ML)</t>
  </si>
  <si>
    <t xml:space="preserve">Alimentación Total</t>
  </si>
  <si>
    <t xml:space="preserve">Producción Planta</t>
  </si>
  <si>
    <t xml:space="preserve">Alta Ley Pleito Sur</t>
  </si>
  <si>
    <t xml:space="preserve">%Rp</t>
  </si>
  <si>
    <t xml:space="preserve">%Rm</t>
  </si>
  <si>
    <t xml:space="preserve">Prec Mixto 1</t>
  </si>
  <si>
    <t xml:space="preserve">Prec Mixto 2</t>
  </si>
  <si>
    <t xml:space="preserve">Alta Ley Bronces</t>
  </si>
  <si>
    <t xml:space="preserve">Preconcentrados</t>
  </si>
  <si>
    <t xml:space="preserve">Mediana Ley Especial</t>
  </si>
  <si>
    <t xml:space="preserve">Prec. Granzas</t>
  </si>
  <si>
    <t xml:space="preserve">Mediana Ley Pleito Sur</t>
  </si>
  <si>
    <t xml:space="preserve">Pre. Finos</t>
  </si>
  <si>
    <t xml:space="preserve">Mediana Ley Bronces</t>
  </si>
  <si>
    <t xml:space="preserve">Produccion Total</t>
  </si>
  <si>
    <t xml:space="preserve">Fet</t>
  </si>
  <si>
    <t xml:space="preserve">Fem</t>
  </si>
  <si>
    <t xml:space="preserve">Rechazo total</t>
  </si>
  <si>
    <t xml:space="preserve">%Rp Granzas</t>
  </si>
  <si>
    <t xml:space="preserve">Transporte</t>
  </si>
  <si>
    <t xml:space="preserve">Prec. Granzas a Romeral (ML)</t>
  </si>
  <si>
    <t xml:space="preserve">Prec. Finos a Romeral (ML)</t>
  </si>
  <si>
    <t xml:space="preserve">Prec. Mixtos 2 a Romeral </t>
  </si>
  <si>
    <t xml:space="preserve">Finos a Romeral</t>
  </si>
  <si>
    <t xml:space="preserve">Granzas a Guayacán</t>
  </si>
  <si>
    <t xml:space="preserve">Finos a Guayacán</t>
  </si>
  <si>
    <t xml:space="preserve">Otros Movimientos</t>
  </si>
  <si>
    <t xml:space="preserve">Transporte Alta Ley a ROM</t>
  </si>
  <si>
    <t xml:space="preserve">Transporte Mediana Ley a ROM</t>
  </si>
  <si>
    <t xml:space="preserve">Comentarios</t>
  </si>
  <si>
    <t xml:space="preserve">1. Se obtienen las siguientes recuperaciones:</t>
  </si>
  <si>
    <t xml:space="preserve">Material</t>
  </si>
  <si>
    <t xml:space="preserve">Material </t>
  </si>
  <si>
    <t xml:space="preserve">%Rp actual</t>
  </si>
  <si>
    <t xml:space="preserve">%Rp Propuesto</t>
  </si>
  <si>
    <t xml:space="preserve">2. Se consideran 5.769 ton de rechazo como movimientos adicionales  a mina.</t>
  </si>
  <si>
    <t xml:space="preserve">AL</t>
  </si>
  <si>
    <t xml:space="preserve">ML</t>
  </si>
  <si>
    <t xml:space="preserve">Recuperaciones</t>
  </si>
  <si>
    <t xml:space="preserve">sept. 21</t>
  </si>
  <si>
    <t xml:space="preserve">oct. 21</t>
  </si>
  <si>
    <t xml:space="preserve">granzas</t>
  </si>
  <si>
    <t xml:space="preserve">finos</t>
  </si>
  <si>
    <t xml:space="preserve">premixto 1</t>
  </si>
  <si>
    <t xml:space="preserve">premixto 2</t>
  </si>
  <si>
    <t xml:space="preserve">Pre granzas</t>
  </si>
  <si>
    <t xml:space="preserve">Prefinos</t>
  </si>
  <si>
    <t xml:space="preserve">Rechazos</t>
  </si>
  <si>
    <t xml:space="preserve">Planta Pleito Tambor 2</t>
  </si>
  <si>
    <t xml:space="preserve">Cubicaciones</t>
  </si>
  <si>
    <t xml:space="preserve">Comprobacion</t>
  </si>
  <si>
    <t xml:space="preserve">%FeM</t>
  </si>
  <si>
    <t xml:space="preserve">REMANENTES inicio periodo</t>
  </si>
  <si>
    <t xml:space="preserve">REMANENTES fin periodo</t>
  </si>
  <si>
    <t xml:space="preserve">Alta Ley</t>
  </si>
  <si>
    <t xml:space="preserve">Alimentación Alta Ley 1</t>
  </si>
  <si>
    <t xml:space="preserve">Alimentación Alta Ley 2</t>
  </si>
  <si>
    <t xml:space="preserve">Alimentación Bronces</t>
  </si>
  <si>
    <t xml:space="preserve">Producción a  Granzas</t>
  </si>
  <si>
    <t xml:space="preserve">Producción a Finos</t>
  </si>
  <si>
    <t xml:space="preserve">Pre. Granzas</t>
  </si>
  <si>
    <t xml:space="preserve">Producción  a Mixto 1</t>
  </si>
  <si>
    <t xml:space="preserve">Producción  a Mixto 2</t>
  </si>
  <si>
    <t xml:space="preserve">ML Acopio</t>
  </si>
  <si>
    <t xml:space="preserve">Verificar con sap stock iniciales</t>
  </si>
  <si>
    <t xml:space="preserve">REMANENTES BOTADERO fin periodo</t>
  </si>
  <si>
    <t xml:space="preserve">Rechazo Planta (m3)</t>
  </si>
  <si>
    <t xml:space="preserve">Densidad</t>
  </si>
  <si>
    <t xml:space="preserve">Rechazo Planta (ton)</t>
  </si>
  <si>
    <t xml:space="preserve">Transporte Alta Ley a Romeral</t>
  </si>
  <si>
    <t xml:space="preserve">Rechazo Planta (ton) balance</t>
  </si>
  <si>
    <t xml:space="preserve">MEDIANA LEY</t>
  </si>
  <si>
    <t xml:space="preserve">Alim Med Ley</t>
  </si>
  <si>
    <t xml:space="preserve">Material en caminos y varios</t>
  </si>
  <si>
    <t xml:space="preserve">Alim Bronces ML</t>
  </si>
  <si>
    <t xml:space="preserve">Informado por Depetris</t>
  </si>
  <si>
    <t xml:space="preserve">Alim ML desde Acopio</t>
  </si>
  <si>
    <t xml:space="preserve">Delta</t>
  </si>
  <si>
    <t xml:space="preserve">Transporte Prec  Granzas a Romeral</t>
  </si>
  <si>
    <t xml:space="preserve">Transp Prec Finos a Romeral</t>
  </si>
  <si>
    <t xml:space="preserve"> </t>
  </si>
  <si>
    <t xml:space="preserve">Transp de Acopio ML a Romeral</t>
  </si>
  <si>
    <t xml:space="preserve">Transporte noche 13-10</t>
  </si>
  <si>
    <t xml:space="preserve">Transporte noche  20-09</t>
  </si>
  <si>
    <t xml:space="preserve">Transporte noche 27-10</t>
  </si>
  <si>
    <t xml:space="preserve">Transporte noche 19-05</t>
  </si>
  <si>
    <t xml:space="preserve">Codigo</t>
  </si>
  <si>
    <t xml:space="preserve">Stock Inicial Sap</t>
  </si>
  <si>
    <t xml:space="preserve">Ajuste</t>
  </si>
  <si>
    <t xml:space="preserve">Preconcentrados (Mixto 2 + Pregranza + Prefino)</t>
  </si>
  <si>
    <t xml:space="preserve">cub ini</t>
  </si>
  <si>
    <t xml:space="preserve">cub fin</t>
  </si>
  <si>
    <t xml:space="preserve">final - ini</t>
  </si>
  <si>
    <t xml:space="preserve">Valor del Nodo</t>
  </si>
  <si>
    <t xml:space="preserve">Cub final Balanceada</t>
  </si>
  <si>
    <t xml:space="preserve">stock Granzas</t>
  </si>
  <si>
    <t xml:space="preserve">Stock Finos</t>
  </si>
  <si>
    <t xml:space="preserve">Stock Mixto 1</t>
  </si>
  <si>
    <t xml:space="preserve">Stock Mixto 2</t>
  </si>
  <si>
    <t xml:space="preserve">stock  Prec Granzas</t>
  </si>
  <si>
    <t xml:space="preserve">Stock  Prec Finos</t>
  </si>
  <si>
    <t xml:space="preserve">Stock Rechazos</t>
  </si>
  <si>
    <t xml:space="preserve">Stock ML</t>
  </si>
  <si>
    <t xml:space="preserve">Stock botadero</t>
  </si>
  <si>
    <t xml:space="preserve">alim</t>
  </si>
  <si>
    <t xml:space="preserve">Prod T</t>
  </si>
  <si>
    <t xml:space="preserve">Valor Inicial</t>
  </si>
  <si>
    <t xml:space="preserve">Valores Calculados</t>
  </si>
  <si>
    <t xml:space="preserve">TMF Fe</t>
  </si>
  <si>
    <t xml:space="preserve">%FeMag</t>
  </si>
  <si>
    <t xml:space="preserve">TMF Fe Mag</t>
  </si>
  <si>
    <t xml:space="preserve">BALANCE GLOBAL MASA</t>
  </si>
  <si>
    <t xml:space="preserve">ENTRADAS</t>
  </si>
  <si>
    <t xml:space="preserve">VARIACIONES DE INVENTARIOS</t>
  </si>
  <si>
    <t xml:space="preserve">SALIDAS</t>
  </si>
  <si>
    <t xml:space="preserve">Alim Alta Ley 1</t>
  </si>
  <si>
    <t xml:space="preserve">Stock Granzas</t>
  </si>
  <si>
    <t xml:space="preserve">Alim Alta Ley 2</t>
  </si>
  <si>
    <t xml:space="preserve">Stock Finos  </t>
  </si>
  <si>
    <t xml:space="preserve">Alim AL Bornces</t>
  </si>
  <si>
    <t xml:space="preserve">Stock Prec Mixto 1</t>
  </si>
  <si>
    <t xml:space="preserve">Transporte Mixto 1 a Romeral</t>
  </si>
  <si>
    <t xml:space="preserve">TOTAL ENTRADAS</t>
  </si>
  <si>
    <t xml:space="preserve">VAR NETA </t>
  </si>
  <si>
    <t xml:space="preserve">ENTRADAS - VAR INVENTARIO - SALIDAS</t>
  </si>
  <si>
    <t xml:space="preserve">BALANCE GLOBAL FINOS</t>
  </si>
  <si>
    <t xml:space="preserve">Delta Stock S/Bal</t>
  </si>
  <si>
    <t xml:space="preserve">Deltas Stock Balanceado</t>
  </si>
  <si>
    <t xml:space="preserve">Rec P Granzas</t>
  </si>
  <si>
    <t xml:space="preserve">Rec P Finos</t>
  </si>
  <si>
    <t xml:space="preserve">ML Pleitos</t>
  </si>
  <si>
    <t xml:space="preserve">Stock Prec Granzas</t>
  </si>
  <si>
    <t xml:space="preserve">Transporte  Prec Granzas </t>
  </si>
  <si>
    <t xml:space="preserve">ML Bronces</t>
  </si>
  <si>
    <t xml:space="preserve">Stock Prec Finos</t>
  </si>
  <si>
    <t xml:space="preserve">Transporte Prec Finos</t>
  </si>
  <si>
    <t xml:space="preserve">Transporte a Botadero</t>
  </si>
  <si>
    <t xml:space="preserve">BALANCE GLOBAL FINO FeT</t>
  </si>
  <si>
    <t xml:space="preserve">BALANCE GLOBAL FINO FeMag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</si>
</sst>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\ %"/>
    <numFmt numFmtId="166" formatCode="#,##0"/>
    <numFmt numFmtId="167" formatCode="0.0%"/>
    <numFmt numFmtId="168" formatCode="General"/>
    <numFmt numFmtId="169" formatCode="0\ %"/>
    <numFmt numFmtId="170" formatCode="mmm/yy"/>
    <numFmt numFmtId="171" formatCode="dd/mm/yyyy"/>
    <numFmt numFmtId="172" formatCode="0.0"/>
    <numFmt numFmtId="173" formatCode="0.00"/>
    <numFmt numFmtId="174" formatCode="#,##0.00"/>
    <numFmt numFmtId="175" formatCode="dd/mmm"/>
  </numFmts>
  <fonts count="3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2F5496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4"/>
      <color rgb="FF757575"/>
      <name val="Calibri"/>
      <family val="2"/>
    </font>
    <font>
      <sz val="9"/>
      <color rgb="FF000000"/>
      <name val="Calibri"/>
      <family val="2"/>
    </font>
    <font>
      <sz val="9"/>
      <color rgb="FF1A1A1A"/>
      <name val="Calibri"/>
      <family val="2"/>
    </font>
    <font>
      <b val="true"/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242424"/>
      <name val="Quattrocento Sans"/>
      <family val="0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2F5496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0"/>
      <color rgb="FF2E75B5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0"/>
    </font>
    <font>
      <sz val="11"/>
      <name val="Times New Roman"/>
      <family val="0"/>
    </font>
    <font>
      <sz val="10.5"/>
      <name val="Calibri"/>
      <family val="0"/>
    </font>
    <font>
      <sz val="9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ADB9CA"/>
        <bgColor rgb="FFB7B7B7"/>
      </patternFill>
    </fill>
    <fill>
      <patternFill patternType="solid">
        <fgColor rgb="FFFFFF00"/>
        <bgColor rgb="FFFFE598"/>
      </patternFill>
    </fill>
    <fill>
      <patternFill patternType="solid">
        <fgColor rgb="FFBDD6EE"/>
        <bgColor rgb="FFD9D9D9"/>
      </patternFill>
    </fill>
    <fill>
      <patternFill patternType="solid">
        <fgColor rgb="FFC5E0B3"/>
        <bgColor rgb="FFC5E0B4"/>
      </patternFill>
    </fill>
    <fill>
      <patternFill patternType="solid">
        <fgColor rgb="FFC5E0B4"/>
        <bgColor rgb="FFC5E0B3"/>
      </patternFill>
    </fill>
    <fill>
      <patternFill patternType="solid">
        <fgColor rgb="FFFEF2CB"/>
        <bgColor rgb="FFFFF2CC"/>
      </patternFill>
    </fill>
    <fill>
      <patternFill patternType="solid">
        <fgColor rgb="FFFFF2CC"/>
        <bgColor rgb="FFFEF2CB"/>
      </patternFill>
    </fill>
    <fill>
      <patternFill patternType="solid">
        <fgColor rgb="FF70AD47"/>
        <bgColor rgb="FF8B8B8B"/>
      </patternFill>
    </fill>
    <fill>
      <patternFill patternType="solid">
        <fgColor rgb="FF2E75B5"/>
        <bgColor rgb="FF4472C4"/>
      </patternFill>
    </fill>
    <fill>
      <patternFill patternType="solid">
        <fgColor rgb="FFFF0000"/>
        <bgColor rgb="FFC00000"/>
      </patternFill>
    </fill>
    <fill>
      <patternFill patternType="solid">
        <fgColor rgb="FF8EAADB"/>
        <bgColor rgb="FFADB9CA"/>
      </patternFill>
    </fill>
    <fill>
      <patternFill patternType="solid">
        <fgColor rgb="FFF7CAAC"/>
        <bgColor rgb="FFFFC7CE"/>
      </patternFill>
    </fill>
    <fill>
      <patternFill patternType="solid">
        <fgColor rgb="FFF2F2F2"/>
        <bgColor rgb="FFECECEC"/>
      </patternFill>
    </fill>
    <fill>
      <patternFill patternType="solid">
        <fgColor rgb="FFFBE4D5"/>
        <bgColor rgb="FFFEF2CB"/>
      </patternFill>
    </fill>
    <fill>
      <patternFill patternType="solid">
        <fgColor rgb="FFD9E2F3"/>
        <bgColor rgb="FFDEEAF6"/>
      </patternFill>
    </fill>
    <fill>
      <patternFill patternType="solid">
        <fgColor rgb="FFE2EFD9"/>
        <bgColor rgb="FFECECEC"/>
      </patternFill>
    </fill>
    <fill>
      <patternFill patternType="solid">
        <fgColor rgb="FFECECEC"/>
        <bgColor rgb="FFF2F2F2"/>
      </patternFill>
    </fill>
    <fill>
      <patternFill patternType="solid">
        <fgColor rgb="FFDEEAF6"/>
        <bgColor rgb="FFD9E2F3"/>
      </patternFill>
    </fill>
    <fill>
      <patternFill patternType="solid">
        <fgColor rgb="FFFFFFFF"/>
        <bgColor rgb="FFF2F2F2"/>
      </patternFill>
    </fill>
    <fill>
      <patternFill patternType="solid">
        <fgColor rgb="FFFFE598"/>
        <bgColor rgb="FFFEF2CB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 diagonalUp="false" diagonalDown="false">
      <left/>
      <right/>
      <top style="thin">
        <color rgb="FFAEABAB"/>
      </top>
      <bottom style="thin">
        <color rgb="FFAEABAB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AEABAB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AEABAB"/>
      </top>
      <bottom/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1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2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2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4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4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7" fillId="1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7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1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7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7" fillId="1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1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7" fillId="1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6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1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7" fillId="18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16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1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3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3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5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1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" fillId="2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ECECEC"/>
      <rgbColor rgb="FF9C0006"/>
      <rgbColor rgb="FF006100"/>
      <rgbColor rgb="FF000080"/>
      <rgbColor rgb="FFFBE4D5"/>
      <rgbColor rgb="FF800080"/>
      <rgbColor rgb="FF008080"/>
      <rgbColor rgb="FFB7B7B7"/>
      <rgbColor rgb="FF7F7F7F"/>
      <rgbColor rgb="FF8EAADB"/>
      <rgbColor rgb="FF993366"/>
      <rgbColor rgb="FFFFF2CC"/>
      <rgbColor rgb="FFDEEAF6"/>
      <rgbColor rgb="FF660066"/>
      <rgbColor rgb="FFA5A5A5"/>
      <rgbColor rgb="FF2E75B5"/>
      <rgbColor rgb="FFBDD6EE"/>
      <rgbColor rgb="FF000080"/>
      <rgbColor rgb="FFFF00FF"/>
      <rgbColor rgb="FFC5E0B4"/>
      <rgbColor rgb="FFF2F2F2"/>
      <rgbColor rgb="FF800080"/>
      <rgbColor rgb="FFC00000"/>
      <rgbColor rgb="FF008080"/>
      <rgbColor rgb="FF0000FF"/>
      <rgbColor rgb="FF00CCFF"/>
      <rgbColor rgb="FFE2EFD9"/>
      <rgbColor rgb="FFC6EFCE"/>
      <rgbColor rgb="FFFEF2CB"/>
      <rgbColor rgb="FFADB9CA"/>
      <rgbColor rgb="FFFFC7CE"/>
      <rgbColor rgb="FFAEABAB"/>
      <rgbColor rgb="FFF7CAAC"/>
      <rgbColor rgb="FF4472C4"/>
      <rgbColor rgb="FFD9E2F3"/>
      <rgbColor rgb="FFC5E0B3"/>
      <rgbColor rgb="FFFFE598"/>
      <rgbColor rgb="FFD9D9D9"/>
      <rgbColor rgb="FFED7D31"/>
      <rgbColor rgb="FF757575"/>
      <rgbColor rgb="FF8B8B8B"/>
      <rgbColor rgb="FF003366"/>
      <rgbColor rgb="FF70AD47"/>
      <rgbColor rgb="FF003300"/>
      <rgbColor rgb="FF1A1A1A"/>
      <rgbColor rgb="FF993300"/>
      <rgbColor rgb="FF993366"/>
      <rgbColor rgb="FF2F5496"/>
      <rgbColor rgb="FF2424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Recuperaciones en Peso Pleito (%Rp)</a:t>
            </a:r>
          </a:p>
        </c:rich>
      </c:tx>
      <c:layout>
        <c:manualLayout>
          <c:xMode val="edge"/>
          <c:yMode val="edge"/>
          <c:x val="0.264829982625962"/>
          <c:y val="0.0329657011271361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"Pre granzas"</c:f>
              <c:strCache>
                <c:ptCount val="1"/>
                <c:pt idx="0">
                  <c:v>Pre granzas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'Reporte '!$D$70:$I$70</c:f>
              <c:multiLvlStrCache>
                <c:ptCount val="1"/>
                <c:lvl>
                  <c:pt idx="0">
                    <c:v>30-dic</c:v>
                  </c:pt>
                </c:lvl>
                <c:lvl>
                  <c:pt idx="0">
                    <c:v>15-dic</c:v>
                  </c:pt>
                </c:lvl>
                <c:lvl>
                  <c:pt idx="0">
                    <c:v>30-nov</c:v>
                  </c:pt>
                </c:lvl>
                <c:lvl>
                  <c:pt idx="0">
                    <c:v>15-nov</c:v>
                  </c:pt>
                </c:lvl>
                <c:lvl>
                  <c:pt idx="0">
                    <c:v>oct. 21</c:v>
                  </c:pt>
                </c:lvl>
                <c:lvl>
                  <c:pt idx="0">
                    <c:v>sept. 21</c:v>
                  </c:pt>
                </c:lvl>
              </c:multiLvlStrCache>
            </c:multiLvlStrRef>
          </c:cat>
          <c:val>
            <c:numRef>
              <c:f>'Reporte '!$D$75:$I$75</c:f>
              <c:numCache>
                <c:formatCode>General</c:formatCode>
                <c:ptCount val="6"/>
                <c:pt idx="0">
                  <c:v>46.7981488457192</c:v>
                </c:pt>
                <c:pt idx="1">
                  <c:v>39.5001310845058</c:v>
                </c:pt>
                <c:pt idx="2">
                  <c:v>40.7186531535305</c:v>
                </c:pt>
                <c:pt idx="3">
                  <c:v>41.73</c:v>
                </c:pt>
                <c:pt idx="4">
                  <c:v>49.6</c:v>
                </c:pt>
                <c:pt idx="5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"Prefinos"</c:f>
              <c:strCache>
                <c:ptCount val="1"/>
                <c:pt idx="0">
                  <c:v>Prefinos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'Reporte '!$D$70:$I$70</c:f>
              <c:multiLvlStrCache>
                <c:ptCount val="1"/>
                <c:lvl>
                  <c:pt idx="0">
                    <c:v>30-dic</c:v>
                  </c:pt>
                </c:lvl>
                <c:lvl>
                  <c:pt idx="0">
                    <c:v>15-dic</c:v>
                  </c:pt>
                </c:lvl>
                <c:lvl>
                  <c:pt idx="0">
                    <c:v>30-nov</c:v>
                  </c:pt>
                </c:lvl>
                <c:lvl>
                  <c:pt idx="0">
                    <c:v>15-nov</c:v>
                  </c:pt>
                </c:lvl>
                <c:lvl>
                  <c:pt idx="0">
                    <c:v>oct. 21</c:v>
                  </c:pt>
                </c:lvl>
                <c:lvl>
                  <c:pt idx="0">
                    <c:v>sept. 21</c:v>
                  </c:pt>
                </c:lvl>
              </c:multiLvlStrCache>
            </c:multiLvlStrRef>
          </c:cat>
          <c:val>
            <c:numRef>
              <c:f>'Reporte '!$D$76:$I$76</c:f>
              <c:numCache>
                <c:formatCode>General</c:formatCode>
                <c:ptCount val="6"/>
                <c:pt idx="0">
                  <c:v>17.8160146370339</c:v>
                </c:pt>
                <c:pt idx="1">
                  <c:v>22.8821113344403</c:v>
                </c:pt>
                <c:pt idx="2">
                  <c:v>20.9632297512354</c:v>
                </c:pt>
                <c:pt idx="3">
                  <c:v>19.88</c:v>
                </c:pt>
                <c:pt idx="4">
                  <c:v>24.4</c:v>
                </c:pt>
                <c:pt idx="5">
                  <c:v>23.1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"Rechazos"</c:f>
              <c:strCache>
                <c:ptCount val="1"/>
                <c:pt idx="0">
                  <c:v>Rechazos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'Reporte '!$D$70:$I$70</c:f>
              <c:multiLvlStrCache>
                <c:ptCount val="1"/>
                <c:lvl>
                  <c:pt idx="0">
                    <c:v>30-dic</c:v>
                  </c:pt>
                </c:lvl>
                <c:lvl>
                  <c:pt idx="0">
                    <c:v>15-dic</c:v>
                  </c:pt>
                </c:lvl>
                <c:lvl>
                  <c:pt idx="0">
                    <c:v>30-nov</c:v>
                  </c:pt>
                </c:lvl>
                <c:lvl>
                  <c:pt idx="0">
                    <c:v>15-nov</c:v>
                  </c:pt>
                </c:lvl>
                <c:lvl>
                  <c:pt idx="0">
                    <c:v>oct. 21</c:v>
                  </c:pt>
                </c:lvl>
                <c:lvl>
                  <c:pt idx="0">
                    <c:v>sept. 21</c:v>
                  </c:pt>
                </c:lvl>
              </c:multiLvlStrCache>
            </c:multiLvlStrRef>
          </c:cat>
          <c:val>
            <c:numRef>
              <c:f>'Reporte '!$D$77:$I$77</c:f>
              <c:numCache>
                <c:formatCode>General</c:formatCode>
                <c:ptCount val="6"/>
                <c:pt idx="0">
                  <c:v>35.3844912016359</c:v>
                </c:pt>
                <c:pt idx="1">
                  <c:v>37.6160097876431</c:v>
                </c:pt>
                <c:pt idx="2">
                  <c:v>38.3181170952341</c:v>
                </c:pt>
                <c:pt idx="3">
                  <c:v>38.39</c:v>
                </c:pt>
                <c:pt idx="4">
                  <c:v>26</c:v>
                </c:pt>
                <c:pt idx="5">
                  <c:v>40.8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173504"/>
        <c:axId val="15171604"/>
      </c:lineChart>
      <c:catAx>
        <c:axId val="4173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5171604"/>
        <c:crosses val="autoZero"/>
        <c:auto val="1"/>
        <c:lblAlgn val="ctr"/>
        <c:lblOffset val="100"/>
        <c:noMultiLvlLbl val="0"/>
      </c:catAx>
      <c:valAx>
        <c:axId val="1517160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17350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"%Rp Granzas"</c:f>
              <c:strCache>
                <c:ptCount val="1"/>
                <c:pt idx="0">
                  <c:v>%Rp Granzas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'Reporte '!$W$37:$W$42</c:f>
              <c:numCache>
                <c:formatCode>m/d/yy</c:formatCode>
                <c:ptCount val="6"/>
                <c:pt idx="0">
                  <c:v>13-06-2022</c:v>
                </c:pt>
                <c:pt idx="1">
                  <c:v>19-06-2022</c:v>
                </c:pt>
                <c:pt idx="2">
                  <c:v>30-06-2022</c:v>
                </c:pt>
                <c:pt idx="3">
                  <c:v>13-07-2022</c:v>
                </c:pt>
                <c:pt idx="4">
                  <c:v>31-07-2022</c:v>
                </c:pt>
                <c:pt idx="5">
                  <c:v>16-08-2022</c:v>
                </c:pt>
              </c:numCache>
            </c:numRef>
          </c:cat>
          <c:val>
            <c:numRef>
              <c:f>'Reporte '!$X$37:$X$42</c:f>
              <c:numCache>
                <c:formatCode>General</c:formatCode>
                <c:ptCount val="6"/>
                <c:pt idx="0">
                  <c:v>23.2024226049747</c:v>
                </c:pt>
                <c:pt idx="1">
                  <c:v>28.9560575546039</c:v>
                </c:pt>
                <c:pt idx="2">
                  <c:v>31.8111955260123</c:v>
                </c:pt>
                <c:pt idx="3">
                  <c:v>33.0909090909091</c:v>
                </c:pt>
                <c:pt idx="4">
                  <c:v>29.3115302502892</c:v>
                </c:pt>
                <c:pt idx="5">
                  <c:v>36.8972655057398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5481534"/>
        <c:axId val="33009358"/>
      </c:lineChart>
      <c:dateAx>
        <c:axId val="15481534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3009358"/>
        <c:crosses val="autoZero"/>
        <c:auto val="1"/>
        <c:lblOffset val="100"/>
        <c:baseTimeUnit val="days"/>
        <c:noMultiLvlLbl val="0"/>
      </c:dateAx>
      <c:valAx>
        <c:axId val="33009358"/>
        <c:scaling>
          <c:orientation val="minMax"/>
          <c:min val="2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548153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752400</xdr:colOff>
      <xdr:row>78</xdr:row>
      <xdr:rowOff>0</xdr:rowOff>
    </xdr:from>
    <xdr:to>
      <xdr:col>6</xdr:col>
      <xdr:colOff>121680</xdr:colOff>
      <xdr:row>92</xdr:row>
      <xdr:rowOff>169560</xdr:rowOff>
    </xdr:to>
    <xdr:graphicFrame>
      <xdr:nvGraphicFramePr>
        <xdr:cNvPr id="0" name="Chart 1"/>
        <xdr:cNvGraphicFramePr/>
      </xdr:nvGraphicFramePr>
      <xdr:xfrm>
        <a:off x="2374200" y="14468400"/>
        <a:ext cx="4350960" cy="297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361800</xdr:colOff>
      <xdr:row>44</xdr:row>
      <xdr:rowOff>104760</xdr:rowOff>
    </xdr:from>
    <xdr:to>
      <xdr:col>27</xdr:col>
      <xdr:colOff>66600</xdr:colOff>
      <xdr:row>59</xdr:row>
      <xdr:rowOff>102960</xdr:rowOff>
    </xdr:to>
    <xdr:graphicFrame>
      <xdr:nvGraphicFramePr>
        <xdr:cNvPr id="1" name="Chart 2"/>
        <xdr:cNvGraphicFramePr/>
      </xdr:nvGraphicFramePr>
      <xdr:xfrm>
        <a:off x="19984680" y="7343640"/>
        <a:ext cx="4570200" cy="286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714240</xdr:colOff>
      <xdr:row>1</xdr:row>
      <xdr:rowOff>181080</xdr:rowOff>
    </xdr:from>
    <xdr:to>
      <xdr:col>2</xdr:col>
      <xdr:colOff>1149120</xdr:colOff>
      <xdr:row>4</xdr:row>
      <xdr:rowOff>169920</xdr:rowOff>
    </xdr:to>
    <xdr:pic>
      <xdr:nvPicPr>
        <xdr:cNvPr id="2" name="image1.png" descr=""/>
        <xdr:cNvPicPr/>
      </xdr:nvPicPr>
      <xdr:blipFill>
        <a:blip r:embed="rId3"/>
        <a:stretch/>
      </xdr:blipFill>
      <xdr:spPr>
        <a:xfrm>
          <a:off x="1524960" y="371520"/>
          <a:ext cx="1245960" cy="569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104760</xdr:colOff>
      <xdr:row>14</xdr:row>
      <xdr:rowOff>162000</xdr:rowOff>
    </xdr:from>
    <xdr:to>
      <xdr:col>9</xdr:col>
      <xdr:colOff>310680</xdr:colOff>
      <xdr:row>30</xdr:row>
      <xdr:rowOff>150840</xdr:rowOff>
    </xdr:to>
    <xdr:pic>
      <xdr:nvPicPr>
        <xdr:cNvPr id="3" name="image5.png" descr=""/>
        <xdr:cNvPicPr/>
      </xdr:nvPicPr>
      <xdr:blipFill>
        <a:blip r:embed="rId1"/>
        <a:stretch/>
      </xdr:blipFill>
      <xdr:spPr>
        <a:xfrm>
          <a:off x="6941880" y="2924280"/>
          <a:ext cx="4093200" cy="329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171360</xdr:colOff>
      <xdr:row>0</xdr:row>
      <xdr:rowOff>95400</xdr:rowOff>
    </xdr:from>
    <xdr:to>
      <xdr:col>22</xdr:col>
      <xdr:colOff>392040</xdr:colOff>
      <xdr:row>18</xdr:row>
      <xdr:rowOff>55440</xdr:rowOff>
    </xdr:to>
    <xdr:pic>
      <xdr:nvPicPr>
        <xdr:cNvPr id="4" name="image6.png" descr=""/>
        <xdr:cNvPicPr/>
      </xdr:nvPicPr>
      <xdr:blipFill>
        <a:blip r:embed="rId2"/>
        <a:stretch/>
      </xdr:blipFill>
      <xdr:spPr>
        <a:xfrm>
          <a:off x="20283120" y="95400"/>
          <a:ext cx="4275000" cy="3474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19080</xdr:colOff>
      <xdr:row>18</xdr:row>
      <xdr:rowOff>66600</xdr:rowOff>
    </xdr:from>
    <xdr:to>
      <xdr:col>22</xdr:col>
      <xdr:colOff>555120</xdr:colOff>
      <xdr:row>34</xdr:row>
      <xdr:rowOff>150480</xdr:rowOff>
    </xdr:to>
    <xdr:pic>
      <xdr:nvPicPr>
        <xdr:cNvPr id="5" name="image3.png" descr=""/>
        <xdr:cNvPicPr/>
      </xdr:nvPicPr>
      <xdr:blipFill>
        <a:blip r:embed="rId3"/>
        <a:stretch/>
      </xdr:blipFill>
      <xdr:spPr>
        <a:xfrm>
          <a:off x="20941560" y="3581280"/>
          <a:ext cx="3779640" cy="3436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676440</xdr:colOff>
      <xdr:row>18</xdr:row>
      <xdr:rowOff>162000</xdr:rowOff>
    </xdr:from>
    <xdr:to>
      <xdr:col>17</xdr:col>
      <xdr:colOff>404640</xdr:colOff>
      <xdr:row>38</xdr:row>
      <xdr:rowOff>17280</xdr:rowOff>
    </xdr:to>
    <xdr:pic>
      <xdr:nvPicPr>
        <xdr:cNvPr id="6" name="image8.png" descr=""/>
        <xdr:cNvPicPr/>
      </xdr:nvPicPr>
      <xdr:blipFill>
        <a:blip r:embed="rId4"/>
        <a:stretch/>
      </xdr:blipFill>
      <xdr:spPr>
        <a:xfrm>
          <a:off x="16698600" y="3676680"/>
          <a:ext cx="3817800" cy="400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380880</xdr:colOff>
      <xdr:row>0</xdr:row>
      <xdr:rowOff>76320</xdr:rowOff>
    </xdr:from>
    <xdr:to>
      <xdr:col>15</xdr:col>
      <xdr:colOff>761760</xdr:colOff>
      <xdr:row>19</xdr:row>
      <xdr:rowOff>122400</xdr:rowOff>
    </xdr:to>
    <xdr:pic>
      <xdr:nvPicPr>
        <xdr:cNvPr id="7" name="image2.png" descr=""/>
        <xdr:cNvPicPr/>
      </xdr:nvPicPr>
      <xdr:blipFill>
        <a:blip r:embed="rId5"/>
        <a:stretch/>
      </xdr:blipFill>
      <xdr:spPr>
        <a:xfrm>
          <a:off x="14934960" y="76320"/>
          <a:ext cx="3893760" cy="3751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771480</xdr:colOff>
      <xdr:row>22</xdr:row>
      <xdr:rowOff>76320</xdr:rowOff>
    </xdr:from>
    <xdr:to>
      <xdr:col>13</xdr:col>
      <xdr:colOff>151200</xdr:colOff>
      <xdr:row>27</xdr:row>
      <xdr:rowOff>103320</xdr:rowOff>
    </xdr:to>
    <xdr:pic>
      <xdr:nvPicPr>
        <xdr:cNvPr id="8" name="image7.png" descr=""/>
        <xdr:cNvPicPr/>
      </xdr:nvPicPr>
      <xdr:blipFill>
        <a:blip r:embed="rId6"/>
        <a:stretch/>
      </xdr:blipFill>
      <xdr:spPr>
        <a:xfrm>
          <a:off x="10450800" y="4372200"/>
          <a:ext cx="5722560" cy="1027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828720</xdr:colOff>
      <xdr:row>27</xdr:row>
      <xdr:rowOff>171360</xdr:rowOff>
    </xdr:from>
    <xdr:to>
      <xdr:col>11</xdr:col>
      <xdr:colOff>851400</xdr:colOff>
      <xdr:row>33</xdr:row>
      <xdr:rowOff>93240</xdr:rowOff>
    </xdr:to>
    <xdr:pic>
      <xdr:nvPicPr>
        <xdr:cNvPr id="9" name="image4.png" descr=""/>
        <xdr:cNvPicPr/>
      </xdr:nvPicPr>
      <xdr:blipFill>
        <a:blip r:embed="rId7"/>
        <a:stretch/>
      </xdr:blipFill>
      <xdr:spPr>
        <a:xfrm>
          <a:off x="10508040" y="5467320"/>
          <a:ext cx="3875040" cy="1293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209520</xdr:colOff>
      <xdr:row>6</xdr:row>
      <xdr:rowOff>19080</xdr:rowOff>
    </xdr:from>
    <xdr:to>
      <xdr:col>4</xdr:col>
      <xdr:colOff>644400</xdr:colOff>
      <xdr:row>9</xdr:row>
      <xdr:rowOff>70560</xdr:rowOff>
    </xdr:to>
    <xdr:sp>
      <xdr:nvSpPr>
        <xdr:cNvPr id="10" name="Shape 3"/>
        <xdr:cNvSpPr/>
      </xdr:nvSpPr>
      <xdr:spPr>
        <a:xfrm>
          <a:off x="2642040" y="1146960"/>
          <a:ext cx="1245960" cy="607680"/>
        </a:xfrm>
        <a:prstGeom prst="rect">
          <a:avLst/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Planta Pleito</a:t>
          </a:r>
          <a:endParaRPr b="0" lang="es-CL" sz="1100" spc="-1" strike="noStrike">
            <a:latin typeface="Times New Roman"/>
          </a:endParaRPr>
        </a:p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T2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714240</xdr:colOff>
      <xdr:row>7</xdr:row>
      <xdr:rowOff>114120</xdr:rowOff>
    </xdr:from>
    <xdr:to>
      <xdr:col>3</xdr:col>
      <xdr:colOff>122400</xdr:colOff>
      <xdr:row>9</xdr:row>
      <xdr:rowOff>144360</xdr:rowOff>
    </xdr:to>
    <xdr:grpSp>
      <xdr:nvGrpSpPr>
        <xdr:cNvPr id="11" name="Shape 2"/>
        <xdr:cNvGrpSpPr/>
      </xdr:nvGrpSpPr>
      <xdr:grpSpPr>
        <a:xfrm>
          <a:off x="1524960" y="1417320"/>
          <a:ext cx="1029960" cy="411120"/>
          <a:chOff x="1524960" y="1417320"/>
          <a:chExt cx="1029960" cy="411120"/>
        </a:xfrm>
      </xdr:grpSpPr>
      <xdr:cxnSp>
        <xdr:nvCxnSpPr>
          <xdr:cNvPr id="12" name="Shape 4"/>
          <xdr:cNvCxnSpPr/>
        </xdr:nvCxnSpPr>
        <xdr:spPr>
          <a:xfrm flipV="1">
            <a:off x="1524960" y="1417320"/>
            <a:ext cx="1030320" cy="411480"/>
          </a:xfrm>
          <a:prstGeom prst="bentConnector3">
            <a:avLst>
              <a:gd name="adj1" fmla="val 5001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0</xdr:col>
      <xdr:colOff>123840</xdr:colOff>
      <xdr:row>3</xdr:row>
      <xdr:rowOff>85680</xdr:rowOff>
    </xdr:from>
    <xdr:to>
      <xdr:col>1</xdr:col>
      <xdr:colOff>149400</xdr:colOff>
      <xdr:row>5</xdr:row>
      <xdr:rowOff>175320</xdr:rowOff>
    </xdr:to>
    <xdr:sp>
      <xdr:nvSpPr>
        <xdr:cNvPr id="13" name="Shape 5"/>
        <xdr:cNvSpPr/>
      </xdr:nvSpPr>
      <xdr:spPr>
        <a:xfrm>
          <a:off x="123840" y="657360"/>
          <a:ext cx="836280" cy="455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Alta Ley 1 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457200</xdr:colOff>
      <xdr:row>25</xdr:row>
      <xdr:rowOff>85680</xdr:rowOff>
    </xdr:from>
    <xdr:to>
      <xdr:col>6</xdr:col>
      <xdr:colOff>54000</xdr:colOff>
      <xdr:row>27</xdr:row>
      <xdr:rowOff>102960</xdr:rowOff>
    </xdr:to>
    <xdr:sp>
      <xdr:nvSpPr>
        <xdr:cNvPr id="14" name="Shape 6"/>
        <xdr:cNvSpPr/>
      </xdr:nvSpPr>
      <xdr:spPr>
        <a:xfrm>
          <a:off x="4511520" y="4861440"/>
          <a:ext cx="407880" cy="41724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685800</xdr:colOff>
      <xdr:row>4</xdr:row>
      <xdr:rowOff>114480</xdr:rowOff>
    </xdr:from>
    <xdr:to>
      <xdr:col>7</xdr:col>
      <xdr:colOff>282960</xdr:colOff>
      <xdr:row>6</xdr:row>
      <xdr:rowOff>165960</xdr:rowOff>
    </xdr:to>
    <xdr:sp>
      <xdr:nvSpPr>
        <xdr:cNvPr id="15" name="Shape 6"/>
        <xdr:cNvSpPr/>
      </xdr:nvSpPr>
      <xdr:spPr>
        <a:xfrm>
          <a:off x="5551200" y="876600"/>
          <a:ext cx="407880" cy="41724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28440</xdr:colOff>
      <xdr:row>15</xdr:row>
      <xdr:rowOff>28440</xdr:rowOff>
    </xdr:from>
    <xdr:to>
      <xdr:col>7</xdr:col>
      <xdr:colOff>426600</xdr:colOff>
      <xdr:row>17</xdr:row>
      <xdr:rowOff>64800</xdr:rowOff>
    </xdr:to>
    <xdr:sp>
      <xdr:nvSpPr>
        <xdr:cNvPr id="16" name="Shape 7"/>
        <xdr:cNvSpPr/>
      </xdr:nvSpPr>
      <xdr:spPr>
        <a:xfrm>
          <a:off x="5704560" y="2882160"/>
          <a:ext cx="398160" cy="41724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85680</xdr:colOff>
      <xdr:row>6</xdr:row>
      <xdr:rowOff>85680</xdr:rowOff>
    </xdr:from>
    <xdr:to>
      <xdr:col>6</xdr:col>
      <xdr:colOff>731520</xdr:colOff>
      <xdr:row>9</xdr:row>
      <xdr:rowOff>137160</xdr:rowOff>
    </xdr:to>
    <xdr:sp>
      <xdr:nvSpPr>
        <xdr:cNvPr id="17" name="Shape 8"/>
        <xdr:cNvSpPr/>
      </xdr:nvSpPr>
      <xdr:spPr>
        <a:xfrm>
          <a:off x="4951080" y="1213560"/>
          <a:ext cx="645840" cy="607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Granzas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723960</xdr:colOff>
      <xdr:row>13</xdr:row>
      <xdr:rowOff>0</xdr:rowOff>
    </xdr:from>
    <xdr:to>
      <xdr:col>7</xdr:col>
      <xdr:colOff>129240</xdr:colOff>
      <xdr:row>15</xdr:row>
      <xdr:rowOff>102960</xdr:rowOff>
    </xdr:to>
    <xdr:sp>
      <xdr:nvSpPr>
        <xdr:cNvPr id="18" name="Shape 9"/>
        <xdr:cNvSpPr/>
      </xdr:nvSpPr>
      <xdr:spPr>
        <a:xfrm>
          <a:off x="4778280" y="2424960"/>
          <a:ext cx="1027080" cy="53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Finos</a:t>
          </a:r>
          <a:endParaRPr b="0" lang="es-CL" sz="1100" spc="-1" strike="noStrike">
            <a:latin typeface="Times New Roman"/>
          </a:endParaRPr>
        </a:p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 </a:t>
          </a:r>
          <a:r>
            <a:rPr b="0" lang="en-US" sz="1100" spc="-1" strike="noStrike">
              <a:latin typeface="Calibri"/>
              <a:ea typeface="Calibri"/>
            </a:rPr>
            <a:t>o Sinter Feed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28440</xdr:colOff>
      <xdr:row>35</xdr:row>
      <xdr:rowOff>104760</xdr:rowOff>
    </xdr:from>
    <xdr:to>
      <xdr:col>5</xdr:col>
      <xdr:colOff>635040</xdr:colOff>
      <xdr:row>37</xdr:row>
      <xdr:rowOff>7560</xdr:rowOff>
    </xdr:to>
    <xdr:sp>
      <xdr:nvSpPr>
        <xdr:cNvPr id="19" name="Shape 10"/>
        <xdr:cNvSpPr/>
      </xdr:nvSpPr>
      <xdr:spPr>
        <a:xfrm>
          <a:off x="3272040" y="6880680"/>
          <a:ext cx="1417320" cy="30312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Mixto 2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623880</xdr:colOff>
      <xdr:row>7</xdr:row>
      <xdr:rowOff>176040</xdr:rowOff>
    </xdr:from>
    <xdr:to>
      <xdr:col>6</xdr:col>
      <xdr:colOff>765360</xdr:colOff>
      <xdr:row>16</xdr:row>
      <xdr:rowOff>74880</xdr:rowOff>
    </xdr:to>
    <xdr:grpSp>
      <xdr:nvGrpSpPr>
        <xdr:cNvPr id="20" name="Shape 2"/>
        <xdr:cNvGrpSpPr/>
      </xdr:nvGrpSpPr>
      <xdr:grpSpPr>
        <a:xfrm>
          <a:off x="3867480" y="1479240"/>
          <a:ext cx="1763280" cy="1639800"/>
          <a:chOff x="3867480" y="1479240"/>
          <a:chExt cx="1763280" cy="1639800"/>
        </a:xfrm>
      </xdr:grpSpPr>
      <xdr:cxnSp>
        <xdr:nvCxnSpPr>
          <xdr:cNvPr id="21" name="Shape 11"/>
          <xdr:cNvCxnSpPr/>
        </xdr:nvCxnSpPr>
        <xdr:spPr>
          <a:xfrm>
            <a:off x="3867480" y="1479240"/>
            <a:ext cx="1763640" cy="164016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4</xdr:col>
      <xdr:colOff>685800</xdr:colOff>
      <xdr:row>5</xdr:row>
      <xdr:rowOff>114120</xdr:rowOff>
    </xdr:from>
    <xdr:to>
      <xdr:col>6</xdr:col>
      <xdr:colOff>703440</xdr:colOff>
      <xdr:row>7</xdr:row>
      <xdr:rowOff>149760</xdr:rowOff>
    </xdr:to>
    <xdr:grpSp>
      <xdr:nvGrpSpPr>
        <xdr:cNvPr id="22" name="Shape 2"/>
        <xdr:cNvGrpSpPr/>
      </xdr:nvGrpSpPr>
      <xdr:grpSpPr>
        <a:xfrm>
          <a:off x="3929400" y="1051560"/>
          <a:ext cx="1639440" cy="401400"/>
          <a:chOff x="3929400" y="1051560"/>
          <a:chExt cx="1639440" cy="401400"/>
        </a:xfrm>
      </xdr:grpSpPr>
      <xdr:cxnSp>
        <xdr:nvCxnSpPr>
          <xdr:cNvPr id="23" name="Shape 12"/>
          <xdr:cNvCxnSpPr/>
        </xdr:nvCxnSpPr>
        <xdr:spPr>
          <a:xfrm flipV="1">
            <a:off x="3929400" y="1051560"/>
            <a:ext cx="1639800" cy="40176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2</xdr:col>
      <xdr:colOff>583560</xdr:colOff>
      <xdr:row>14</xdr:row>
      <xdr:rowOff>114480</xdr:rowOff>
    </xdr:from>
    <xdr:to>
      <xdr:col>7</xdr:col>
      <xdr:colOff>7200</xdr:colOff>
      <xdr:row>21</xdr:row>
      <xdr:rowOff>70200</xdr:rowOff>
    </xdr:to>
    <xdr:grpSp>
      <xdr:nvGrpSpPr>
        <xdr:cNvPr id="24" name="Shape 2"/>
        <xdr:cNvGrpSpPr/>
      </xdr:nvGrpSpPr>
      <xdr:grpSpPr>
        <a:xfrm>
          <a:off x="2205360" y="2777760"/>
          <a:ext cx="3477960" cy="1268280"/>
          <a:chOff x="2205360" y="2777760"/>
          <a:chExt cx="3477960" cy="1268280"/>
        </a:xfrm>
      </xdr:grpSpPr>
      <xdr:cxnSp>
        <xdr:nvCxnSpPr>
          <xdr:cNvPr id="25" name="Shape 14"/>
          <xdr:cNvCxnSpPr/>
        </xdr:nvCxnSpPr>
        <xdr:spPr>
          <a:xfrm>
            <a:off x="2205360" y="2777760"/>
            <a:ext cx="3478320" cy="1268640"/>
          </a:xfrm>
          <a:prstGeom prst="bentConnector3">
            <a:avLst>
              <a:gd name="adj1" fmla="val 50005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228600</xdr:colOff>
      <xdr:row>5</xdr:row>
      <xdr:rowOff>104760</xdr:rowOff>
    </xdr:from>
    <xdr:to>
      <xdr:col>8</xdr:col>
      <xdr:colOff>456840</xdr:colOff>
      <xdr:row>5</xdr:row>
      <xdr:rowOff>144000</xdr:rowOff>
    </xdr:to>
    <xdr:grpSp>
      <xdr:nvGrpSpPr>
        <xdr:cNvPr id="26" name="Shape 2"/>
        <xdr:cNvGrpSpPr/>
      </xdr:nvGrpSpPr>
      <xdr:grpSpPr>
        <a:xfrm>
          <a:off x="5904720" y="1042200"/>
          <a:ext cx="1039320" cy="39240"/>
          <a:chOff x="5904720" y="1042200"/>
          <a:chExt cx="1039320" cy="39240"/>
        </a:xfrm>
      </xdr:grpSpPr>
      <xdr:cxnSp>
        <xdr:nvCxnSpPr>
          <xdr:cNvPr id="27" name="Shape 15"/>
          <xdr:cNvCxnSpPr/>
        </xdr:nvCxnSpPr>
        <xdr:spPr>
          <a:xfrm>
            <a:off x="5904720" y="1042200"/>
            <a:ext cx="1039680" cy="39600"/>
          </a:xfrm>
          <a:prstGeom prst="bentConnector3">
            <a:avLst>
              <a:gd name="adj1" fmla="val 5001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333360</xdr:colOff>
      <xdr:row>15</xdr:row>
      <xdr:rowOff>28080</xdr:rowOff>
    </xdr:from>
    <xdr:to>
      <xdr:col>9</xdr:col>
      <xdr:colOff>160560</xdr:colOff>
      <xdr:row>16</xdr:row>
      <xdr:rowOff>48960</xdr:rowOff>
    </xdr:to>
    <xdr:grpSp>
      <xdr:nvGrpSpPr>
        <xdr:cNvPr id="28" name="Shape 2"/>
        <xdr:cNvGrpSpPr/>
      </xdr:nvGrpSpPr>
      <xdr:grpSpPr>
        <a:xfrm>
          <a:off x="6009480" y="2881800"/>
          <a:ext cx="1449000" cy="211320"/>
          <a:chOff x="6009480" y="2881800"/>
          <a:chExt cx="1449000" cy="211320"/>
        </a:xfrm>
      </xdr:grpSpPr>
      <xdr:cxnSp>
        <xdr:nvCxnSpPr>
          <xdr:cNvPr id="29" name="Shape 16"/>
          <xdr:cNvCxnSpPr/>
        </xdr:nvCxnSpPr>
        <xdr:spPr>
          <a:xfrm flipV="1">
            <a:off x="6009480" y="2881800"/>
            <a:ext cx="1449360" cy="211680"/>
          </a:xfrm>
          <a:prstGeom prst="bentConnector3">
            <a:avLst>
              <a:gd name="adj1" fmla="val 50012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6</xdr:col>
      <xdr:colOff>0</xdr:colOff>
      <xdr:row>26</xdr:row>
      <xdr:rowOff>75960</xdr:rowOff>
    </xdr:from>
    <xdr:to>
      <xdr:col>7</xdr:col>
      <xdr:colOff>428760</xdr:colOff>
      <xdr:row>26</xdr:row>
      <xdr:rowOff>115560</xdr:rowOff>
    </xdr:to>
    <xdr:grpSp>
      <xdr:nvGrpSpPr>
        <xdr:cNvPr id="30" name="Shape 2"/>
        <xdr:cNvGrpSpPr/>
      </xdr:nvGrpSpPr>
      <xdr:grpSpPr>
        <a:xfrm>
          <a:off x="4865400" y="5051880"/>
          <a:ext cx="1239480" cy="39600"/>
          <a:chOff x="4865400" y="5051880"/>
          <a:chExt cx="1239480" cy="39600"/>
        </a:xfrm>
      </xdr:grpSpPr>
      <xdr:cxnSp>
        <xdr:nvCxnSpPr>
          <xdr:cNvPr id="31" name="Shape 17"/>
          <xdr:cNvCxnSpPr/>
        </xdr:nvCxnSpPr>
        <xdr:spPr>
          <a:xfrm>
            <a:off x="4865400" y="5051880"/>
            <a:ext cx="1239840" cy="39960"/>
          </a:xfrm>
          <a:prstGeom prst="bentConnector3">
            <a:avLst>
              <a:gd name="adj1" fmla="val 50014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6</xdr:col>
      <xdr:colOff>57240</xdr:colOff>
      <xdr:row>23</xdr:row>
      <xdr:rowOff>28440</xdr:rowOff>
    </xdr:from>
    <xdr:to>
      <xdr:col>7</xdr:col>
      <xdr:colOff>473400</xdr:colOff>
      <xdr:row>26</xdr:row>
      <xdr:rowOff>159840</xdr:rowOff>
    </xdr:to>
    <xdr:sp>
      <xdr:nvSpPr>
        <xdr:cNvPr id="32" name="Shape 18"/>
        <xdr:cNvSpPr/>
      </xdr:nvSpPr>
      <xdr:spPr>
        <a:xfrm>
          <a:off x="4922640" y="4404240"/>
          <a:ext cx="1226880" cy="731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Rechazo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171360</xdr:colOff>
      <xdr:row>3</xdr:row>
      <xdr:rowOff>162000</xdr:rowOff>
    </xdr:from>
    <xdr:to>
      <xdr:col>11</xdr:col>
      <xdr:colOff>454320</xdr:colOff>
      <xdr:row>7</xdr:row>
      <xdr:rowOff>123840</xdr:rowOff>
    </xdr:to>
    <xdr:sp>
      <xdr:nvSpPr>
        <xdr:cNvPr id="33" name="Shape 19"/>
        <xdr:cNvSpPr/>
      </xdr:nvSpPr>
      <xdr:spPr>
        <a:xfrm>
          <a:off x="8280360" y="733680"/>
          <a:ext cx="1093680" cy="693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218880</xdr:colOff>
      <xdr:row>5</xdr:row>
      <xdr:rowOff>114120</xdr:rowOff>
    </xdr:from>
    <xdr:to>
      <xdr:col>8</xdr:col>
      <xdr:colOff>438120</xdr:colOff>
      <xdr:row>9</xdr:row>
      <xdr:rowOff>83160</xdr:rowOff>
    </xdr:to>
    <xdr:grpSp>
      <xdr:nvGrpSpPr>
        <xdr:cNvPr id="34" name="Shape 2"/>
        <xdr:cNvGrpSpPr/>
      </xdr:nvGrpSpPr>
      <xdr:grpSpPr>
        <a:xfrm>
          <a:off x="5895000" y="1051560"/>
          <a:ext cx="1030320" cy="715680"/>
          <a:chOff x="5895000" y="1051560"/>
          <a:chExt cx="1030320" cy="715680"/>
        </a:xfrm>
      </xdr:grpSpPr>
      <xdr:cxnSp>
        <xdr:nvCxnSpPr>
          <xdr:cNvPr id="35" name="Shape 20"/>
          <xdr:cNvCxnSpPr/>
        </xdr:nvCxnSpPr>
        <xdr:spPr>
          <a:xfrm>
            <a:off x="5895000" y="1051560"/>
            <a:ext cx="1030680" cy="71604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10</xdr:col>
      <xdr:colOff>304920</xdr:colOff>
      <xdr:row>7</xdr:row>
      <xdr:rowOff>162000</xdr:rowOff>
    </xdr:from>
    <xdr:to>
      <xdr:col>11</xdr:col>
      <xdr:colOff>578160</xdr:colOff>
      <xdr:row>10</xdr:row>
      <xdr:rowOff>112680</xdr:rowOff>
    </xdr:to>
    <xdr:sp>
      <xdr:nvSpPr>
        <xdr:cNvPr id="36" name="Shape 21"/>
        <xdr:cNvSpPr/>
      </xdr:nvSpPr>
      <xdr:spPr>
        <a:xfrm>
          <a:off x="8413920" y="1465200"/>
          <a:ext cx="1083960" cy="52200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Puerto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457200</xdr:colOff>
      <xdr:row>16</xdr:row>
      <xdr:rowOff>142560</xdr:rowOff>
    </xdr:from>
    <xdr:to>
      <xdr:col>9</xdr:col>
      <xdr:colOff>65520</xdr:colOff>
      <xdr:row>20</xdr:row>
      <xdr:rowOff>12600</xdr:rowOff>
    </xdr:to>
    <xdr:grpSp>
      <xdr:nvGrpSpPr>
        <xdr:cNvPr id="37" name="Shape 2"/>
        <xdr:cNvGrpSpPr/>
      </xdr:nvGrpSpPr>
      <xdr:grpSpPr>
        <a:xfrm>
          <a:off x="6133320" y="3186720"/>
          <a:ext cx="1230120" cy="601560"/>
          <a:chOff x="6133320" y="3186720"/>
          <a:chExt cx="1230120" cy="601560"/>
        </a:xfrm>
      </xdr:grpSpPr>
      <xdr:cxnSp>
        <xdr:nvCxnSpPr>
          <xdr:cNvPr id="38" name="Shape 22"/>
          <xdr:cNvCxnSpPr/>
        </xdr:nvCxnSpPr>
        <xdr:spPr>
          <a:xfrm>
            <a:off x="6133320" y="3186720"/>
            <a:ext cx="1230480" cy="601920"/>
          </a:xfrm>
          <a:prstGeom prst="bentConnector3">
            <a:avLst>
              <a:gd name="adj1" fmla="val 50014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752400</xdr:colOff>
      <xdr:row>19</xdr:row>
      <xdr:rowOff>85680</xdr:rowOff>
    </xdr:from>
    <xdr:to>
      <xdr:col>9</xdr:col>
      <xdr:colOff>81360</xdr:colOff>
      <xdr:row>22</xdr:row>
      <xdr:rowOff>17280</xdr:rowOff>
    </xdr:to>
    <xdr:sp>
      <xdr:nvSpPr>
        <xdr:cNvPr id="39" name="Shape 23"/>
        <xdr:cNvSpPr/>
      </xdr:nvSpPr>
      <xdr:spPr>
        <a:xfrm>
          <a:off x="6428520" y="3670920"/>
          <a:ext cx="950760" cy="522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Puerto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304920</xdr:colOff>
      <xdr:row>13</xdr:row>
      <xdr:rowOff>9360</xdr:rowOff>
    </xdr:from>
    <xdr:to>
      <xdr:col>9</xdr:col>
      <xdr:colOff>195840</xdr:colOff>
      <xdr:row>14</xdr:row>
      <xdr:rowOff>93240</xdr:rowOff>
    </xdr:to>
    <xdr:sp>
      <xdr:nvSpPr>
        <xdr:cNvPr id="40" name="Shape 24"/>
        <xdr:cNvSpPr/>
      </xdr:nvSpPr>
      <xdr:spPr>
        <a:xfrm>
          <a:off x="5981040" y="2434320"/>
          <a:ext cx="1512720" cy="32220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394200</xdr:colOff>
      <xdr:row>19</xdr:row>
      <xdr:rowOff>162000</xdr:rowOff>
    </xdr:from>
    <xdr:to>
      <xdr:col>8</xdr:col>
      <xdr:colOff>234360</xdr:colOff>
      <xdr:row>26</xdr:row>
      <xdr:rowOff>77760</xdr:rowOff>
    </xdr:to>
    <xdr:grpSp>
      <xdr:nvGrpSpPr>
        <xdr:cNvPr id="41" name="Shape 2"/>
        <xdr:cNvGrpSpPr/>
      </xdr:nvGrpSpPr>
      <xdr:grpSpPr>
        <a:xfrm>
          <a:off x="1204920" y="3747240"/>
          <a:ext cx="5516640" cy="1306440"/>
          <a:chOff x="1204920" y="3747240"/>
          <a:chExt cx="5516640" cy="1306440"/>
        </a:xfrm>
      </xdr:grpSpPr>
      <xdr:cxnSp>
        <xdr:nvCxnSpPr>
          <xdr:cNvPr id="42" name="Shape 25"/>
          <xdr:cNvCxnSpPr/>
        </xdr:nvCxnSpPr>
        <xdr:spPr>
          <a:xfrm>
            <a:off x="1204920" y="3747240"/>
            <a:ext cx="5517000" cy="130680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5</xdr:col>
      <xdr:colOff>495360</xdr:colOff>
      <xdr:row>35</xdr:row>
      <xdr:rowOff>123840</xdr:rowOff>
    </xdr:from>
    <xdr:to>
      <xdr:col>6</xdr:col>
      <xdr:colOff>92160</xdr:colOff>
      <xdr:row>37</xdr:row>
      <xdr:rowOff>140760</xdr:rowOff>
    </xdr:to>
    <xdr:sp>
      <xdr:nvSpPr>
        <xdr:cNvPr id="43" name="Shape 6"/>
        <xdr:cNvSpPr/>
      </xdr:nvSpPr>
      <xdr:spPr>
        <a:xfrm>
          <a:off x="4549680" y="6899760"/>
          <a:ext cx="407880" cy="41724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57240</xdr:colOff>
      <xdr:row>24</xdr:row>
      <xdr:rowOff>133200</xdr:rowOff>
    </xdr:from>
    <xdr:to>
      <xdr:col>5</xdr:col>
      <xdr:colOff>663840</xdr:colOff>
      <xdr:row>26</xdr:row>
      <xdr:rowOff>45720</xdr:rowOff>
    </xdr:to>
    <xdr:sp>
      <xdr:nvSpPr>
        <xdr:cNvPr id="44" name="Shape 27"/>
        <xdr:cNvSpPr/>
      </xdr:nvSpPr>
      <xdr:spPr>
        <a:xfrm>
          <a:off x="3300840" y="4709160"/>
          <a:ext cx="14173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Mixto 1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37800</xdr:colOff>
      <xdr:row>36</xdr:row>
      <xdr:rowOff>114120</xdr:rowOff>
    </xdr:from>
    <xdr:to>
      <xdr:col>7</xdr:col>
      <xdr:colOff>352440</xdr:colOff>
      <xdr:row>36</xdr:row>
      <xdr:rowOff>153720</xdr:rowOff>
    </xdr:to>
    <xdr:grpSp>
      <xdr:nvGrpSpPr>
        <xdr:cNvPr id="45" name="Shape 2"/>
        <xdr:cNvGrpSpPr/>
      </xdr:nvGrpSpPr>
      <xdr:grpSpPr>
        <a:xfrm>
          <a:off x="4903200" y="7090200"/>
          <a:ext cx="1125360" cy="39600"/>
          <a:chOff x="4903200" y="7090200"/>
          <a:chExt cx="1125360" cy="39600"/>
        </a:xfrm>
      </xdr:grpSpPr>
      <xdr:cxnSp>
        <xdr:nvCxnSpPr>
          <xdr:cNvPr id="46" name="Shape 28"/>
          <xdr:cNvCxnSpPr/>
        </xdr:nvCxnSpPr>
        <xdr:spPr>
          <a:xfrm>
            <a:off x="4903200" y="7090200"/>
            <a:ext cx="1125720" cy="3996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6</xdr:col>
      <xdr:colOff>438120</xdr:colOff>
      <xdr:row>34</xdr:row>
      <xdr:rowOff>57240</xdr:rowOff>
    </xdr:from>
    <xdr:to>
      <xdr:col>8</xdr:col>
      <xdr:colOff>614880</xdr:colOff>
      <xdr:row>36</xdr:row>
      <xdr:rowOff>169920</xdr:rowOff>
    </xdr:to>
    <xdr:sp>
      <xdr:nvSpPr>
        <xdr:cNvPr id="47" name="Shape 29"/>
        <xdr:cNvSpPr/>
      </xdr:nvSpPr>
      <xdr:spPr>
        <a:xfrm>
          <a:off x="5303520" y="6633360"/>
          <a:ext cx="1798560" cy="512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 (molienda)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75960</xdr:colOff>
      <xdr:row>7</xdr:row>
      <xdr:rowOff>141840</xdr:rowOff>
    </xdr:from>
    <xdr:to>
      <xdr:col>3</xdr:col>
      <xdr:colOff>141480</xdr:colOff>
      <xdr:row>16</xdr:row>
      <xdr:rowOff>32040</xdr:rowOff>
    </xdr:to>
    <xdr:grpSp>
      <xdr:nvGrpSpPr>
        <xdr:cNvPr id="48" name="Shape 2"/>
        <xdr:cNvGrpSpPr/>
      </xdr:nvGrpSpPr>
      <xdr:grpSpPr>
        <a:xfrm>
          <a:off x="886680" y="1445040"/>
          <a:ext cx="1687320" cy="1631160"/>
          <a:chOff x="886680" y="1445040"/>
          <a:chExt cx="1687320" cy="1631160"/>
        </a:xfrm>
      </xdr:grpSpPr>
      <xdr:cxnSp>
        <xdr:nvCxnSpPr>
          <xdr:cNvPr id="49" name="Shape 30"/>
          <xdr:cNvCxnSpPr/>
        </xdr:nvCxnSpPr>
        <xdr:spPr>
          <a:xfrm flipV="1">
            <a:off x="886680" y="1445040"/>
            <a:ext cx="1687680" cy="1631520"/>
          </a:xfrm>
          <a:prstGeom prst="bentConnector3">
            <a:avLst>
              <a:gd name="adj1" fmla="val 5001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2</xdr:col>
      <xdr:colOff>257040</xdr:colOff>
      <xdr:row>4</xdr:row>
      <xdr:rowOff>85680</xdr:rowOff>
    </xdr:from>
    <xdr:to>
      <xdr:col>3</xdr:col>
      <xdr:colOff>171720</xdr:colOff>
      <xdr:row>7</xdr:row>
      <xdr:rowOff>183960</xdr:rowOff>
    </xdr:to>
    <xdr:grpSp>
      <xdr:nvGrpSpPr>
        <xdr:cNvPr id="50" name="Shape 2"/>
        <xdr:cNvGrpSpPr/>
      </xdr:nvGrpSpPr>
      <xdr:grpSpPr>
        <a:xfrm>
          <a:off x="1878840" y="847800"/>
          <a:ext cx="725400" cy="639360"/>
          <a:chOff x="1878840" y="847800"/>
          <a:chExt cx="725400" cy="639360"/>
        </a:xfrm>
      </xdr:grpSpPr>
      <xdr:cxnSp>
        <xdr:nvCxnSpPr>
          <xdr:cNvPr id="51" name="Shape 31"/>
          <xdr:cNvCxnSpPr/>
        </xdr:nvCxnSpPr>
        <xdr:spPr>
          <a:xfrm>
            <a:off x="1878840" y="847800"/>
            <a:ext cx="725760" cy="639720"/>
          </a:xfrm>
          <a:prstGeom prst="bentConnector3">
            <a:avLst>
              <a:gd name="adj1" fmla="val 50024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0</xdr:col>
      <xdr:colOff>123840</xdr:colOff>
      <xdr:row>14</xdr:row>
      <xdr:rowOff>152280</xdr:rowOff>
    </xdr:from>
    <xdr:to>
      <xdr:col>0</xdr:col>
      <xdr:colOff>769680</xdr:colOff>
      <xdr:row>18</xdr:row>
      <xdr:rowOff>13320</xdr:rowOff>
    </xdr:to>
    <xdr:sp>
      <xdr:nvSpPr>
        <xdr:cNvPr id="52" name="Shape 32"/>
        <xdr:cNvSpPr/>
      </xdr:nvSpPr>
      <xdr:spPr>
        <a:xfrm>
          <a:off x="123840" y="2815560"/>
          <a:ext cx="645840" cy="607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Alta Ley Bronces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200160</xdr:colOff>
      <xdr:row>8</xdr:row>
      <xdr:rowOff>76320</xdr:rowOff>
    </xdr:from>
    <xdr:to>
      <xdr:col>1</xdr:col>
      <xdr:colOff>206640</xdr:colOff>
      <xdr:row>10</xdr:row>
      <xdr:rowOff>27000</xdr:rowOff>
    </xdr:to>
    <xdr:sp>
      <xdr:nvSpPr>
        <xdr:cNvPr id="53" name="Shape 33"/>
        <xdr:cNvSpPr/>
      </xdr:nvSpPr>
      <xdr:spPr>
        <a:xfrm>
          <a:off x="200160" y="1569960"/>
          <a:ext cx="81720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Alta Ley 2 </a:t>
          </a:r>
          <a:endParaRPr b="0" lang="es-CL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285840</xdr:colOff>
      <xdr:row>3</xdr:row>
      <xdr:rowOff>13680</xdr:rowOff>
    </xdr:from>
    <xdr:to>
      <xdr:col>3</xdr:col>
      <xdr:colOff>444960</xdr:colOff>
      <xdr:row>4</xdr:row>
      <xdr:rowOff>109440</xdr:rowOff>
    </xdr:to>
    <xdr:sp>
      <xdr:nvSpPr>
        <xdr:cNvPr id="54" name="Shape 34"/>
        <xdr:cNvSpPr/>
      </xdr:nvSpPr>
      <xdr:spPr>
        <a:xfrm>
          <a:off x="1907640" y="585360"/>
          <a:ext cx="969840" cy="286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ML Pleito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247680</xdr:colOff>
      <xdr:row>11</xdr:row>
      <xdr:rowOff>160920</xdr:rowOff>
    </xdr:from>
    <xdr:to>
      <xdr:col>3</xdr:col>
      <xdr:colOff>406800</xdr:colOff>
      <xdr:row>13</xdr:row>
      <xdr:rowOff>124560</xdr:rowOff>
    </xdr:to>
    <xdr:sp>
      <xdr:nvSpPr>
        <xdr:cNvPr id="55" name="Shape 53"/>
        <xdr:cNvSpPr/>
      </xdr:nvSpPr>
      <xdr:spPr>
        <a:xfrm>
          <a:off x="1869480" y="2165040"/>
          <a:ext cx="969840" cy="314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ML Bronces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637560</xdr:colOff>
      <xdr:row>4</xdr:row>
      <xdr:rowOff>110880</xdr:rowOff>
    </xdr:from>
    <xdr:to>
      <xdr:col>8</xdr:col>
      <xdr:colOff>596880</xdr:colOff>
      <xdr:row>10</xdr:row>
      <xdr:rowOff>105120</xdr:rowOff>
    </xdr:to>
    <xdr:grpSp>
      <xdr:nvGrpSpPr>
        <xdr:cNvPr id="56" name="Shape 2"/>
        <xdr:cNvGrpSpPr/>
      </xdr:nvGrpSpPr>
      <xdr:grpSpPr>
        <a:xfrm>
          <a:off x="4691880" y="873000"/>
          <a:ext cx="2392200" cy="1060920"/>
          <a:chOff x="4691880" y="873000"/>
          <a:chExt cx="2392200" cy="1060920"/>
        </a:xfrm>
      </xdr:grpSpPr>
      <xdr:cxnSp>
        <xdr:nvCxnSpPr>
          <xdr:cNvPr id="57" name="Shape 35"/>
          <xdr:cNvCxnSpPr/>
        </xdr:nvCxnSpPr>
        <xdr:spPr>
          <a:xfrm flipV="1">
            <a:off x="4691880" y="873000"/>
            <a:ext cx="2392560" cy="1061280"/>
          </a:xfrm>
          <a:prstGeom prst="bentConnector3">
            <a:avLst>
              <a:gd name="adj1" fmla="val 5000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3</xdr:col>
      <xdr:colOff>133200</xdr:colOff>
      <xdr:row>10</xdr:row>
      <xdr:rowOff>93600</xdr:rowOff>
    </xdr:from>
    <xdr:to>
      <xdr:col>4</xdr:col>
      <xdr:colOff>114120</xdr:colOff>
      <xdr:row>14</xdr:row>
      <xdr:rowOff>67320</xdr:rowOff>
    </xdr:to>
    <xdr:grpSp>
      <xdr:nvGrpSpPr>
        <xdr:cNvPr id="58" name="Shape 2"/>
        <xdr:cNvGrpSpPr/>
      </xdr:nvGrpSpPr>
      <xdr:grpSpPr>
        <a:xfrm>
          <a:off x="2565720" y="1922400"/>
          <a:ext cx="792000" cy="690120"/>
          <a:chOff x="2565720" y="1922400"/>
          <a:chExt cx="792000" cy="690120"/>
        </a:xfrm>
      </xdr:grpSpPr>
      <xdr:cxnSp>
        <xdr:nvCxnSpPr>
          <xdr:cNvPr id="59" name="Shape 52"/>
          <xdr:cNvCxnSpPr/>
        </xdr:nvCxnSpPr>
        <xdr:spPr>
          <a:xfrm flipV="1">
            <a:off x="2565720" y="1922400"/>
            <a:ext cx="792360" cy="69048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8</xdr:col>
      <xdr:colOff>628200</xdr:colOff>
      <xdr:row>3</xdr:row>
      <xdr:rowOff>106920</xdr:rowOff>
    </xdr:from>
    <xdr:to>
      <xdr:col>9</xdr:col>
      <xdr:colOff>225360</xdr:colOff>
      <xdr:row>5</xdr:row>
      <xdr:rowOff>132840</xdr:rowOff>
    </xdr:to>
    <xdr:sp>
      <xdr:nvSpPr>
        <xdr:cNvPr id="60" name="Shape 6"/>
        <xdr:cNvSpPr/>
      </xdr:nvSpPr>
      <xdr:spPr>
        <a:xfrm>
          <a:off x="7115400" y="678600"/>
          <a:ext cx="407880" cy="40680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104760</xdr:colOff>
      <xdr:row>5</xdr:row>
      <xdr:rowOff>162360</xdr:rowOff>
    </xdr:from>
    <xdr:to>
      <xdr:col>4</xdr:col>
      <xdr:colOff>114120</xdr:colOff>
      <xdr:row>9</xdr:row>
      <xdr:rowOff>94680</xdr:rowOff>
    </xdr:to>
    <xdr:grpSp>
      <xdr:nvGrpSpPr>
        <xdr:cNvPr id="61" name="Shape 2"/>
        <xdr:cNvGrpSpPr/>
      </xdr:nvGrpSpPr>
      <xdr:grpSpPr>
        <a:xfrm>
          <a:off x="2537280" y="1114920"/>
          <a:ext cx="820440" cy="633240"/>
          <a:chOff x="2537280" y="1114920"/>
          <a:chExt cx="820440" cy="633240"/>
        </a:xfrm>
      </xdr:grpSpPr>
      <xdr:cxnSp>
        <xdr:nvCxnSpPr>
          <xdr:cNvPr id="62" name="Shape 51"/>
          <xdr:cNvCxnSpPr/>
        </xdr:nvCxnSpPr>
        <xdr:spPr>
          <a:xfrm>
            <a:off x="2537280" y="1114920"/>
            <a:ext cx="820800" cy="633600"/>
          </a:xfrm>
          <a:prstGeom prst="bentConnector3">
            <a:avLst>
              <a:gd name="adj1" fmla="val 50021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8</xdr:col>
      <xdr:colOff>732960</xdr:colOff>
      <xdr:row>14</xdr:row>
      <xdr:rowOff>121680</xdr:rowOff>
    </xdr:from>
    <xdr:to>
      <xdr:col>9</xdr:col>
      <xdr:colOff>329760</xdr:colOff>
      <xdr:row>16</xdr:row>
      <xdr:rowOff>133200</xdr:rowOff>
    </xdr:to>
    <xdr:sp>
      <xdr:nvSpPr>
        <xdr:cNvPr id="63" name="Shape 6"/>
        <xdr:cNvSpPr/>
      </xdr:nvSpPr>
      <xdr:spPr>
        <a:xfrm>
          <a:off x="7220160" y="2666880"/>
          <a:ext cx="407520" cy="40716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369000</xdr:colOff>
      <xdr:row>18</xdr:row>
      <xdr:rowOff>2880</xdr:rowOff>
    </xdr:from>
    <xdr:to>
      <xdr:col>6</xdr:col>
      <xdr:colOff>480600</xdr:colOff>
      <xdr:row>18</xdr:row>
      <xdr:rowOff>41400</xdr:rowOff>
    </xdr:to>
    <xdr:grpSp>
      <xdr:nvGrpSpPr>
        <xdr:cNvPr id="64" name="Shape 2"/>
        <xdr:cNvGrpSpPr/>
      </xdr:nvGrpSpPr>
      <xdr:grpSpPr>
        <a:xfrm>
          <a:off x="2801520" y="3294000"/>
          <a:ext cx="2544480" cy="38520"/>
          <a:chOff x="2801520" y="3294000"/>
          <a:chExt cx="2544480" cy="38520"/>
        </a:xfrm>
      </xdr:grpSpPr>
      <xdr:cxnSp>
        <xdr:nvCxnSpPr>
          <xdr:cNvPr id="65" name="Shape 50"/>
          <xdr:cNvCxnSpPr/>
        </xdr:nvCxnSpPr>
        <xdr:spPr>
          <a:xfrm>
            <a:off x="2801520" y="3294000"/>
            <a:ext cx="2544840" cy="3888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732960</xdr:colOff>
      <xdr:row>12</xdr:row>
      <xdr:rowOff>124920</xdr:rowOff>
    </xdr:from>
    <xdr:to>
      <xdr:col>9</xdr:col>
      <xdr:colOff>137880</xdr:colOff>
      <xdr:row>15</xdr:row>
      <xdr:rowOff>131760</xdr:rowOff>
    </xdr:to>
    <xdr:sp>
      <xdr:nvSpPr>
        <xdr:cNvPr id="66" name="Shape 38"/>
        <xdr:cNvSpPr/>
      </xdr:nvSpPr>
      <xdr:spPr>
        <a:xfrm>
          <a:off x="6409080" y="2304360"/>
          <a:ext cx="1026720" cy="592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Finos (40%Fem)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637560</xdr:colOff>
      <xdr:row>10</xdr:row>
      <xdr:rowOff>29880</xdr:rowOff>
    </xdr:from>
    <xdr:to>
      <xdr:col>8</xdr:col>
      <xdr:colOff>701640</xdr:colOff>
      <xdr:row>15</xdr:row>
      <xdr:rowOff>135000</xdr:rowOff>
    </xdr:to>
    <xdr:grpSp>
      <xdr:nvGrpSpPr>
        <xdr:cNvPr id="67" name="Shape 2"/>
        <xdr:cNvGrpSpPr/>
      </xdr:nvGrpSpPr>
      <xdr:grpSpPr>
        <a:xfrm>
          <a:off x="4691880" y="1858680"/>
          <a:ext cx="2496960" cy="1041840"/>
          <a:chOff x="4691880" y="1858680"/>
          <a:chExt cx="2496960" cy="1041840"/>
        </a:xfrm>
      </xdr:grpSpPr>
      <xdr:cxnSp>
        <xdr:nvCxnSpPr>
          <xdr:cNvPr id="68" name="Shape 49"/>
          <xdr:cNvCxnSpPr/>
        </xdr:nvCxnSpPr>
        <xdr:spPr>
          <a:xfrm>
            <a:off x="4691880" y="1858680"/>
            <a:ext cx="2497320" cy="104220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8</xdr:col>
      <xdr:colOff>75960</xdr:colOff>
      <xdr:row>1</xdr:row>
      <xdr:rowOff>32400</xdr:rowOff>
    </xdr:from>
    <xdr:to>
      <xdr:col>9</xdr:col>
      <xdr:colOff>25200</xdr:colOff>
      <xdr:row>5</xdr:row>
      <xdr:rowOff>12240</xdr:rowOff>
    </xdr:to>
    <xdr:sp>
      <xdr:nvSpPr>
        <xdr:cNvPr id="69" name="Shape 39"/>
        <xdr:cNvSpPr/>
      </xdr:nvSpPr>
      <xdr:spPr>
        <a:xfrm>
          <a:off x="6563160" y="222840"/>
          <a:ext cx="759960" cy="74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Granza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285480</xdr:colOff>
      <xdr:row>24</xdr:row>
      <xdr:rowOff>19440</xdr:rowOff>
    </xdr:from>
    <xdr:to>
      <xdr:col>11</xdr:col>
      <xdr:colOff>61560</xdr:colOff>
      <xdr:row>26</xdr:row>
      <xdr:rowOff>138240</xdr:rowOff>
    </xdr:to>
    <xdr:sp>
      <xdr:nvSpPr>
        <xdr:cNvPr id="70" name="Shape 48"/>
        <xdr:cNvSpPr/>
      </xdr:nvSpPr>
      <xdr:spPr>
        <a:xfrm>
          <a:off x="7583400" y="4506480"/>
          <a:ext cx="1397880" cy="5187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Botadero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170640</xdr:colOff>
      <xdr:row>4</xdr:row>
      <xdr:rowOff>92520</xdr:rowOff>
    </xdr:from>
    <xdr:to>
      <xdr:col>11</xdr:col>
      <xdr:colOff>721800</xdr:colOff>
      <xdr:row>4</xdr:row>
      <xdr:rowOff>131400</xdr:rowOff>
    </xdr:to>
    <xdr:grpSp>
      <xdr:nvGrpSpPr>
        <xdr:cNvPr id="71" name="Shape 2"/>
        <xdr:cNvGrpSpPr/>
      </xdr:nvGrpSpPr>
      <xdr:grpSpPr>
        <a:xfrm>
          <a:off x="7468560" y="854640"/>
          <a:ext cx="2172960" cy="38880"/>
          <a:chOff x="7468560" y="854640"/>
          <a:chExt cx="2172960" cy="38880"/>
        </a:xfrm>
      </xdr:grpSpPr>
      <xdr:cxnSp>
        <xdr:nvCxnSpPr>
          <xdr:cNvPr id="72" name="Shape 40"/>
          <xdr:cNvCxnSpPr/>
        </xdr:nvCxnSpPr>
        <xdr:spPr>
          <a:xfrm>
            <a:off x="7468560" y="854640"/>
            <a:ext cx="2173320" cy="3924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5</xdr:col>
      <xdr:colOff>104400</xdr:colOff>
      <xdr:row>25</xdr:row>
      <xdr:rowOff>61200</xdr:rowOff>
    </xdr:from>
    <xdr:to>
      <xdr:col>9</xdr:col>
      <xdr:colOff>100080</xdr:colOff>
      <xdr:row>25</xdr:row>
      <xdr:rowOff>109080</xdr:rowOff>
    </xdr:to>
    <xdr:grpSp>
      <xdr:nvGrpSpPr>
        <xdr:cNvPr id="73" name="Shape 2"/>
        <xdr:cNvGrpSpPr/>
      </xdr:nvGrpSpPr>
      <xdr:grpSpPr>
        <a:xfrm>
          <a:off x="4158720" y="4748040"/>
          <a:ext cx="3239280" cy="47880"/>
          <a:chOff x="4158720" y="4748040"/>
          <a:chExt cx="3239280" cy="47880"/>
        </a:xfrm>
      </xdr:grpSpPr>
      <xdr:cxnSp>
        <xdr:nvCxnSpPr>
          <xdr:cNvPr id="74" name="Shape 46"/>
          <xdr:cNvCxnSpPr/>
        </xdr:nvCxnSpPr>
        <xdr:spPr>
          <a:xfrm flipV="1">
            <a:off x="4158720" y="4748040"/>
            <a:ext cx="3239640" cy="4824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9</xdr:col>
      <xdr:colOff>265680</xdr:colOff>
      <xdr:row>15</xdr:row>
      <xdr:rowOff>124200</xdr:rowOff>
    </xdr:from>
    <xdr:to>
      <xdr:col>11</xdr:col>
      <xdr:colOff>807480</xdr:colOff>
      <xdr:row>15</xdr:row>
      <xdr:rowOff>162720</xdr:rowOff>
    </xdr:to>
    <xdr:grpSp>
      <xdr:nvGrpSpPr>
        <xdr:cNvPr id="75" name="Shape 2"/>
        <xdr:cNvGrpSpPr/>
      </xdr:nvGrpSpPr>
      <xdr:grpSpPr>
        <a:xfrm>
          <a:off x="7563600" y="2889720"/>
          <a:ext cx="2163600" cy="38520"/>
          <a:chOff x="7563600" y="2889720"/>
          <a:chExt cx="2163600" cy="38520"/>
        </a:xfrm>
      </xdr:grpSpPr>
      <xdr:cxnSp>
        <xdr:nvCxnSpPr>
          <xdr:cNvPr id="76" name="Shape 42"/>
          <xdr:cNvCxnSpPr/>
        </xdr:nvCxnSpPr>
        <xdr:spPr>
          <a:xfrm>
            <a:off x="7563600" y="2889720"/>
            <a:ext cx="2163960" cy="3888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3</xdr:col>
      <xdr:colOff>333360</xdr:colOff>
      <xdr:row>24</xdr:row>
      <xdr:rowOff>121680</xdr:rowOff>
    </xdr:from>
    <xdr:to>
      <xdr:col>4</xdr:col>
      <xdr:colOff>539280</xdr:colOff>
      <xdr:row>26</xdr:row>
      <xdr:rowOff>138240</xdr:rowOff>
    </xdr:to>
    <xdr:sp>
      <xdr:nvSpPr>
        <xdr:cNvPr id="77" name="Shape 45"/>
        <xdr:cNvSpPr/>
      </xdr:nvSpPr>
      <xdr:spPr>
        <a:xfrm>
          <a:off x="2765880" y="4608720"/>
          <a:ext cx="1017000" cy="416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50" spc="-1" strike="noStrike">
              <a:latin typeface="Calibri"/>
              <a:ea typeface="Calibri"/>
            </a:rPr>
            <a:t>Stock Rechazos (10% Fem)</a:t>
          </a:r>
          <a:endParaRPr b="0" lang="es-CL" sz="105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56520</xdr:colOff>
      <xdr:row>3</xdr:row>
      <xdr:rowOff>41760</xdr:rowOff>
    </xdr:from>
    <xdr:to>
      <xdr:col>13</xdr:col>
      <xdr:colOff>1186920</xdr:colOff>
      <xdr:row>6</xdr:row>
      <xdr:rowOff>32040</xdr:rowOff>
    </xdr:to>
    <xdr:sp>
      <xdr:nvSpPr>
        <xdr:cNvPr id="78" name="Shape 41"/>
        <xdr:cNvSpPr/>
      </xdr:nvSpPr>
      <xdr:spPr>
        <a:xfrm>
          <a:off x="9787320" y="613440"/>
          <a:ext cx="1941120" cy="54648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 (concentradora)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571320</xdr:colOff>
      <xdr:row>24</xdr:row>
      <xdr:rowOff>84600</xdr:rowOff>
    </xdr:from>
    <xdr:to>
      <xdr:col>5</xdr:col>
      <xdr:colOff>168480</xdr:colOff>
      <xdr:row>26</xdr:row>
      <xdr:rowOff>91440</xdr:rowOff>
    </xdr:to>
    <xdr:sp>
      <xdr:nvSpPr>
        <xdr:cNvPr id="79" name="Shape 6"/>
        <xdr:cNvSpPr/>
      </xdr:nvSpPr>
      <xdr:spPr>
        <a:xfrm>
          <a:off x="3814920" y="4571640"/>
          <a:ext cx="407880" cy="40680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132120</xdr:colOff>
      <xdr:row>14</xdr:row>
      <xdr:rowOff>84600</xdr:rowOff>
    </xdr:from>
    <xdr:to>
      <xdr:col>13</xdr:col>
      <xdr:colOff>720000</xdr:colOff>
      <xdr:row>17</xdr:row>
      <xdr:rowOff>14040</xdr:rowOff>
    </xdr:to>
    <xdr:sp>
      <xdr:nvSpPr>
        <xdr:cNvPr id="80" name="Shape 44"/>
        <xdr:cNvSpPr/>
      </xdr:nvSpPr>
      <xdr:spPr>
        <a:xfrm>
          <a:off x="9862920" y="2629800"/>
          <a:ext cx="1398600" cy="50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 (Molienda)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152280</xdr:colOff>
      <xdr:row>8</xdr:row>
      <xdr:rowOff>156960</xdr:rowOff>
    </xdr:from>
    <xdr:to>
      <xdr:col>5</xdr:col>
      <xdr:colOff>587520</xdr:colOff>
      <xdr:row>11</xdr:row>
      <xdr:rowOff>102960</xdr:rowOff>
    </xdr:to>
    <xdr:sp>
      <xdr:nvSpPr>
        <xdr:cNvPr id="81" name="Shape 36"/>
        <xdr:cNvSpPr/>
      </xdr:nvSpPr>
      <xdr:spPr>
        <a:xfrm>
          <a:off x="3395880" y="1635120"/>
          <a:ext cx="1245960" cy="471960"/>
        </a:xfrm>
        <a:prstGeom prst="rect">
          <a:avLst/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Planta Pleito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285840</xdr:colOff>
      <xdr:row>8</xdr:row>
      <xdr:rowOff>13320</xdr:rowOff>
    </xdr:from>
    <xdr:to>
      <xdr:col>1</xdr:col>
      <xdr:colOff>444960</xdr:colOff>
      <xdr:row>9</xdr:row>
      <xdr:rowOff>114480</xdr:rowOff>
    </xdr:to>
    <xdr:sp>
      <xdr:nvSpPr>
        <xdr:cNvPr id="82" name="Shape 34"/>
        <xdr:cNvSpPr/>
      </xdr:nvSpPr>
      <xdr:spPr>
        <a:xfrm>
          <a:off x="285840" y="1491480"/>
          <a:ext cx="969840" cy="276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ML Acopio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12960</xdr:colOff>
      <xdr:row>10</xdr:row>
      <xdr:rowOff>3600</xdr:rowOff>
    </xdr:from>
    <xdr:to>
      <xdr:col>4</xdr:col>
      <xdr:colOff>146880</xdr:colOff>
      <xdr:row>10</xdr:row>
      <xdr:rowOff>9720</xdr:rowOff>
    </xdr:to>
    <xdr:grpSp>
      <xdr:nvGrpSpPr>
        <xdr:cNvPr id="83" name="Shape 2"/>
        <xdr:cNvGrpSpPr/>
      </xdr:nvGrpSpPr>
      <xdr:grpSpPr>
        <a:xfrm>
          <a:off x="823680" y="1832400"/>
          <a:ext cx="2566800" cy="6120"/>
          <a:chOff x="823680" y="1832400"/>
          <a:chExt cx="2566800" cy="6120"/>
        </a:xfrm>
      </xdr:grpSpPr>
      <xdr:cxnSp>
        <xdr:nvCxnSpPr>
          <xdr:cNvPr id="84" name="Shape 51"/>
          <xdr:cNvCxnSpPr/>
        </xdr:nvCxnSpPr>
        <xdr:spPr>
          <a:xfrm>
            <a:off x="823680" y="1832400"/>
            <a:ext cx="2567160" cy="648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100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26" activeCellId="0" sqref="H26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25.16"/>
    <col collapsed="false" customWidth="true" hidden="false" outlineLevel="0" max="2" min="2" style="1" width="23.5"/>
    <col collapsed="false" customWidth="true" hidden="false" outlineLevel="0" max="4" min="3" style="1" width="10.66"/>
    <col collapsed="false" customWidth="true" hidden="false" outlineLevel="0" max="5" min="5" style="1" width="12.16"/>
    <col collapsed="false" customWidth="true" hidden="false" outlineLevel="0" max="6" min="6" style="1" width="10.66"/>
    <col collapsed="false" customWidth="true" hidden="false" outlineLevel="0" max="7" min="7" style="1" width="27.34"/>
    <col collapsed="false" customWidth="true" hidden="false" outlineLevel="0" max="8" min="8" style="1" width="10.83"/>
    <col collapsed="false" customWidth="true" hidden="false" outlineLevel="0" max="9" min="9" style="1" width="13.5"/>
    <col collapsed="false" customWidth="true" hidden="false" outlineLevel="0" max="10" min="10" style="1" width="11.67"/>
    <col collapsed="false" customWidth="true" hidden="false" outlineLevel="0" max="11" min="11" style="1" width="10.66"/>
    <col collapsed="false" customWidth="true" hidden="false" outlineLevel="0" max="12" min="12" style="1" width="15.33"/>
    <col collapsed="false" customWidth="true" hidden="false" outlineLevel="0" max="15" min="13" style="1" width="10.66"/>
    <col collapsed="false" customWidth="true" hidden="false" outlineLevel="0" max="16" min="16" style="1" width="12.16"/>
    <col collapsed="false" customWidth="true" hidden="false" outlineLevel="0" max="17" min="17" style="1" width="12.67"/>
    <col collapsed="false" customWidth="true" hidden="false" outlineLevel="0" max="18" min="18" style="1" width="11.67"/>
    <col collapsed="false" customWidth="true" hidden="false" outlineLevel="0" max="26" min="19" style="1" width="10.66"/>
  </cols>
  <sheetData>
    <row r="2" customFormat="false" ht="19.5" hidden="false" customHeight="true" outlineLevel="0" collapsed="false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3" t="s">
        <v>2</v>
      </c>
      <c r="M2" s="3"/>
      <c r="N2" s="3"/>
      <c r="P2" s="4" t="s">
        <v>3</v>
      </c>
      <c r="Q2" s="5" t="s">
        <v>4</v>
      </c>
      <c r="R2" s="5" t="s">
        <v>5</v>
      </c>
      <c r="T2" s="6" t="s">
        <v>6</v>
      </c>
    </row>
    <row r="3" customFormat="false" ht="18.75" hidden="false" customHeight="false" outlineLevel="0" collapsed="false">
      <c r="B3" s="7" t="s">
        <v>7</v>
      </c>
      <c r="C3" s="7" t="s">
        <v>8</v>
      </c>
      <c r="D3" s="7" t="s">
        <v>9</v>
      </c>
      <c r="E3" s="7" t="s">
        <v>10</v>
      </c>
      <c r="G3" s="7" t="s">
        <v>7</v>
      </c>
      <c r="H3" s="7" t="s">
        <v>8</v>
      </c>
      <c r="I3" s="7" t="s">
        <v>9</v>
      </c>
      <c r="J3" s="7" t="s">
        <v>10</v>
      </c>
      <c r="L3" s="8" t="s">
        <v>11</v>
      </c>
      <c r="M3" s="8" t="s">
        <v>12</v>
      </c>
      <c r="N3" s="8" t="s">
        <v>12</v>
      </c>
      <c r="P3" s="9"/>
      <c r="Q3" s="9"/>
      <c r="R3" s="9"/>
      <c r="T3" s="10"/>
    </row>
    <row r="4" customFormat="false" ht="19.7" hidden="false" customHeight="false" outlineLevel="0" collapsed="false">
      <c r="B4" s="11" t="s">
        <v>13</v>
      </c>
      <c r="C4" s="12" t="n">
        <f aca="false">Utilidad!A1</f>
        <v>0</v>
      </c>
      <c r="D4" s="13" t="n">
        <f aca="false">IF(Utilidad!C1&gt;1,Utilidad!C1/100,Utilidad!C1)</f>
        <v>0</v>
      </c>
      <c r="E4" s="13" t="n">
        <f aca="false">IF(Utilidad!E1&gt;1,Utilidad!E1/100,Utilidad!E1)</f>
        <v>0</v>
      </c>
      <c r="G4" s="11" t="s">
        <v>13</v>
      </c>
      <c r="H4" s="12" t="n">
        <f aca="false">Utilidad!B1</f>
        <v>0</v>
      </c>
      <c r="I4" s="13" t="n">
        <f aca="false">IF(Utilidad!D1&gt;1,Utilidad!D1/100,Utilidad!D1)</f>
        <v>0</v>
      </c>
      <c r="J4" s="13" t="n">
        <f aca="false">IF(Utilidad!F1&gt;1,Utilidad!F1/100,Utilidad!F1)</f>
        <v>0</v>
      </c>
      <c r="L4" s="14" t="n">
        <f aca="false">+IF(C4&lt;&gt;0,(HI4-C4)/C4,ABS(H4-C4))</f>
        <v>0</v>
      </c>
      <c r="M4" s="14" t="n">
        <f aca="false">+IF(D4&lt;&gt;0,(I4-D4)/D4,0)</f>
        <v>0</v>
      </c>
      <c r="N4" s="14" t="n">
        <f aca="false">+IF(E4&lt;&gt;0,(J4-E4)/E4,0)</f>
        <v>0</v>
      </c>
      <c r="P4" s="13" t="n">
        <f aca="false">+IF(L4&lt;&gt;"",ABS(L4),0)</f>
        <v>0</v>
      </c>
      <c r="Q4" s="13" t="n">
        <f aca="false">+IF(L4&lt;&gt;"",ABS(L4),0)</f>
        <v>0</v>
      </c>
      <c r="R4" s="13" t="n">
        <f aca="false">+IF(M4&lt;&gt;"",ABS(M4),0)</f>
        <v>0</v>
      </c>
      <c r="T4" s="15" t="str">
        <f aca="false">IF(J4&lt;=I4,"SI","NO")</f>
        <v>SI</v>
      </c>
    </row>
    <row r="5" customFormat="false" ht="19.7" hidden="false" customHeight="false" outlineLevel="0" collapsed="false">
      <c r="B5" s="11" t="s">
        <v>14</v>
      </c>
      <c r="C5" s="12" t="n">
        <f aca="false">Utilidad!A2</f>
        <v>68993</v>
      </c>
      <c r="D5" s="13" t="n">
        <f aca="false">IF(Utilidad!C2&gt;1,Utilidad!C2/100,Utilidad!C2)</f>
        <v>0.535266</v>
      </c>
      <c r="E5" s="13" t="n">
        <f aca="false">IF(Utilidad!E2&gt;1,Utilidad!E2/100,Utilidad!E2)</f>
        <v>0.488527</v>
      </c>
      <c r="G5" s="11" t="s">
        <v>14</v>
      </c>
      <c r="H5" s="12" t="n">
        <f aca="false">Utilidad!B2</f>
        <v>66085.374488</v>
      </c>
      <c r="I5" s="13" t="n">
        <f aca="false">IF(Utilidad!D2&gt;1,Utilidad!D2/100,Utilidad!D2)</f>
        <v>0.50486596686</v>
      </c>
      <c r="J5" s="13" t="n">
        <f aca="false">IF(Utilidad!F2&gt;1,Utilidad!F2/100,Utilidad!F2)</f>
        <v>0.47334075249</v>
      </c>
      <c r="L5" s="14" t="n">
        <f aca="false">+IF(C5&lt;&gt;0,(H5-C5)/C5,ABS(H5-C5))</f>
        <v>-0.0421437756294117</v>
      </c>
      <c r="M5" s="14" t="n">
        <f aca="false">+IF(D5&lt;&gt;0,(I5-D5)/D5,0)</f>
        <v>-0.0567942539597136</v>
      </c>
      <c r="N5" s="14" t="n">
        <f aca="false">+IF(E5&lt;&gt;0,(J5-E5)/E5,0)</f>
        <v>-0.0310857895469441</v>
      </c>
      <c r="P5" s="13" t="n">
        <f aca="false">+IF(L5&lt;&gt;"",ABS(L5),0)</f>
        <v>0.0421437756294117</v>
      </c>
      <c r="Q5" s="13" t="n">
        <f aca="false">+IF(L5&lt;&gt;"",ABS(L5),0)</f>
        <v>0.0421437756294117</v>
      </c>
      <c r="R5" s="13" t="n">
        <f aca="false">+IF(M5&lt;&gt;"",ABS(M5),0)</f>
        <v>0.0567942539597136</v>
      </c>
      <c r="T5" s="15" t="str">
        <f aca="false">IF(J5&lt;=I5,"SI","NO")</f>
        <v>SI</v>
      </c>
    </row>
    <row r="6" customFormat="false" ht="19.7" hidden="false" customHeight="false" outlineLevel="0" collapsed="false">
      <c r="B6" s="11" t="s">
        <v>15</v>
      </c>
      <c r="C6" s="12" t="n">
        <f aca="false">Utilidad!A3</f>
        <v>10719.6</v>
      </c>
      <c r="D6" s="13" t="n">
        <f aca="false">IF(Utilidad!C3&gt;1,Utilidad!C3/100,Utilidad!C3)</f>
        <v>0.552907</v>
      </c>
      <c r="E6" s="13" t="n">
        <f aca="false">IF(Utilidad!E3&gt;1,Utilidad!E3/100,Utilidad!E3)</f>
        <v>0.503181</v>
      </c>
      <c r="G6" s="11" t="s">
        <v>15</v>
      </c>
      <c r="H6" s="12" t="n">
        <f aca="false">Utilidad!B3</f>
        <v>10638.742332</v>
      </c>
      <c r="I6" s="13" t="n">
        <f aca="false">IF(Utilidad!D3&gt;1,Utilidad!D3/100,Utilidad!D3)</f>
        <v>0.54764364774</v>
      </c>
      <c r="J6" s="13" t="n">
        <f aca="false">IF(Utilidad!F3&gt;1,Utilidad!F3/100,Utilidad!F3)</f>
        <v>0.50063667929</v>
      </c>
      <c r="L6" s="14" t="n">
        <f aca="false">+IF(C6&lt;&gt;0,(H6-C6)/C6,ABS(H6-C6))</f>
        <v>-0.00754297436471515</v>
      </c>
      <c r="M6" s="14" t="n">
        <f aca="false">+IF(D6&lt;&gt;0,(I6-D6)/D6,0)</f>
        <v>-0.00951941693630226</v>
      </c>
      <c r="N6" s="14" t="n">
        <f aca="false">+IF(E6&lt;&gt;0,(J6-E6)/E6,0)</f>
        <v>-0.00505647214421847</v>
      </c>
      <c r="P6" s="13" t="n">
        <f aca="false">+IF(L6&lt;&gt;"",ABS(L6),0)</f>
        <v>0.00754297436471515</v>
      </c>
      <c r="Q6" s="13" t="n">
        <f aca="false">+IF(L6&lt;&gt;"",ABS(L6),0)</f>
        <v>0.00754297436471515</v>
      </c>
      <c r="R6" s="13" t="n">
        <f aca="false">+IF(M6&lt;&gt;"",ABS(M6),0)</f>
        <v>0.00951941693630226</v>
      </c>
      <c r="T6" s="15" t="str">
        <f aca="false">IF(J6&lt;=I6,"SI","NO")</f>
        <v>SI</v>
      </c>
    </row>
    <row r="7" customFormat="false" ht="19.7" hidden="false" customHeight="false" outlineLevel="0" collapsed="false">
      <c r="B7" s="11" t="s">
        <v>16</v>
      </c>
      <c r="C7" s="12" t="n">
        <f aca="false">Utilidad!A4</f>
        <v>22667.152</v>
      </c>
      <c r="D7" s="13" t="n">
        <f aca="false">IF(Utilidad!C4&gt;1,Utilidad!C4/100,Utilidad!C4)</f>
        <v>0.60589</v>
      </c>
      <c r="E7" s="13" t="n">
        <f aca="false">IF(Utilidad!E4&gt;1,Utilidad!E4/100,Utilidad!E4)</f>
        <v>0.592212</v>
      </c>
      <c r="G7" s="11" t="s">
        <v>16</v>
      </c>
      <c r="H7" s="12" t="n">
        <f aca="false">Utilidad!B4</f>
        <v>23736.495548</v>
      </c>
      <c r="I7" s="13" t="n">
        <f aca="false">IF(Utilidad!D4&gt;1,Utilidad!D4/100,Utilidad!D4)</f>
        <v>0.60202205505</v>
      </c>
      <c r="J7" s="13" t="n">
        <f aca="false">IF(Utilidad!F4&gt;1,Utilidad!F4/100,Utilidad!F4)</f>
        <v>0.59490575227</v>
      </c>
      <c r="L7" s="14" t="n">
        <f aca="false">+IF(C7&lt;&gt;0,(H7-C7)/C7,ABS(H7-C7))</f>
        <v>0.0471759111157856</v>
      </c>
      <c r="M7" s="14" t="n">
        <f aca="false">+IF(D7&lt;&gt;0,(I7-D7)/D7,0)</f>
        <v>-0.00638390623710571</v>
      </c>
      <c r="N7" s="14" t="n">
        <f aca="false">+IF(E7&lt;&gt;0,(J7-E7)/E7,0)</f>
        <v>0.00454862831215832</v>
      </c>
      <c r="P7" s="13" t="n">
        <f aca="false">+IF(L7&lt;&gt;"",ABS(L7),0)</f>
        <v>0.0471759111157856</v>
      </c>
      <c r="Q7" s="13" t="n">
        <f aca="false">+IF(L7&lt;&gt;"",ABS(L7),0)</f>
        <v>0.0471759111157856</v>
      </c>
      <c r="R7" s="13" t="n">
        <f aca="false">+IF(M7&lt;&gt;"",ABS(M7),0)</f>
        <v>0.00638390623710571</v>
      </c>
      <c r="T7" s="15" t="str">
        <f aca="false">IF(J7&lt;=I7,"SI","NO")</f>
        <v>SI</v>
      </c>
    </row>
    <row r="8" customFormat="false" ht="19.7" hidden="false" customHeight="false" outlineLevel="0" collapsed="false">
      <c r="B8" s="11" t="s">
        <v>17</v>
      </c>
      <c r="C8" s="12" t="n">
        <f aca="false">Utilidad!A5</f>
        <v>2867</v>
      </c>
      <c r="D8" s="13" t="n">
        <f aca="false">IF(Utilidad!C5&gt;1,Utilidad!C5/100,Utilidad!C5)</f>
        <v>0.60589</v>
      </c>
      <c r="E8" s="13" t="n">
        <f aca="false">IF(Utilidad!E5&gt;1,Utilidad!E5/100,Utilidad!E5)</f>
        <v>0.592212</v>
      </c>
      <c r="G8" s="11" t="s">
        <v>17</v>
      </c>
      <c r="H8" s="12" t="n">
        <f aca="false">Utilidad!B5</f>
        <v>2857.2055475</v>
      </c>
      <c r="I8" s="13" t="n">
        <f aca="false">IF(Utilidad!D5&gt;1,Utilidad!D5/100,Utilidad!D5)</f>
        <v>0.60802643126</v>
      </c>
      <c r="J8" s="13" t="n">
        <f aca="false">IF(Utilidad!F5&gt;1,Utilidad!F5/100,Utilidad!F5)</f>
        <v>0.59284036394</v>
      </c>
      <c r="L8" s="14" t="n">
        <f aca="false">+IF(C8&lt;&gt;0,(H8-C8)/C8,ABS(H8-C8))</f>
        <v>-0.00341627223578647</v>
      </c>
      <c r="M8" s="14" t="n">
        <f aca="false">+IF(D8&lt;&gt;0,(I8-D8)/D8,0)</f>
        <v>0.00352610417732585</v>
      </c>
      <c r="N8" s="14" t="n">
        <f aca="false">+IF(E8&lt;&gt;0,(J8-E8)/E8,0)</f>
        <v>0.00106104560528979</v>
      </c>
      <c r="P8" s="13" t="n">
        <f aca="false">+IF(L8&lt;&gt;"",ABS(L8),0)</f>
        <v>0.00341627223578647</v>
      </c>
      <c r="Q8" s="13" t="n">
        <f aca="false">+IF(L8&lt;&gt;"",ABS(L8),0)</f>
        <v>0.00341627223578647</v>
      </c>
      <c r="R8" s="13" t="n">
        <f aca="false">+IF(M8&lt;&gt;"",ABS(M8),0)</f>
        <v>0.00352610417732585</v>
      </c>
      <c r="T8" s="15" t="str">
        <f aca="false">IF(J8&lt;=I8,"SI","NO")</f>
        <v>SI</v>
      </c>
    </row>
    <row r="9" customFormat="false" ht="19.7" hidden="false" customHeight="false" outlineLevel="0" collapsed="false">
      <c r="B9" s="11" t="s">
        <v>18</v>
      </c>
      <c r="C9" s="12" t="n">
        <f aca="false">Utilidad!A6</f>
        <v>0</v>
      </c>
      <c r="D9" s="13" t="n">
        <f aca="false">IF(Utilidad!C6&gt;1,Utilidad!C6/100,Utilidad!C6)</f>
        <v>0</v>
      </c>
      <c r="E9" s="13" t="n">
        <f aca="false">IF(Utilidad!E6&gt;1,Utilidad!E6/100,Utilidad!E6)</f>
        <v>0</v>
      </c>
      <c r="G9" s="11" t="s">
        <v>18</v>
      </c>
      <c r="H9" s="12" t="n">
        <f aca="false">Utilidad!B6</f>
        <v>0</v>
      </c>
      <c r="I9" s="13" t="n">
        <f aca="false">IF(Utilidad!D6&gt;1,Utilidad!D6/100,Utilidad!D6)</f>
        <v>0</v>
      </c>
      <c r="J9" s="13" t="n">
        <f aca="false">IF(Utilidad!F6&gt;1,Utilidad!F6/100,Utilidad!F6)</f>
        <v>0</v>
      </c>
      <c r="L9" s="14" t="n">
        <f aca="false">+IF(C9&lt;&gt;0,(H9-C9)/C9,ABS(H9-C9))</f>
        <v>0</v>
      </c>
      <c r="M9" s="14" t="n">
        <f aca="false">+IF(D9&lt;&gt;0,(I9-D9)/D9,0)</f>
        <v>0</v>
      </c>
      <c r="N9" s="14" t="n">
        <f aca="false">+IF(E9&lt;&gt;0,(J9-E9)/E9,0)</f>
        <v>0</v>
      </c>
      <c r="P9" s="13" t="n">
        <f aca="false">+IF(L9&lt;&gt;"",ABS(L9),0)</f>
        <v>0</v>
      </c>
      <c r="Q9" s="13" t="n">
        <f aca="false">+IF(L9&lt;&gt;"",ABS(L9),0)</f>
        <v>0</v>
      </c>
      <c r="R9" s="13" t="n">
        <f aca="false">+IF(M9&lt;&gt;"",ABS(M9),0)</f>
        <v>0</v>
      </c>
      <c r="T9" s="15" t="str">
        <f aca="false">IF(J9&lt;=I9,"SI","NO")</f>
        <v>SI</v>
      </c>
    </row>
    <row r="10" customFormat="false" ht="19.7" hidden="false" customHeight="false" outlineLevel="0" collapsed="false">
      <c r="B10" s="11" t="s">
        <v>19</v>
      </c>
      <c r="C10" s="12" t="n">
        <f aca="false">Utilidad!A7</f>
        <v>20879.29</v>
      </c>
      <c r="D10" s="13" t="n">
        <f aca="false">IF(Utilidad!C7&gt;1,Utilidad!C7/100,Utilidad!C7)</f>
        <v>0.5849</v>
      </c>
      <c r="E10" s="13" t="n">
        <f aca="false">IF(Utilidad!E7&gt;1,Utilidad!E7/100,Utilidad!E7)</f>
        <v>0.592212</v>
      </c>
      <c r="G10" s="11" t="s">
        <v>19</v>
      </c>
      <c r="H10" s="12" t="n">
        <f aca="false">Utilidad!B7</f>
        <v>20879.29</v>
      </c>
      <c r="I10" s="13" t="n">
        <f aca="false">IF(Utilidad!D7&gt;1,Utilidad!D7/100,Utilidad!D7)</f>
        <v>0.60120039194</v>
      </c>
      <c r="J10" s="13" t="n">
        <f aca="false">IF(Utilidad!F7&gt;1,Utilidad!F7/100,Utilidad!F7)</f>
        <v>0.59518838802</v>
      </c>
      <c r="L10" s="14" t="n">
        <f aca="false">+IF(C10&lt;&gt;0,(H10-C10)/C10,ABS(H10-C10))</f>
        <v>0</v>
      </c>
      <c r="M10" s="14" t="n">
        <f aca="false">+IF(D10&lt;&gt;0,(I10-D10)/D10,0)</f>
        <v>0.0278686817233715</v>
      </c>
      <c r="N10" s="14" t="n">
        <f aca="false">+IF(E10&lt;&gt;0,(J10-E10)/E10,0)</f>
        <v>0.00502588265688619</v>
      </c>
      <c r="P10" s="13" t="n">
        <f aca="false">+IF(L10&lt;&gt;"",ABS(L10),0)</f>
        <v>0</v>
      </c>
      <c r="Q10" s="13" t="n">
        <f aca="false">+IF(L10&lt;&gt;"",ABS(L10),0)</f>
        <v>0</v>
      </c>
      <c r="R10" s="13" t="n">
        <f aca="false">+IF(M10&lt;&gt;"",ABS(M10),0)</f>
        <v>0.0278686817233715</v>
      </c>
      <c r="T10" s="15" t="str">
        <f aca="false">IF(J10&lt;=I10,"SI","NO")</f>
        <v>SI</v>
      </c>
    </row>
    <row r="11" customFormat="false" ht="19.7" hidden="false" customHeight="false" outlineLevel="0" collapsed="false">
      <c r="B11" s="11" t="s">
        <v>20</v>
      </c>
      <c r="C11" s="12" t="n">
        <f aca="false">Utilidad!A8</f>
        <v>18314.104</v>
      </c>
      <c r="D11" s="13" t="n">
        <f aca="false">IF(Utilidad!C8&gt;1,Utilidad!C8/100,Utilidad!C8)</f>
        <v>0.602156</v>
      </c>
      <c r="E11" s="13" t="n">
        <f aca="false">IF(Utilidad!E8&gt;1,Utilidad!E8/100,Utilidad!E8)</f>
        <v>0.586225</v>
      </c>
      <c r="G11" s="11" t="s">
        <v>20</v>
      </c>
      <c r="H11" s="12" t="n">
        <f aca="false">Utilidad!B8</f>
        <v>16442.96025</v>
      </c>
      <c r="I11" s="13" t="n">
        <f aca="false">IF(Utilidad!D8&gt;1,Utilidad!D8/100,Utilidad!D8)</f>
        <v>0.6060561106</v>
      </c>
      <c r="J11" s="13" t="n">
        <f aca="false">IF(Utilidad!F8&gt;1,Utilidad!F8/100,Utilidad!F8)</f>
        <v>0.58889043143</v>
      </c>
      <c r="L11" s="14" t="n">
        <f aca="false">+IF(C11&lt;&gt;0,(H11-C11)/C11,ABS(H11-C11))</f>
        <v>-0.102169549217368</v>
      </c>
      <c r="M11" s="14" t="n">
        <f aca="false">+IF(D11&lt;&gt;0,(I11-D11)/D11,0)</f>
        <v>0.00647691063445345</v>
      </c>
      <c r="N11" s="14" t="n">
        <f aca="false">+IF(E11&lt;&gt;0,(J11-E11)/E11,0)</f>
        <v>0.00454677202439332</v>
      </c>
      <c r="P11" s="13" t="n">
        <f aca="false">+IF(L11&lt;&gt;"",ABS(L11),0)</f>
        <v>0.102169549217368</v>
      </c>
      <c r="Q11" s="13" t="n">
        <f aca="false">+IF(L11&lt;&gt;"",ABS(L11),0)</f>
        <v>0.102169549217368</v>
      </c>
      <c r="R11" s="13" t="n">
        <f aca="false">+IF(M11&lt;&gt;"",ABS(M11),0)</f>
        <v>0.00647691063445345</v>
      </c>
      <c r="T11" s="15" t="str">
        <f aca="false">IF(J11&lt;=I11,"SI","NO")</f>
        <v>SI</v>
      </c>
    </row>
    <row r="12" customFormat="false" ht="19.7" hidden="false" customHeight="false" outlineLevel="0" collapsed="false">
      <c r="B12" s="11" t="s">
        <v>21</v>
      </c>
      <c r="C12" s="12" t="n">
        <f aca="false">Utilidad!A9</f>
        <v>212</v>
      </c>
      <c r="D12" s="13" t="n">
        <f aca="false">IF(Utilidad!C9&gt;1,Utilidad!C9/100,Utilidad!C9)</f>
        <v>0.6006</v>
      </c>
      <c r="E12" s="13" t="n">
        <f aca="false">IF(Utilidad!E9&gt;1,Utilidad!E9/100,Utilidad!E9)</f>
        <v>0.586225</v>
      </c>
      <c r="G12" s="11" t="s">
        <v>21</v>
      </c>
      <c r="H12" s="12" t="n">
        <f aca="false">Utilidad!B9</f>
        <v>212.29024952</v>
      </c>
      <c r="I12" s="13" t="n">
        <f aca="false">IF(Utilidad!D9&gt;1,Utilidad!D9/100,Utilidad!D9)</f>
        <v>0.6006521693</v>
      </c>
      <c r="J12" s="13" t="n">
        <f aca="false">IF(Utilidad!F9&gt;1,Utilidad!F9/100,Utilidad!F9)</f>
        <v>0.58630464984</v>
      </c>
      <c r="L12" s="14" t="n">
        <f aca="false">+IF(C12&lt;&gt;0,(H12-C12)/C12,ABS(H12-C12))</f>
        <v>0.00136910150943398</v>
      </c>
      <c r="M12" s="14" t="n">
        <f aca="false">+IF(D12&lt;&gt;0,(I12-D12)/D12,0)</f>
        <v>8.6861971361905E-005</v>
      </c>
      <c r="N12" s="14" t="n">
        <f aca="false">+IF(E12&lt;&gt;0,(J12-E12)/E12,0)</f>
        <v>0.000135869060514262</v>
      </c>
      <c r="P12" s="13" t="n">
        <f aca="false">+IF(L12&lt;&gt;"",ABS(L12),0)</f>
        <v>0.00136910150943398</v>
      </c>
      <c r="Q12" s="13" t="n">
        <f aca="false">+IF(L12&lt;&gt;"",ABS(L12),0)</f>
        <v>0.00136910150943398</v>
      </c>
      <c r="R12" s="13" t="n">
        <f aca="false">+IF(M12&lt;&gt;"",ABS(M12),0)</f>
        <v>8.6861971361905E-005</v>
      </c>
      <c r="T12" s="15" t="str">
        <f aca="false">IF(J12&lt;=I12,"SI","NO")</f>
        <v>SI</v>
      </c>
    </row>
    <row r="13" customFormat="false" ht="19.7" hidden="false" customHeight="false" outlineLevel="0" collapsed="false">
      <c r="B13" s="11" t="s">
        <v>22</v>
      </c>
      <c r="C13" s="12" t="n">
        <f aca="false">Utilidad!A10</f>
        <v>0</v>
      </c>
      <c r="D13" s="13" t="n">
        <f aca="false">IF(Utilidad!C10&gt;1,Utilidad!C10/100,Utilidad!C10)</f>
        <v>0</v>
      </c>
      <c r="E13" s="13" t="n">
        <f aca="false">IF(Utilidad!E10&gt;1,Utilidad!E10/100,Utilidad!E10)</f>
        <v>0</v>
      </c>
      <c r="G13" s="11" t="s">
        <v>22</v>
      </c>
      <c r="H13" s="12" t="n">
        <f aca="false">Utilidad!B10</f>
        <v>0</v>
      </c>
      <c r="I13" s="13" t="n">
        <f aca="false">IF(Utilidad!D10&gt;1,Utilidad!D10/100,Utilidad!D10)</f>
        <v>0</v>
      </c>
      <c r="J13" s="13" t="n">
        <f aca="false">IF(Utilidad!F10&gt;1,Utilidad!F10/100,Utilidad!F10)</f>
        <v>0</v>
      </c>
      <c r="L13" s="14" t="n">
        <f aca="false">+IF(C13&lt;&gt;0,(H13-C13)/C13,ABS(H13-C13))</f>
        <v>0</v>
      </c>
      <c r="M13" s="14" t="n">
        <f aca="false">+IF(D13&lt;&gt;0,(I13-D13)/D13,0)</f>
        <v>0</v>
      </c>
      <c r="N13" s="14" t="n">
        <f aca="false">+IF(E13&lt;&gt;0,(J13-E13)/E13,0)</f>
        <v>0</v>
      </c>
      <c r="P13" s="13" t="n">
        <f aca="false">+IF(L13&lt;&gt;"",ABS(L13),0)</f>
        <v>0</v>
      </c>
      <c r="Q13" s="13" t="n">
        <f aca="false">+IF(L13&lt;&gt;"",ABS(L13),0)</f>
        <v>0</v>
      </c>
      <c r="R13" s="13" t="n">
        <f aca="false">+IF(M13&lt;&gt;"",ABS(M13),0)</f>
        <v>0</v>
      </c>
      <c r="T13" s="15" t="str">
        <f aca="false">IF(J13&lt;=I13,"SI","NO")</f>
        <v>SI</v>
      </c>
    </row>
    <row r="14" customFormat="false" ht="19.7" hidden="false" customHeight="false" outlineLevel="0" collapsed="false">
      <c r="B14" s="11" t="s">
        <v>23</v>
      </c>
      <c r="C14" s="12" t="n">
        <f aca="false">Utilidad!A11</f>
        <v>16230.67</v>
      </c>
      <c r="D14" s="13" t="n">
        <f aca="false">IF(Utilidad!C11&gt;1,Utilidad!C11/100,Utilidad!C11)</f>
        <v>0.6006</v>
      </c>
      <c r="E14" s="13" t="n">
        <f aca="false">IF(Utilidad!E11&gt;1,Utilidad!E11/100,Utilidad!E11)</f>
        <v>0.586225</v>
      </c>
      <c r="G14" s="11" t="s">
        <v>23</v>
      </c>
      <c r="H14" s="12" t="n">
        <f aca="false">Utilidad!B11</f>
        <v>16230.67</v>
      </c>
      <c r="I14" s="13" t="n">
        <f aca="false">IF(Utilidad!D11&gt;1,Utilidad!D11/100,Utilidad!D11)</f>
        <v>0.60612679185</v>
      </c>
      <c r="J14" s="13" t="n">
        <f aca="false">IF(Utilidad!F11&gt;1,Utilidad!F11/100,Utilidad!F11)</f>
        <v>0.58892425235</v>
      </c>
      <c r="L14" s="14" t="n">
        <f aca="false">+IF(C14&lt;&gt;0,(H14-C14)/C14,ABS(H14-C14))</f>
        <v>0</v>
      </c>
      <c r="M14" s="14" t="n">
        <f aca="false">+IF(D14&lt;&gt;0,(I14-D14)/D14,0)</f>
        <v>0.00920211763236752</v>
      </c>
      <c r="N14" s="14" t="n">
        <f aca="false">+IF(E14&lt;&gt;0,(J14-E14)/E14,0)</f>
        <v>0.00460446475329441</v>
      </c>
      <c r="P14" s="13" t="n">
        <f aca="false">+IF(L14&lt;&gt;"",ABS(L14),0)</f>
        <v>0</v>
      </c>
      <c r="Q14" s="13" t="n">
        <f aca="false">+IF(L14&lt;&gt;"",ABS(L14),0)</f>
        <v>0</v>
      </c>
      <c r="R14" s="13" t="n">
        <f aca="false">+IF(M14&lt;&gt;"",ABS(M14),0)</f>
        <v>0.00920211763236752</v>
      </c>
      <c r="T14" s="15" t="str">
        <f aca="false">IF(J14&lt;=I14,"SI","NO")</f>
        <v>SI</v>
      </c>
    </row>
    <row r="15" customFormat="false" ht="19.7" hidden="false" customHeight="false" outlineLevel="0" collapsed="false">
      <c r="B15" s="11" t="s">
        <v>24</v>
      </c>
      <c r="C15" s="12" t="n">
        <f aca="false">Utilidad!A12</f>
        <v>13136</v>
      </c>
      <c r="D15" s="13" t="n">
        <f aca="false">IF(Utilidad!C12&gt;1,Utilidad!C12/100,Utilidad!C12)</f>
        <v>0.357814</v>
      </c>
      <c r="E15" s="13" t="n">
        <f aca="false">IF(Utilidad!E12&gt;1,Utilidad!E12/100,Utilidad!E12)</f>
        <v>0.321851</v>
      </c>
      <c r="G15" s="11" t="s">
        <v>24</v>
      </c>
      <c r="H15" s="12" t="n">
        <f aca="false">Utilidad!B12</f>
        <v>4229.8487616</v>
      </c>
      <c r="I15" s="13" t="n">
        <f aca="false">IF(Utilidad!D12&gt;1,Utilidad!D12/100,Utilidad!D12)</f>
        <v>0.35829297645</v>
      </c>
      <c r="J15" s="13" t="n">
        <f aca="false">IF(Utilidad!F12&gt;1,Utilidad!F12/100,Utilidad!F12)</f>
        <v>0.32208141522</v>
      </c>
      <c r="L15" s="14" t="n">
        <f aca="false">+IF(C15&lt;&gt;0,(H15-C15)/C15,ABS(H15-C15))</f>
        <v>-0.677995678928136</v>
      </c>
      <c r="M15" s="14" t="n">
        <f aca="false">+IF(D15&lt;&gt;0,(I15-D15)/D15,0)</f>
        <v>0.00133861852806207</v>
      </c>
      <c r="N15" s="14" t="n">
        <f aca="false">+IF(E15&lt;&gt;0,(J15-E15)/E15,0)</f>
        <v>0.000715906490891754</v>
      </c>
      <c r="P15" s="13" t="n">
        <f aca="false">+IF(L15&lt;&gt;"",ABS(L15),0)</f>
        <v>0.677995678928136</v>
      </c>
      <c r="Q15" s="13" t="n">
        <f aca="false">+IF(L15&lt;&gt;"",ABS(L15),0)</f>
        <v>0.677995678928136</v>
      </c>
      <c r="R15" s="13" t="n">
        <f aca="false">+IF(M15&lt;&gt;"",ABS(M15),0)</f>
        <v>0.00133861852806207</v>
      </c>
      <c r="T15" s="15" t="str">
        <f aca="false">IF(J15&lt;=I15,"SI","NO")</f>
        <v>SI</v>
      </c>
    </row>
    <row r="16" customFormat="false" ht="19.7" hidden="false" customHeight="false" outlineLevel="0" collapsed="false">
      <c r="B16" s="11" t="s">
        <v>25</v>
      </c>
      <c r="C16" s="12" t="n">
        <f aca="false">Utilidad!A13</f>
        <v>-478</v>
      </c>
      <c r="D16" s="13" t="n">
        <f aca="false">IF(Utilidad!C13&gt;1,Utilidad!C13/100,Utilidad!C13)</f>
        <v>0.357814</v>
      </c>
      <c r="E16" s="13" t="n">
        <f aca="false">IF(Utilidad!E13&gt;1,Utilidad!E13/100,Utilidad!E13)</f>
        <v>0.321851</v>
      </c>
      <c r="G16" s="11" t="s">
        <v>25</v>
      </c>
      <c r="H16" s="12" t="n">
        <f aca="false">Utilidad!B13</f>
        <v>-466.1512384</v>
      </c>
      <c r="I16" s="13" t="n">
        <f aca="false">IF(Utilidad!D13&gt;1,Utilidad!D13/100,Utilidad!D13)</f>
        <v>0.35777141284</v>
      </c>
      <c r="J16" s="13" t="n">
        <f aca="false">IF(Utilidad!F13&gt;1,Utilidad!F13/100,Utilidad!F13)</f>
        <v>0.32183353779</v>
      </c>
      <c r="L16" s="14" t="n">
        <f aca="false">+IF(C16&lt;&gt;0,(H16-C16)/C16,ABS(H16-C16))</f>
        <v>-0.0247882041841004</v>
      </c>
      <c r="M16" s="14" t="n">
        <f aca="false">+IF(D16&lt;&gt;0,(I16-D16)/D16,0)</f>
        <v>-0.000119020384892544</v>
      </c>
      <c r="N16" s="14" t="n">
        <f aca="false">+IF(E16&lt;&gt;0,(J16-E16)/E16,0)</f>
        <v>-5.42555716775324E-005</v>
      </c>
      <c r="P16" s="13" t="n">
        <f aca="false">+IF(L16&lt;&gt;"",ABS(L16),0)</f>
        <v>0.0247882041841004</v>
      </c>
      <c r="Q16" s="13" t="n">
        <f aca="false">+IF(L16&lt;&gt;"",ABS(L16),0)</f>
        <v>0.0247882041841004</v>
      </c>
      <c r="R16" s="13" t="n">
        <f aca="false">+IF(M16&lt;&gt;"",ABS(M16),0)</f>
        <v>0.000119020384892544</v>
      </c>
      <c r="T16" s="15" t="str">
        <f aca="false">IF(J16&lt;=I16,"SI","NO")</f>
        <v>SI</v>
      </c>
    </row>
    <row r="17" customFormat="false" ht="19.7" hidden="false" customHeight="false" outlineLevel="0" collapsed="false">
      <c r="B17" s="11" t="s">
        <v>26</v>
      </c>
      <c r="C17" s="12" t="n">
        <f aca="false">Utilidad!A14</f>
        <v>4696</v>
      </c>
      <c r="D17" s="13" t="n">
        <f aca="false">IF(Utilidad!C14&gt;1,Utilidad!C14/100,Utilidad!C14)</f>
        <v>0.357814</v>
      </c>
      <c r="E17" s="13" t="n">
        <f aca="false">IF(Utilidad!E14&gt;1,Utilidad!E14/100,Utilidad!E14)</f>
        <v>0.321851</v>
      </c>
      <c r="G17" s="11" t="s">
        <v>26</v>
      </c>
      <c r="H17" s="12" t="n">
        <f aca="false">Utilidad!B14</f>
        <v>4696</v>
      </c>
      <c r="I17" s="13" t="n">
        <f aca="false">IF(Utilidad!D14&gt;1,Utilidad!D14/100,Utilidad!D14)</f>
        <v>0.35824120328</v>
      </c>
      <c r="J17" s="13" t="n">
        <f aca="false">IF(Utilidad!F14&gt;1,Utilidad!F14/100,Utilidad!F14)</f>
        <v>0.32205680966</v>
      </c>
      <c r="L17" s="14" t="n">
        <f aca="false">+IF(C17&lt;&gt;0,(H17-C17)/C17,ABS(H17-C17))</f>
        <v>0</v>
      </c>
      <c r="M17" s="14" t="n">
        <f aca="false">+IF(D17&lt;&gt;0,(I17-D17)/D17,0)</f>
        <v>0.00119392555908939</v>
      </c>
      <c r="N17" s="14" t="n">
        <f aca="false">+IF(E17&lt;&gt;0,(J17-E17)/E17,0)</f>
        <v>0.000639456332278153</v>
      </c>
      <c r="P17" s="13" t="n">
        <f aca="false">+IF(L17&lt;&gt;"",ABS(L17),0)</f>
        <v>0</v>
      </c>
      <c r="Q17" s="13" t="n">
        <f aca="false">+IF(L17&lt;&gt;"",ABS(L17),0)</f>
        <v>0</v>
      </c>
      <c r="R17" s="13" t="n">
        <f aca="false">+IF(M17&lt;&gt;"",ABS(M17),0)</f>
        <v>0.00119392555908939</v>
      </c>
      <c r="T17" s="15" t="str">
        <f aca="false">IF(J17&lt;=I17,"SI","NO")</f>
        <v>SI</v>
      </c>
    </row>
    <row r="18" customFormat="false" ht="19.7" hidden="false" customHeight="false" outlineLevel="0" collapsed="false">
      <c r="B18" s="11" t="s">
        <v>27</v>
      </c>
      <c r="C18" s="12" t="n">
        <f aca="false">Utilidad!A15</f>
        <v>25816</v>
      </c>
      <c r="D18" s="13" t="n">
        <f aca="false">IF(Utilidad!C15&gt;1,Utilidad!C15/100,Utilidad!C15)</f>
        <v>0.4116</v>
      </c>
      <c r="E18" s="13" t="n">
        <f aca="false">IF(Utilidad!E15&gt;1,Utilidad!E15/100,Utilidad!E15)</f>
        <v>0.321851</v>
      </c>
      <c r="G18" s="11" t="s">
        <v>27</v>
      </c>
      <c r="H18" s="12" t="n">
        <f aca="false">Utilidad!B15</f>
        <v>32314.812261</v>
      </c>
      <c r="I18" s="13" t="n">
        <f aca="false">IF(Utilidad!D15&gt;1,Utilidad!D15/100,Utilidad!D15)</f>
        <v>0.41528078761</v>
      </c>
      <c r="J18" s="13" t="n">
        <f aca="false">IF(Utilidad!F15&gt;1,Utilidad!F15/100,Utilidad!F15)</f>
        <v>0.3540361</v>
      </c>
      <c r="L18" s="14" t="n">
        <f aca="false">+IF(C18&lt;&gt;0,(H18-C18)/C18,ABS(H18-C18))</f>
        <v>0.251735832855593</v>
      </c>
      <c r="M18" s="14" t="n">
        <f aca="false">+IF(D18&lt;&gt;0,(I18-D18)/D18,0)</f>
        <v>0.00894263267735683</v>
      </c>
      <c r="N18" s="14" t="n">
        <f aca="false">+IF(E18&lt;&gt;0,(J18-E18)/E18,0)</f>
        <v>0.1</v>
      </c>
      <c r="P18" s="13" t="n">
        <f aca="false">+IF(L18&lt;&gt;"",ABS(L18),0)</f>
        <v>0.251735832855593</v>
      </c>
      <c r="Q18" s="13" t="n">
        <f aca="false">+IF(L18&lt;&gt;"",ABS(L18),0)</f>
        <v>0.251735832855593</v>
      </c>
      <c r="R18" s="13" t="n">
        <f aca="false">+IF(M18&lt;&gt;"",ABS(M18),0)</f>
        <v>0.00894263267735683</v>
      </c>
      <c r="T18" s="15" t="str">
        <f aca="false">IF(J18&lt;=I18,"SI","NO")</f>
        <v>SI</v>
      </c>
    </row>
    <row r="19" customFormat="false" ht="19.7" hidden="false" customHeight="false" outlineLevel="0" collapsed="false">
      <c r="B19" s="11" t="s">
        <v>28</v>
      </c>
      <c r="C19" s="12" t="n">
        <f aca="false">Utilidad!A16</f>
        <v>528</v>
      </c>
      <c r="D19" s="13" t="n">
        <f aca="false">IF(Utilidad!C16&gt;1,Utilidad!C16/100,Utilidad!C16)</f>
        <v>0.4116</v>
      </c>
      <c r="E19" s="13" t="n">
        <f aca="false">IF(Utilidad!E16&gt;1,Utilidad!E16/100,Utilidad!E16)</f>
        <v>0.376</v>
      </c>
      <c r="G19" s="11" t="s">
        <v>28</v>
      </c>
      <c r="H19" s="12" t="n">
        <f aca="false">Utilidad!B16</f>
        <v>5438.3422614</v>
      </c>
      <c r="I19" s="13" t="n">
        <f aca="false">IF(Utilidad!D16&gt;1,Utilidad!D16/100,Utilidad!D16)</f>
        <v>0.41245840203</v>
      </c>
      <c r="J19" s="13" t="n">
        <f aca="false">IF(Utilidad!F16&gt;1,Utilidad!F16/100,Utilidad!F16)</f>
        <v>0.3384</v>
      </c>
      <c r="L19" s="14" t="n">
        <f aca="false">+IF(C19&lt;&gt;0,(H19-C19)/C19,ABS(H19-C19))</f>
        <v>9.29989064659091</v>
      </c>
      <c r="M19" s="14" t="n">
        <f aca="false">+IF(D19&lt;&gt;0,(I19-D19)/D19,0)</f>
        <v>0.0020855248542275</v>
      </c>
      <c r="N19" s="14" t="n">
        <f aca="false">+IF(E19&lt;&gt;0,(J19-E19)/E19,0)</f>
        <v>-0.0999999999999999</v>
      </c>
      <c r="P19" s="13" t="n">
        <f aca="false">+IF(L19&lt;&gt;"",ABS(L19),0)</f>
        <v>9.29989064659091</v>
      </c>
      <c r="Q19" s="13" t="n">
        <f aca="false">+IF(L19&lt;&gt;"",ABS(L19),0)</f>
        <v>9.29989064659091</v>
      </c>
      <c r="R19" s="13" t="n">
        <f aca="false">+IF(M19&lt;&gt;"",ABS(M19),0)</f>
        <v>0.0020855248542275</v>
      </c>
      <c r="T19" s="15" t="str">
        <f aca="false">IF(J19&lt;=I19,"SI","NO")</f>
        <v>SI</v>
      </c>
    </row>
    <row r="20" customFormat="false" ht="19.7" hidden="false" customHeight="false" outlineLevel="0" collapsed="false">
      <c r="B20" s="11" t="s">
        <v>29</v>
      </c>
      <c r="C20" s="12" t="n">
        <f aca="false">Utilidad!A17</f>
        <v>26876.47</v>
      </c>
      <c r="D20" s="13" t="n">
        <f aca="false">IF(Utilidad!C17&gt;1,Utilidad!C17/100,Utilidad!C17)</f>
        <v>0.4116</v>
      </c>
      <c r="E20" s="13" t="n">
        <f aca="false">IF(Utilidad!E17&gt;1,Utilidad!E17/100,Utilidad!E17)</f>
        <v>0.376</v>
      </c>
      <c r="G20" s="11" t="s">
        <v>29</v>
      </c>
      <c r="H20" s="12" t="n">
        <f aca="false">Utilidad!B17</f>
        <v>26876.47</v>
      </c>
      <c r="I20" s="13" t="n">
        <f aca="false">IF(Utilidad!D17&gt;1,Utilidad!D17/100,Utilidad!D17)</f>
        <v>0.41585188563</v>
      </c>
      <c r="J20" s="13" t="n">
        <f aca="false">IF(Utilidad!F17&gt;1,Utilidad!F17/100,Utilidad!F17)</f>
        <v>0.3572</v>
      </c>
      <c r="L20" s="14" t="n">
        <f aca="false">+IF(C20&lt;&gt;0,(H20-C20)/C20,ABS(H20-C20))</f>
        <v>0</v>
      </c>
      <c r="M20" s="14" t="n">
        <f aca="false">+IF(D20&lt;&gt;0,(I20-D20)/D20,0)</f>
        <v>0.0103301400145774</v>
      </c>
      <c r="N20" s="14" t="n">
        <f aca="false">+IF(E20&lt;&gt;0,(J20-E20)/E20,0)</f>
        <v>-0.0500000000000001</v>
      </c>
      <c r="P20" s="13" t="n">
        <f aca="false">+IF(L20&lt;&gt;"",ABS(L20),0)</f>
        <v>0</v>
      </c>
      <c r="Q20" s="13" t="n">
        <f aca="false">+IF(L20&lt;&gt;"",ABS(L20),0)</f>
        <v>0</v>
      </c>
      <c r="R20" s="13" t="n">
        <f aca="false">+IF(M20&lt;&gt;"",ABS(M20),0)</f>
        <v>0.0103301400145774</v>
      </c>
      <c r="T20" s="15" t="str">
        <f aca="false">IF(J20&lt;=I20,"SI","NO")</f>
        <v>SI</v>
      </c>
    </row>
    <row r="21" customFormat="false" ht="15.75" hidden="false" customHeight="true" outlineLevel="0" collapsed="false">
      <c r="B21" s="16" t="s">
        <v>30</v>
      </c>
      <c r="C21" s="12" t="n">
        <f aca="false">Utilidad!A18</f>
        <v>26924</v>
      </c>
      <c r="D21" s="13" t="n">
        <f aca="false">IF(Utilidad!C18&gt;1,Utilidad!C18/100,Utilidad!C18)</f>
        <v>0.441342</v>
      </c>
      <c r="E21" s="13" t="n">
        <f aca="false">IF(Utilidad!E18&gt;1,Utilidad!E18/100,Utilidad!E18)</f>
        <v>0.403271</v>
      </c>
      <c r="G21" s="16" t="s">
        <v>30</v>
      </c>
      <c r="H21" s="12" t="n">
        <f aca="false">Utilidad!B18</f>
        <v>30400.126227</v>
      </c>
      <c r="I21" s="13" t="n">
        <f aca="false">IF(Utilidad!D18&gt;1,Utilidad!D18/100,Utilidad!D18)</f>
        <v>0.3972078</v>
      </c>
      <c r="J21" s="13" t="n">
        <f aca="false">IF(Utilidad!F18&gt;1,Utilidad!F18/100,Utilidad!F18)</f>
        <v>0.3629439</v>
      </c>
      <c r="L21" s="14" t="n">
        <f aca="false">+IF(C21&lt;&gt;0,(H21-C21)/C21,ABS(H21-C21))</f>
        <v>0.129108833271431</v>
      </c>
      <c r="M21" s="14" t="n">
        <f aca="false">+IF(D21&lt;&gt;0,(I21-D21)/D21,0)</f>
        <v>-0.1</v>
      </c>
      <c r="N21" s="14" t="n">
        <f aca="false">+IF(E21&lt;&gt;0,(J21-E21)/E21,0)</f>
        <v>-0.1</v>
      </c>
      <c r="P21" s="13" t="n">
        <f aca="false">+IF(L21&lt;&gt;"",ABS(L21),0)</f>
        <v>0.129108833271431</v>
      </c>
      <c r="Q21" s="13" t="n">
        <f aca="false">+IF(L21&lt;&gt;"",ABS(L21),0)</f>
        <v>0.129108833271431</v>
      </c>
      <c r="R21" s="13" t="n">
        <f aca="false">+IF(M21&lt;&gt;"",ABS(M21),0)</f>
        <v>0.1</v>
      </c>
      <c r="T21" s="15" t="str">
        <f aca="false">IF(J21&lt;=I21,"SI","NO")</f>
        <v>SI</v>
      </c>
    </row>
    <row r="22" customFormat="false" ht="15.75" hidden="false" customHeight="true" outlineLevel="0" collapsed="false">
      <c r="B22" s="16" t="s">
        <v>31</v>
      </c>
      <c r="C22" s="12" t="n">
        <f aca="false">Utilidad!A19</f>
        <v>9033</v>
      </c>
      <c r="D22" s="13" t="n">
        <f aca="false">IF(Utilidad!C19&gt;1,Utilidad!C19/100,Utilidad!C19)</f>
        <v>0.424686</v>
      </c>
      <c r="E22" s="13" t="n">
        <f aca="false">IF(Utilidad!E19&gt;1,Utilidad!E19/100,Utilidad!E19)</f>
        <v>0.373831</v>
      </c>
      <c r="G22" s="16" t="s">
        <v>31</v>
      </c>
      <c r="H22" s="12" t="n">
        <f aca="false">Utilidad!B19</f>
        <v>9417.4995074</v>
      </c>
      <c r="I22" s="13" t="n">
        <f aca="false">IF(Utilidad!D19&gt;1,Utilidad!D19/100,Utilidad!D19)</f>
        <v>0.40655721847</v>
      </c>
      <c r="J22" s="13" t="n">
        <f aca="false">IF(Utilidad!F19&gt;1,Utilidad!F19/100,Utilidad!F19)</f>
        <v>0.36106455251</v>
      </c>
      <c r="L22" s="14" t="n">
        <f aca="false">+IF(C22&lt;&gt;0,(H22-C22)/C22,ABS(H22-C22))</f>
        <v>0.0425660918188863</v>
      </c>
      <c r="M22" s="14" t="n">
        <f aca="false">+IF(D22&lt;&gt;0,(I22-D22)/D22,0)</f>
        <v>-0.0426874950669435</v>
      </c>
      <c r="N22" s="14" t="n">
        <f aca="false">+IF(E22&lt;&gt;0,(J22-E22)/E22,0)</f>
        <v>-0.0341503178976595</v>
      </c>
      <c r="P22" s="13" t="n">
        <f aca="false">+IF(L22&lt;&gt;"",ABS(L22),0)</f>
        <v>0.0425660918188863</v>
      </c>
      <c r="Q22" s="13" t="n">
        <f aca="false">+IF(L22&lt;&gt;"",ABS(L22),0)</f>
        <v>0.0425660918188863</v>
      </c>
      <c r="R22" s="13" t="n">
        <f aca="false">+IF(M22&lt;&gt;"",ABS(M22),0)</f>
        <v>0.0426874950669435</v>
      </c>
      <c r="T22" s="15" t="str">
        <f aca="false">IF(J22&lt;=I22,"SI","NO")</f>
        <v>SI</v>
      </c>
    </row>
    <row r="23" customFormat="false" ht="15.75" hidden="false" customHeight="true" outlineLevel="0" collapsed="false">
      <c r="B23" s="16" t="s">
        <v>32</v>
      </c>
      <c r="C23" s="12" t="n">
        <f aca="false">Utilidad!A20</f>
        <v>100</v>
      </c>
      <c r="D23" s="13" t="n">
        <f aca="false">IF(Utilidad!C20&gt;1,Utilidad!C20/100,Utilidad!C20)</f>
        <v>0.434686</v>
      </c>
      <c r="E23" s="13" t="n">
        <f aca="false">IF(Utilidad!E20&gt;1,Utilidad!E20/100,Utilidad!E20)</f>
        <v>0.383831</v>
      </c>
      <c r="G23" s="16" t="s">
        <v>32</v>
      </c>
      <c r="H23" s="12" t="n">
        <f aca="false">Utilidad!B20</f>
        <v>100.04235959</v>
      </c>
      <c r="I23" s="13" t="n">
        <f aca="false">IF(Utilidad!D20&gt;1,Utilidad!D20/100,Utilidad!D20)</f>
        <v>0.43449836238</v>
      </c>
      <c r="J23" s="13" t="n">
        <f aca="false">IF(Utilidad!F20&gt;1,Utilidad!F20/100,Utilidad!F20)</f>
        <v>0.3836783845</v>
      </c>
      <c r="L23" s="14" t="n">
        <f aca="false">+IF(C23&lt;&gt;0,(H23-C23)/C23,ABS(H23-C23))</f>
        <v>0.000423595900000038</v>
      </c>
      <c r="M23" s="14" t="n">
        <f aca="false">+IF(D23&lt;&gt;0,(I23-D23)/D23,0)</f>
        <v>-0.000431662441394382</v>
      </c>
      <c r="N23" s="14" t="n">
        <f aca="false">+IF(E23&lt;&gt;0,(J23-E23)/E23,0)</f>
        <v>-0.000397611188257209</v>
      </c>
      <c r="P23" s="13" t="n">
        <f aca="false">+IF(L23&lt;&gt;"",ABS(L23),0)</f>
        <v>0.000423595900000038</v>
      </c>
      <c r="Q23" s="13" t="n">
        <f aca="false">+IF(L23&lt;&gt;"",ABS(L23),0)</f>
        <v>0.000423595900000038</v>
      </c>
      <c r="R23" s="13" t="n">
        <f aca="false">+IF(M23&lt;&gt;"",ABS(M23),0)</f>
        <v>0.000431662441394382</v>
      </c>
      <c r="T23" s="15" t="str">
        <f aca="false">IF(J23&lt;=I23,"SI","NO")</f>
        <v>SI</v>
      </c>
    </row>
    <row r="24" customFormat="false" ht="15.75" hidden="false" customHeight="true" outlineLevel="0" collapsed="false">
      <c r="B24" s="16" t="s">
        <v>33</v>
      </c>
      <c r="C24" s="12" t="n">
        <f aca="false">Utilidad!A21</f>
        <v>19699.46</v>
      </c>
      <c r="D24" s="13" t="n">
        <f aca="false">IF(Utilidad!C21&gt;1,Utilidad!C21/100,Utilidad!C21)</f>
        <v>0.4624</v>
      </c>
      <c r="E24" s="13" t="n">
        <f aca="false">IF(Utilidad!E21&gt;1,Utilidad!E21/100,Utilidad!E21)</f>
        <v>0.4338</v>
      </c>
      <c r="G24" s="16" t="s">
        <v>33</v>
      </c>
      <c r="H24" s="12" t="n">
        <f aca="false">Utilidad!B21</f>
        <v>19699.439776</v>
      </c>
      <c r="I24" s="13" t="n">
        <f aca="false">IF(Utilidad!D21&gt;1,Utilidad!D21/100,Utilidad!D21)</f>
        <v>0.48497917266</v>
      </c>
      <c r="J24" s="13" t="n">
        <f aca="false">IF(Utilidad!F21&gt;1,Utilidad!F21/100,Utilidad!F21)</f>
        <v>0.45184507575</v>
      </c>
      <c r="L24" s="14" t="n">
        <f aca="false">+IF(C24&lt;&gt;0,(H24-C24)/C24,ABS(H24-C24))</f>
        <v>-1.02662712581314E-006</v>
      </c>
      <c r="M24" s="14" t="n">
        <f aca="false">+IF(D24&lt;&gt;0,(I24-D24)/D24,0)</f>
        <v>0.048830390700692</v>
      </c>
      <c r="N24" s="14" t="n">
        <f aca="false">+IF(E24&lt;&gt;0,(J24-E24)/E24,0)</f>
        <v>0.0415976849930843</v>
      </c>
      <c r="P24" s="13" t="n">
        <f aca="false">+IF(L24&lt;&gt;"",ABS(L24),0)</f>
        <v>1.02662712581314E-006</v>
      </c>
      <c r="Q24" s="13" t="n">
        <f aca="false">+IF(L24&lt;&gt;"",ABS(L24),0)</f>
        <v>1.02662712581314E-006</v>
      </c>
      <c r="R24" s="13" t="n">
        <f aca="false">+IF(M24&lt;&gt;"",ABS(M24),0)</f>
        <v>0.048830390700692</v>
      </c>
      <c r="T24" s="15" t="str">
        <f aca="false">IF(J24&lt;=I24,"SI","NO")</f>
        <v>SI</v>
      </c>
    </row>
    <row r="25" customFormat="false" ht="15.75" hidden="false" customHeight="true" outlineLevel="0" collapsed="false">
      <c r="B25" s="16" t="s">
        <v>34</v>
      </c>
      <c r="C25" s="12" t="n">
        <f aca="false">Utilidad!A22</f>
        <v>-80</v>
      </c>
      <c r="D25" s="13" t="n">
        <f aca="false">IF(Utilidad!C22&gt;1,Utilidad!C22/100,Utilidad!C22)</f>
        <v>0.4624</v>
      </c>
      <c r="E25" s="13" t="n">
        <f aca="false">IF(Utilidad!E22&gt;1,Utilidad!E22/100,Utilidad!E22)</f>
        <v>0.4338</v>
      </c>
      <c r="G25" s="16" t="s">
        <v>34</v>
      </c>
      <c r="H25" s="12" t="n">
        <f aca="false">Utilidad!B22</f>
        <v>-80.020224414</v>
      </c>
      <c r="I25" s="13" t="n">
        <f aca="false">IF(Utilidad!D22&gt;1,Utilidad!D22/100,Utilidad!D22)</f>
        <v>0.4622979092</v>
      </c>
      <c r="J25" s="13" t="n">
        <f aca="false">IF(Utilidad!F22&gt;1,Utilidad!F22/100,Utilidad!F22)</f>
        <v>0.43373689298</v>
      </c>
      <c r="L25" s="14" t="n">
        <f aca="false">+IF(C25&lt;&gt;0,(H25-C25)/C25,ABS(H25-C25))</f>
        <v>0.00025280517499997</v>
      </c>
      <c r="M25" s="14" t="n">
        <f aca="false">+IF(D25&lt;&gt;0,(I25-D25)/D25,0)</f>
        <v>-0.000220784602076266</v>
      </c>
      <c r="N25" s="14" t="n">
        <f aca="false">+IF(E25&lt;&gt;0,(J25-E25)/E25,0)</f>
        <v>-0.000145474919317677</v>
      </c>
      <c r="P25" s="13" t="n">
        <f aca="false">+IF(L25&lt;&gt;"",ABS(L25),0)</f>
        <v>0.00025280517499997</v>
      </c>
      <c r="Q25" s="13" t="n">
        <f aca="false">+IF(L25&lt;&gt;"",ABS(L25),0)</f>
        <v>0.00025280517499997</v>
      </c>
      <c r="R25" s="13" t="n">
        <f aca="false">+IF(M25&lt;&gt;"",ABS(M25),0)</f>
        <v>0.000220784602076266</v>
      </c>
      <c r="T25" s="15" t="str">
        <f aca="false">IF(J25&lt;=I25,"SI","NO")</f>
        <v>SI</v>
      </c>
    </row>
    <row r="26" customFormat="false" ht="15.75" hidden="false" customHeight="true" outlineLevel="0" collapsed="false">
      <c r="B26" s="16" t="s">
        <v>35</v>
      </c>
      <c r="C26" s="12" t="n">
        <f aca="false">Utilidad!A23</f>
        <v>19779.46</v>
      </c>
      <c r="D26" s="13" t="n">
        <f aca="false">IF(Utilidad!C23&gt;1,Utilidad!C23/100,Utilidad!C23)</f>
        <v>0.4624</v>
      </c>
      <c r="E26" s="13" t="n">
        <f aca="false">IF(Utilidad!E23&gt;1,Utilidad!E23/100,Utilidad!E23)</f>
        <v>0.4338</v>
      </c>
      <c r="G26" s="16" t="s">
        <v>35</v>
      </c>
      <c r="H26" s="12" t="n">
        <f aca="false">Utilidad!B23</f>
        <v>19779.46</v>
      </c>
      <c r="I26" s="13" t="n">
        <f aca="false">IF(Utilidad!D23&gt;1,Utilidad!D23/100,Utilidad!D23)</f>
        <v>0.48488741283</v>
      </c>
      <c r="J26" s="13" t="n">
        <f aca="false">IF(Utilidad!F23&gt;1,Utilidad!F23/100,Utilidad!F23)</f>
        <v>0.45177181688</v>
      </c>
      <c r="L26" s="14" t="n">
        <f aca="false">+IF(C26&lt;&gt;0,(H26-C26)/C26,ABS(H26-C26))</f>
        <v>0</v>
      </c>
      <c r="M26" s="14" t="n">
        <f aca="false">+IF(D26&lt;&gt;0,(I26-D26)/D26,0)</f>
        <v>0.0486319481617647</v>
      </c>
      <c r="N26" s="14" t="n">
        <f aca="false">+IF(E26&lt;&gt;0,(J26-E26)/E26,0)</f>
        <v>0.0414288079299215</v>
      </c>
      <c r="P26" s="13" t="n">
        <f aca="false">+IF(L26&lt;&gt;"",ABS(L26),0)</f>
        <v>0</v>
      </c>
      <c r="Q26" s="13" t="n">
        <f aca="false">+IF(L26&lt;&gt;"",ABS(L26),0)</f>
        <v>0</v>
      </c>
      <c r="R26" s="13" t="n">
        <f aca="false">+IF(M26&lt;&gt;"",ABS(M26),0)</f>
        <v>0.0486319481617647</v>
      </c>
      <c r="T26" s="15" t="str">
        <f aca="false">IF(J26&lt;=I26,"SI","NO")</f>
        <v>SI</v>
      </c>
    </row>
    <row r="27" customFormat="false" ht="15.75" hidden="false" customHeight="true" outlineLevel="0" collapsed="false">
      <c r="B27" s="16" t="s">
        <v>36</v>
      </c>
      <c r="C27" s="12" t="n">
        <f aca="false">Utilidad!A24</f>
        <v>8922.43</v>
      </c>
      <c r="D27" s="13" t="n">
        <f aca="false">IF(Utilidad!C24&gt;1,Utilidad!C24/100,Utilidad!C24)</f>
        <v>0.4712</v>
      </c>
      <c r="E27" s="13" t="n">
        <f aca="false">IF(Utilidad!E24&gt;1,Utilidad!E24/100,Utilidad!E24)</f>
        <v>0.4313</v>
      </c>
      <c r="G27" s="16" t="s">
        <v>36</v>
      </c>
      <c r="H27" s="12" t="n">
        <f aca="false">Utilidad!B24</f>
        <v>8918.77866</v>
      </c>
      <c r="I27" s="13" t="n">
        <f aca="false">IF(Utilidad!D24&gt;1,Utilidad!D24/100,Utilidad!D24)</f>
        <v>0.48053918216</v>
      </c>
      <c r="J27" s="13" t="n">
        <f aca="false">IF(Utilidad!F24&gt;1,Utilidad!F24/100,Utilidad!F24)</f>
        <v>0.43840869993</v>
      </c>
      <c r="L27" s="14" t="n">
        <f aca="false">+IF(C27&lt;&gt;0,(H27-C27)/C27,ABS(H27-C27))</f>
        <v>-0.000409231565840286</v>
      </c>
      <c r="M27" s="14" t="n">
        <f aca="false">+IF(D27&lt;&gt;0,(I27-D27)/D27,0)</f>
        <v>0.0198199960950766</v>
      </c>
      <c r="N27" s="14" t="n">
        <f aca="false">+IF(E27&lt;&gt;0,(J27-E27)/E27,0)</f>
        <v>0.0164820309065615</v>
      </c>
      <c r="P27" s="13" t="n">
        <f aca="false">+IF(L27&lt;&gt;"",ABS(L27),0)</f>
        <v>0.000409231565840286</v>
      </c>
      <c r="Q27" s="13" t="n">
        <f aca="false">+IF(L27&lt;&gt;"",ABS(L27),0)</f>
        <v>0.000409231565840286</v>
      </c>
      <c r="R27" s="13" t="n">
        <f aca="false">+IF(M27&lt;&gt;"",ABS(M27),0)</f>
        <v>0.0198199960950766</v>
      </c>
      <c r="T27" s="15" t="str">
        <f aca="false">IF(J27&lt;=I27,"SI","NO")</f>
        <v>SI</v>
      </c>
    </row>
    <row r="28" customFormat="false" ht="15.75" hidden="false" customHeight="true" outlineLevel="0" collapsed="false">
      <c r="B28" s="16" t="s">
        <v>37</v>
      </c>
      <c r="C28" s="12" t="n">
        <f aca="false">Utilidad!A25</f>
        <v>1067</v>
      </c>
      <c r="D28" s="13" t="n">
        <f aca="false">IF(Utilidad!C25&gt;1,Utilidad!C25/100,Utilidad!C25)</f>
        <v>0.4712</v>
      </c>
      <c r="E28" s="13" t="n">
        <f aca="false">IF(Utilidad!E25&gt;1,Utilidad!E25/100,Utilidad!E25)</f>
        <v>0.4313</v>
      </c>
      <c r="G28" s="16" t="s">
        <v>37</v>
      </c>
      <c r="H28" s="12" t="n">
        <f aca="false">Utilidad!B25</f>
        <v>1063.34866</v>
      </c>
      <c r="I28" s="13" t="n">
        <f aca="false">IF(Utilidad!D25&gt;1,Utilidad!D25/100,Utilidad!D25)</f>
        <v>0.47260669974</v>
      </c>
      <c r="J28" s="13" t="n">
        <f aca="false">IF(Utilidad!F25&gt;1,Utilidad!F25/100,Utilidad!F25)</f>
        <v>0.43238238703</v>
      </c>
      <c r="L28" s="14" t="n">
        <f aca="false">+IF(C28&lt;&gt;0,(H28-C28)/C28,ABS(H28-C28))</f>
        <v>-0.00342206185567</v>
      </c>
      <c r="M28" s="14" t="n">
        <f aca="false">+IF(D28&lt;&gt;0,(I28-D28)/D28,0)</f>
        <v>0.00298535598472002</v>
      </c>
      <c r="N28" s="14" t="n">
        <f aca="false">+IF(E28&lt;&gt;0,(J28-E28)/E28,0)</f>
        <v>0.00250959200092735</v>
      </c>
      <c r="P28" s="13" t="n">
        <f aca="false">+IF(L28&lt;&gt;"",ABS(L28),0)</f>
        <v>0.00342206185567</v>
      </c>
      <c r="Q28" s="13" t="n">
        <f aca="false">+IF(L28&lt;&gt;"",ABS(L28),0)</f>
        <v>0.00342206185567</v>
      </c>
      <c r="R28" s="13" t="n">
        <f aca="false">+IF(M28&lt;&gt;"",ABS(M28),0)</f>
        <v>0.00298535598472002</v>
      </c>
      <c r="T28" s="15" t="str">
        <f aca="false">IF(J28&lt;=I28,"SI","NO")</f>
        <v>SI</v>
      </c>
    </row>
    <row r="29" customFormat="false" ht="15.75" hidden="false" customHeight="true" outlineLevel="0" collapsed="false">
      <c r="B29" s="16" t="s">
        <v>38</v>
      </c>
      <c r="C29" s="12" t="n">
        <f aca="false">Utilidad!A26</f>
        <v>7855.43</v>
      </c>
      <c r="D29" s="13" t="n">
        <f aca="false">IF(Utilidad!C26&gt;1,Utilidad!C26/100,Utilidad!C26)</f>
        <v>0.4712</v>
      </c>
      <c r="E29" s="13" t="n">
        <f aca="false">IF(Utilidad!E26&gt;1,Utilidad!E26/100,Utilidad!E26)</f>
        <v>0.4313</v>
      </c>
      <c r="G29" s="16" t="s">
        <v>38</v>
      </c>
      <c r="H29" s="12" t="n">
        <f aca="false">Utilidad!B26</f>
        <v>7855.43</v>
      </c>
      <c r="I29" s="13" t="n">
        <f aca="false">IF(Utilidad!D26&gt;1,Utilidad!D26/100,Utilidad!D26)</f>
        <v>0.48161296102</v>
      </c>
      <c r="J29" s="13" t="n">
        <f aca="false">IF(Utilidad!F26&gt;1,Utilidad!F26/100,Utilidad!F26)</f>
        <v>0.43922445055</v>
      </c>
      <c r="L29" s="14" t="n">
        <f aca="false">+IF(C29&lt;&gt;0,(H29-C29)/C29,ABS(H29-C29))</f>
        <v>0</v>
      </c>
      <c r="M29" s="14" t="n">
        <f aca="false">+IF(D29&lt;&gt;0,(I29-D29)/D29,0)</f>
        <v>0.0220988137096775</v>
      </c>
      <c r="N29" s="14" t="n">
        <f aca="false">+IF(E29&lt;&gt;0,(J29-E29)/E29,0)</f>
        <v>0.0183734072571295</v>
      </c>
      <c r="P29" s="13" t="n">
        <f aca="false">+IF(L29&lt;&gt;"",ABS(L29),0)</f>
        <v>0</v>
      </c>
      <c r="Q29" s="13" t="n">
        <f aca="false">+IF(L29&lt;&gt;"",ABS(L29),0)</f>
        <v>0</v>
      </c>
      <c r="R29" s="13" t="n">
        <f aca="false">+IF(M29&lt;&gt;"",ABS(M29),0)</f>
        <v>0.0220988137096775</v>
      </c>
      <c r="T29" s="15" t="str">
        <f aca="false">IF(J29&lt;=I29,"SI","NO")</f>
        <v>SI</v>
      </c>
    </row>
    <row r="30" customFormat="false" ht="15.75" hidden="false" customHeight="true" outlineLevel="0" collapsed="false">
      <c r="B30" s="16" t="s">
        <v>39</v>
      </c>
      <c r="C30" s="12" t="n">
        <f aca="false">Utilidad!A27</f>
        <v>7335.11</v>
      </c>
      <c r="D30" s="13" t="n">
        <f aca="false">IF(Utilidad!C27&gt;1,Utilidad!C27/100,Utilidad!C27)</f>
        <v>0.196191</v>
      </c>
      <c r="E30" s="13" t="n">
        <f aca="false">IF(Utilidad!E27&gt;1,Utilidad!E27/100,Utilidad!E27)</f>
        <v>0.140109</v>
      </c>
      <c r="G30" s="16" t="s">
        <v>39</v>
      </c>
      <c r="H30" s="12" t="n">
        <f aca="false">Utilidad!B27</f>
        <v>11299.449658</v>
      </c>
      <c r="I30" s="13" t="n">
        <f aca="false">IF(Utilidad!D27&gt;1,Utilidad!D27/100,Utilidad!D27)</f>
        <v>0.18653539344</v>
      </c>
      <c r="J30" s="13" t="n">
        <f aca="false">IF(Utilidad!F27&gt;1,Utilidad!F27/100,Utilidad!F27)</f>
        <v>0.14700580432</v>
      </c>
      <c r="L30" s="14" t="n">
        <f aca="false">+IF(C30&lt;&gt;0,(H30-C30)/C30,ABS(H30-C30))</f>
        <v>0.54046083262555</v>
      </c>
      <c r="M30" s="14" t="n">
        <f aca="false">+IF(D30&lt;&gt;0,(I30-D30)/D30,0)</f>
        <v>-0.0492153389299205</v>
      </c>
      <c r="N30" s="14" t="n">
        <f aca="false">+IF(E30&lt;&gt;0,(J30-E30)/E30,0)</f>
        <v>0.0492245631615388</v>
      </c>
      <c r="P30" s="13" t="n">
        <f aca="false">+IF(L30&lt;&gt;"",ABS(L30),0)</f>
        <v>0.54046083262555</v>
      </c>
      <c r="Q30" s="13" t="n">
        <f aca="false">+IF(L30&lt;&gt;"",ABS(L30),0)</f>
        <v>0.54046083262555</v>
      </c>
      <c r="R30" s="13" t="n">
        <f aca="false">+IF(M30&lt;&gt;"",ABS(M30),0)</f>
        <v>0.0492153389299205</v>
      </c>
      <c r="T30" s="15" t="str">
        <f aca="false">IF(J30&lt;=I30,"SI","NO")</f>
        <v>SI</v>
      </c>
    </row>
    <row r="31" customFormat="false" ht="15.75" hidden="false" customHeight="true" outlineLevel="0" collapsed="false">
      <c r="B31" s="16" t="s">
        <v>40</v>
      </c>
      <c r="C31" s="12" t="n">
        <f aca="false">Utilidad!A28</f>
        <v>176</v>
      </c>
      <c r="D31" s="13" t="n">
        <f aca="false">IF(Utilidad!C28&gt;1,Utilidad!C28/100,Utilidad!C28)</f>
        <v>0.196191</v>
      </c>
      <c r="E31" s="13" t="n">
        <f aca="false">IF(Utilidad!E28&gt;1,Utilidad!E28/100,Utilidad!E28)</f>
        <v>0.140109</v>
      </c>
      <c r="G31" s="16" t="s">
        <v>40</v>
      </c>
      <c r="H31" s="12" t="n">
        <f aca="false">Utilidad!B28</f>
        <v>173.44965791</v>
      </c>
      <c r="I31" s="13" t="n">
        <f aca="false">IF(Utilidad!D28&gt;1,Utilidad!D28/100,Utilidad!D28)</f>
        <v>0.19641015937</v>
      </c>
      <c r="J31" s="13" t="n">
        <f aca="false">IF(Utilidad!F28&gt;1,Utilidad!F28/100,Utilidad!F28)</f>
        <v>0.1400366817</v>
      </c>
      <c r="L31" s="14" t="n">
        <f aca="false">+IF(C31&lt;&gt;0,(H31-C31)/C31,ABS(H31-C31))</f>
        <v>-0.0144905800568181</v>
      </c>
      <c r="M31" s="14" t="n">
        <f aca="false">+IF(D31&lt;&gt;0,(I31-D31)/D31,0)</f>
        <v>0.00111707147626533</v>
      </c>
      <c r="N31" s="14" t="n">
        <f aca="false">+IF(E31&lt;&gt;0,(J31-E31)/E31,0)</f>
        <v>-0.000516157420294092</v>
      </c>
      <c r="P31" s="13" t="n">
        <f aca="false">+IF(L31&lt;&gt;"",ABS(L31),0)</f>
        <v>0.0144905800568181</v>
      </c>
      <c r="Q31" s="13" t="n">
        <f aca="false">+IF(L31&lt;&gt;"",ABS(L31),0)</f>
        <v>0.0144905800568181</v>
      </c>
      <c r="R31" s="13" t="n">
        <f aca="false">+IF(M31&lt;&gt;"",ABS(M31),0)</f>
        <v>0.00111707147626533</v>
      </c>
      <c r="T31" s="15" t="str">
        <f aca="false">IF(J31&lt;=I31,"SI","NO")</f>
        <v>SI</v>
      </c>
    </row>
    <row r="32" customFormat="false" ht="15.75" hidden="false" customHeight="true" outlineLevel="0" collapsed="false">
      <c r="B32" s="16" t="s">
        <v>41</v>
      </c>
      <c r="C32" s="12" t="n">
        <f aca="false">Utilidad!A29</f>
        <v>11126</v>
      </c>
      <c r="D32" s="13" t="n">
        <f aca="false">IF(Utilidad!C29&gt;1,Utilidad!C29/100,Utilidad!C29)</f>
        <v>0.196191</v>
      </c>
      <c r="E32" s="13" t="n">
        <f aca="false">IF(Utilidad!E29&gt;1,Utilidad!E29/100,Utilidad!E29)</f>
        <v>0.140109</v>
      </c>
      <c r="G32" s="16" t="s">
        <v>41</v>
      </c>
      <c r="H32" s="12" t="n">
        <f aca="false">Utilidad!B29</f>
        <v>11126</v>
      </c>
      <c r="I32" s="13" t="n">
        <f aca="false">IF(Utilidad!D29&gt;1,Utilidad!D29/100,Utilidad!D29)</f>
        <v>0.18638145</v>
      </c>
      <c r="J32" s="13" t="n">
        <f aca="false">IF(Utilidad!F29&gt;1,Utilidad!F29/100,Utilidad!F29)</f>
        <v>0.14711445</v>
      </c>
      <c r="L32" s="14" t="n">
        <f aca="false">+IF(C32&lt;&gt;0,(H32-C32)/C32,ABS(H32-C32))</f>
        <v>0</v>
      </c>
      <c r="M32" s="14" t="n">
        <f aca="false">+IF(D32&lt;&gt;0,(I32-D32)/D32,0)</f>
        <v>-0.05</v>
      </c>
      <c r="N32" s="14" t="n">
        <f aca="false">+IF(E32&lt;&gt;0,(J32-E32)/E32,0)</f>
        <v>0.0500000000000002</v>
      </c>
      <c r="P32" s="13" t="n">
        <f aca="false">+IF(L32&lt;&gt;"",ABS(L32),0)</f>
        <v>0</v>
      </c>
      <c r="Q32" s="13" t="n">
        <f aca="false">+IF(L32&lt;&gt;"",ABS(L32),0)</f>
        <v>0</v>
      </c>
      <c r="R32" s="13" t="n">
        <f aca="false">+IF(M32&lt;&gt;"",ABS(M32),0)</f>
        <v>0.05</v>
      </c>
      <c r="T32" s="15" t="str">
        <f aca="false">IF(J32&lt;=I32,"SI","NO")</f>
        <v>SI</v>
      </c>
    </row>
    <row r="33" customFormat="false" ht="15.75" hidden="false" customHeight="true" outlineLevel="0" collapsed="false">
      <c r="B33" s="17"/>
      <c r="C33" s="18"/>
      <c r="D33" s="19"/>
      <c r="E33" s="19"/>
      <c r="G33" s="17"/>
      <c r="H33" s="18"/>
      <c r="I33" s="19"/>
      <c r="J33" s="19"/>
      <c r="L33" s="20"/>
      <c r="M33" s="20"/>
      <c r="N33" s="20"/>
      <c r="P33" s="19"/>
      <c r="Q33" s="19"/>
      <c r="R33" s="19"/>
    </row>
    <row r="34" customFormat="false" ht="15.75" hidden="false" customHeight="true" outlineLevel="0" collapsed="false">
      <c r="B34" s="17"/>
      <c r="C34" s="18"/>
      <c r="D34" s="19"/>
      <c r="E34" s="19"/>
      <c r="G34" s="17"/>
      <c r="H34" s="18"/>
      <c r="I34" s="19"/>
      <c r="J34" s="19"/>
      <c r="L34" s="20"/>
      <c r="M34" s="20"/>
      <c r="N34" s="20"/>
      <c r="P34" s="19"/>
      <c r="Q34" s="19"/>
      <c r="R34" s="19"/>
    </row>
    <row r="35" customFormat="false" ht="15.75" hidden="false" customHeight="true" outlineLevel="0" collapsed="false">
      <c r="B35" s="17"/>
      <c r="C35" s="18"/>
      <c r="D35" s="19"/>
      <c r="E35" s="19"/>
      <c r="G35" s="17"/>
      <c r="H35" s="18"/>
      <c r="I35" s="19"/>
      <c r="J35" s="19"/>
      <c r="L35" s="20"/>
      <c r="M35" s="20"/>
      <c r="N35" s="20"/>
      <c r="P35" s="19"/>
      <c r="Q35" s="19"/>
      <c r="R35" s="19"/>
    </row>
    <row r="36" customFormat="false" ht="15.75" hidden="false" customHeight="true" outlineLevel="0" collapsed="false">
      <c r="B36" s="17"/>
      <c r="C36" s="18"/>
      <c r="D36" s="19"/>
      <c r="E36" s="19"/>
      <c r="G36" s="17"/>
      <c r="H36" s="18"/>
      <c r="I36" s="19"/>
      <c r="J36" s="19"/>
      <c r="L36" s="20"/>
      <c r="M36" s="20"/>
      <c r="N36" s="20"/>
      <c r="P36" s="19"/>
      <c r="Q36" s="19"/>
      <c r="R36" s="19"/>
    </row>
    <row r="37" customFormat="false" ht="15.75" hidden="false" customHeight="true" outlineLevel="0" collapsed="false">
      <c r="B37" s="21"/>
      <c r="C37" s="18"/>
      <c r="D37" s="19"/>
      <c r="E37" s="19"/>
      <c r="G37" s="21"/>
      <c r="H37" s="18"/>
      <c r="I37" s="19"/>
      <c r="J37" s="19"/>
      <c r="L37" s="20"/>
      <c r="M37" s="20"/>
      <c r="N37" s="20"/>
      <c r="P37" s="19"/>
      <c r="Q37" s="19"/>
      <c r="R37" s="19"/>
    </row>
    <row r="38" customFormat="false" ht="15.75" hidden="false" customHeight="true" outlineLevel="0" collapsed="false">
      <c r="B38" s="21"/>
      <c r="C38" s="18"/>
      <c r="D38" s="19"/>
      <c r="E38" s="19"/>
      <c r="G38" s="21"/>
      <c r="H38" s="18"/>
      <c r="I38" s="19"/>
      <c r="J38" s="19"/>
      <c r="L38" s="20"/>
      <c r="M38" s="20"/>
      <c r="N38" s="20"/>
      <c r="P38" s="19"/>
      <c r="Q38" s="19"/>
      <c r="R38" s="19"/>
    </row>
    <row r="39" customFormat="false" ht="15.75" hidden="false" customHeight="true" outlineLevel="0" collapsed="false">
      <c r="B39" s="17"/>
      <c r="C39" s="18"/>
      <c r="D39" s="19"/>
      <c r="E39" s="19"/>
      <c r="G39" s="17"/>
      <c r="H39" s="18"/>
      <c r="I39" s="19"/>
      <c r="J39" s="19"/>
      <c r="L39" s="20"/>
      <c r="M39" s="20"/>
      <c r="N39" s="20"/>
      <c r="P39" s="19"/>
      <c r="Q39" s="19"/>
      <c r="R39" s="19"/>
    </row>
    <row r="40" customFormat="false" ht="15.75" hidden="false" customHeight="true" outlineLevel="0" collapsed="false">
      <c r="B40" s="17"/>
      <c r="C40" s="18"/>
      <c r="D40" s="19"/>
      <c r="E40" s="19"/>
      <c r="G40" s="17"/>
      <c r="H40" s="18"/>
      <c r="I40" s="19"/>
      <c r="J40" s="19"/>
      <c r="L40" s="20"/>
      <c r="M40" s="20"/>
      <c r="N40" s="20"/>
      <c r="P40" s="19"/>
      <c r="Q40" s="19"/>
      <c r="R40" s="19"/>
    </row>
    <row r="41" customFormat="false" ht="15.75" hidden="false" customHeight="true" outlineLevel="0" collapsed="false">
      <c r="B41" s="17"/>
      <c r="C41" s="18"/>
      <c r="D41" s="19"/>
      <c r="E41" s="19"/>
      <c r="G41" s="17"/>
      <c r="H41" s="18"/>
      <c r="I41" s="19"/>
      <c r="J41" s="19"/>
      <c r="L41" s="20"/>
      <c r="M41" s="20"/>
      <c r="N41" s="20"/>
      <c r="P41" s="19"/>
      <c r="Q41" s="19"/>
      <c r="R41" s="19"/>
    </row>
    <row r="42" customFormat="false" ht="15.75" hidden="false" customHeight="true" outlineLevel="0" collapsed="false">
      <c r="B42" s="17"/>
      <c r="C42" s="18"/>
      <c r="D42" s="19"/>
      <c r="E42" s="19"/>
      <c r="G42" s="17"/>
      <c r="H42" s="18"/>
      <c r="I42" s="19"/>
      <c r="J42" s="19"/>
      <c r="L42" s="20"/>
      <c r="M42" s="20"/>
      <c r="N42" s="20"/>
      <c r="P42" s="19"/>
      <c r="Q42" s="19"/>
      <c r="R42" s="19"/>
    </row>
    <row r="43" customFormat="false" ht="15.75" hidden="false" customHeight="true" outlineLevel="0" collapsed="false">
      <c r="B43" s="17"/>
      <c r="C43" s="18"/>
      <c r="D43" s="19"/>
      <c r="E43" s="19"/>
      <c r="G43" s="17"/>
      <c r="H43" s="18"/>
      <c r="I43" s="19"/>
      <c r="J43" s="19"/>
      <c r="L43" s="20"/>
      <c r="M43" s="20"/>
      <c r="N43" s="20"/>
      <c r="P43" s="19"/>
      <c r="Q43" s="19"/>
      <c r="R43" s="19"/>
    </row>
    <row r="44" customFormat="false" ht="15.75" hidden="false" customHeight="true" outlineLevel="0" collapsed="false">
      <c r="B44" s="17"/>
      <c r="C44" s="18"/>
      <c r="D44" s="19"/>
      <c r="E44" s="19"/>
      <c r="G44" s="17"/>
      <c r="H44" s="18"/>
      <c r="I44" s="19"/>
      <c r="J44" s="19"/>
      <c r="L44" s="20"/>
      <c r="M44" s="20"/>
      <c r="N44" s="20"/>
      <c r="P44" s="19"/>
      <c r="Q44" s="19"/>
      <c r="R44" s="19"/>
    </row>
    <row r="45" customFormat="false" ht="15.75" hidden="false" customHeight="true" outlineLevel="0" collapsed="false">
      <c r="B45" s="17"/>
      <c r="C45" s="18"/>
      <c r="D45" s="19"/>
      <c r="E45" s="19"/>
      <c r="G45" s="17"/>
      <c r="H45" s="18"/>
      <c r="I45" s="19"/>
      <c r="J45" s="19"/>
      <c r="L45" s="20"/>
      <c r="M45" s="20"/>
      <c r="N45" s="20"/>
      <c r="P45" s="19"/>
      <c r="Q45" s="19"/>
      <c r="R45" s="19"/>
    </row>
    <row r="46" customFormat="false" ht="15.75" hidden="false" customHeight="true" outlineLevel="0" collapsed="false">
      <c r="B46" s="17"/>
      <c r="C46" s="18"/>
      <c r="D46" s="19"/>
      <c r="E46" s="19"/>
      <c r="G46" s="17"/>
      <c r="H46" s="18"/>
      <c r="I46" s="19"/>
      <c r="J46" s="19"/>
      <c r="L46" s="20"/>
      <c r="M46" s="20"/>
      <c r="N46" s="20"/>
      <c r="P46" s="19"/>
      <c r="Q46" s="19"/>
      <c r="R46" s="19"/>
    </row>
    <row r="47" customFormat="false" ht="15.75" hidden="false" customHeight="true" outlineLevel="0" collapsed="false">
      <c r="B47" s="17"/>
      <c r="C47" s="18"/>
      <c r="D47" s="19"/>
      <c r="E47" s="19"/>
      <c r="G47" s="17"/>
      <c r="H47" s="18"/>
      <c r="I47" s="19"/>
      <c r="J47" s="19"/>
      <c r="L47" s="20"/>
      <c r="M47" s="20"/>
      <c r="N47" s="20"/>
      <c r="P47" s="19"/>
      <c r="Q47" s="19"/>
      <c r="R47" s="19"/>
    </row>
    <row r="48" customFormat="false" ht="15.75" hidden="false" customHeight="true" outlineLevel="0" collapsed="false">
      <c r="B48" s="17"/>
      <c r="C48" s="18"/>
      <c r="D48" s="19"/>
      <c r="E48" s="19"/>
      <c r="G48" s="17"/>
      <c r="H48" s="18"/>
      <c r="I48" s="19"/>
      <c r="J48" s="19"/>
      <c r="L48" s="20"/>
      <c r="M48" s="20"/>
      <c r="N48" s="20"/>
      <c r="P48" s="19"/>
      <c r="Q48" s="19"/>
      <c r="R48" s="19"/>
    </row>
    <row r="49" customFormat="false" ht="15.75" hidden="false" customHeight="true" outlineLevel="0" collapsed="false">
      <c r="B49" s="17"/>
      <c r="C49" s="18"/>
      <c r="D49" s="19"/>
      <c r="E49" s="19"/>
      <c r="G49" s="17"/>
      <c r="H49" s="18"/>
      <c r="I49" s="19"/>
      <c r="J49" s="19"/>
      <c r="L49" s="20"/>
      <c r="M49" s="20"/>
      <c r="N49" s="20"/>
      <c r="P49" s="19"/>
      <c r="Q49" s="19"/>
      <c r="R49" s="19"/>
    </row>
    <row r="50" customFormat="false" ht="15.75" hidden="false" customHeight="true" outlineLevel="0" collapsed="false">
      <c r="B50" s="17"/>
      <c r="C50" s="18"/>
      <c r="D50" s="19"/>
      <c r="E50" s="19"/>
      <c r="G50" s="17"/>
      <c r="H50" s="18"/>
      <c r="I50" s="19"/>
      <c r="J50" s="19"/>
      <c r="L50" s="20"/>
      <c r="M50" s="20"/>
      <c r="N50" s="20"/>
      <c r="P50" s="19"/>
      <c r="Q50" s="19"/>
      <c r="R50" s="19"/>
    </row>
    <row r="51" customFormat="false" ht="15.75" hidden="false" customHeight="true" outlineLevel="0" collapsed="false">
      <c r="B51" s="17"/>
      <c r="C51" s="18"/>
      <c r="D51" s="19"/>
      <c r="E51" s="19"/>
      <c r="G51" s="17"/>
      <c r="H51" s="18"/>
      <c r="I51" s="19"/>
      <c r="J51" s="19"/>
      <c r="L51" s="20"/>
      <c r="M51" s="20"/>
      <c r="N51" s="20"/>
      <c r="P51" s="19"/>
      <c r="Q51" s="19"/>
      <c r="R51" s="19"/>
    </row>
    <row r="52" customFormat="false" ht="15.75" hidden="false" customHeight="true" outlineLevel="0" collapsed="false">
      <c r="B52" s="17"/>
      <c r="C52" s="18"/>
      <c r="D52" s="19"/>
      <c r="E52" s="19"/>
      <c r="G52" s="17"/>
      <c r="H52" s="18"/>
      <c r="I52" s="19"/>
      <c r="J52" s="19"/>
      <c r="L52" s="20"/>
      <c r="M52" s="20"/>
      <c r="N52" s="20"/>
      <c r="P52" s="19"/>
      <c r="Q52" s="19"/>
      <c r="R52" s="19"/>
    </row>
    <row r="53" customFormat="false" ht="15.75" hidden="false" customHeight="true" outlineLevel="0" collapsed="false">
      <c r="B53" s="17"/>
      <c r="C53" s="18"/>
      <c r="D53" s="19"/>
      <c r="E53" s="19"/>
      <c r="G53" s="17"/>
      <c r="H53" s="18"/>
      <c r="I53" s="19"/>
      <c r="J53" s="19"/>
      <c r="L53" s="20"/>
      <c r="M53" s="20"/>
      <c r="N53" s="20"/>
      <c r="P53" s="19"/>
      <c r="Q53" s="19"/>
      <c r="R53" s="19"/>
    </row>
    <row r="54" customFormat="false" ht="15.75" hidden="false" customHeight="true" outlineLevel="0" collapsed="false">
      <c r="D54" s="22"/>
      <c r="M54" s="23"/>
      <c r="N54" s="23"/>
      <c r="O54" s="22"/>
      <c r="P54" s="24"/>
      <c r="Q54" s="22"/>
    </row>
    <row r="55" customFormat="false" ht="15.75" hidden="false" customHeight="true" outlineLevel="0" collapsed="false">
      <c r="D55" s="22"/>
      <c r="M55" s="23"/>
      <c r="N55" s="23"/>
      <c r="O55" s="22"/>
      <c r="P55" s="24"/>
      <c r="Q55" s="22"/>
    </row>
    <row r="56" customFormat="false" ht="15.75" hidden="false" customHeight="true" outlineLevel="0" collapsed="false">
      <c r="D56" s="22"/>
      <c r="M56" s="23"/>
      <c r="N56" s="23"/>
      <c r="O56" s="22"/>
      <c r="P56" s="25"/>
      <c r="Q56" s="22"/>
    </row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2:E2"/>
    <mergeCell ref="G2:J2"/>
    <mergeCell ref="L2:N2"/>
  </mergeCells>
  <conditionalFormatting sqref="M54:N56 L4:M53">
    <cfRule type="expression" priority="2" aboveAverage="0" equalAverage="0" bottom="0" percent="0" rank="0" text="" dxfId="0">
      <formula>ABS(L4)&gt;=10%</formula>
    </cfRule>
  </conditionalFormatting>
  <conditionalFormatting sqref="N4:N53">
    <cfRule type="expression" priority="3" aboveAverage="0" equalAverage="0" bottom="0" percent="0" rank="0" text="" dxfId="1">
      <formula>ABS(N4)&gt;=10%</formula>
    </cfRule>
  </conditionalFormatting>
  <conditionalFormatting sqref="T4:T32">
    <cfRule type="containsText" priority="4" operator="containsText" aboveAverage="0" equalAverage="0" bottom="0" percent="0" rank="0" text="NO" dxfId="2">
      <formula>NOT(ISERROR(SEARCH("NO",T4)))</formula>
    </cfRule>
    <cfRule type="containsText" priority="5" operator="containsText" aboveAverage="0" equalAverage="0" bottom="0" percent="0" rank="0" text="SI" dxfId="3">
      <formula>NOT(ISERROR(SEARCH("SI",T4)))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Y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14.5078125" defaultRowHeight="15" zeroHeight="false" outlineLevelRow="0" outlineLevelCol="0"/>
  <cols>
    <col collapsed="false" customWidth="true" hidden="false" outlineLevel="0" max="13" min="1" style="1" width="11.5"/>
    <col collapsed="false" customWidth="true" hidden="false" outlineLevel="0" max="14" min="14" style="1" width="17.67"/>
    <col collapsed="false" customWidth="true" hidden="false" outlineLevel="0" max="26" min="15" style="1" width="11.5"/>
  </cols>
  <sheetData>
    <row r="6" customFormat="false" ht="13.8" hidden="false" customHeight="false" outlineLevel="0" collapsed="false">
      <c r="C6" s="181" t="n">
        <f aca="false">Flujos!H21</f>
        <v>30400.126227</v>
      </c>
      <c r="D6" s="183"/>
      <c r="E6" s="183"/>
      <c r="H6" s="181" t="n">
        <f aca="false">Flujos!H24</f>
        <v>19699.439776</v>
      </c>
      <c r="K6" s="181" t="n">
        <f aca="false">Flujos!H26</f>
        <v>19779.46</v>
      </c>
    </row>
    <row r="7" customFormat="false" ht="13.8" hidden="false" customHeight="false" outlineLevel="0" collapsed="false">
      <c r="C7" s="182" t="n">
        <f aca="false">Flujos!I21</f>
        <v>0.3972078</v>
      </c>
      <c r="D7" s="211" t="n">
        <f aca="false">Flujos!J21</f>
        <v>0.3629439</v>
      </c>
      <c r="E7" s="183"/>
      <c r="H7" s="182" t="n">
        <f aca="false">Flujos!I24</f>
        <v>0.48497917266</v>
      </c>
      <c r="I7" s="212" t="n">
        <f aca="false">Flujos!J24</f>
        <v>0.45184507575</v>
      </c>
      <c r="J7" s="186" t="n">
        <f aca="false">Flujos!H25</f>
        <v>-80.020224414</v>
      </c>
      <c r="K7" s="182" t="n">
        <f aca="false">Flujos!I26</f>
        <v>0.48488741283</v>
      </c>
      <c r="L7" s="22" t="n">
        <f aca="false">Flujos!J26</f>
        <v>0.45177181688</v>
      </c>
      <c r="P7" s="213" t="s">
        <v>188</v>
      </c>
      <c r="Q7" s="214" t="n">
        <f aca="false">+H6/(C6+C14)</f>
        <v>0.494741698246987</v>
      </c>
    </row>
    <row r="8" customFormat="false" ht="13.8" hidden="false" customHeight="false" outlineLevel="0" collapsed="false">
      <c r="C8" s="184" t="n">
        <f aca="false">C6*C7</f>
        <v>12075.167258349</v>
      </c>
      <c r="D8" s="215" t="n">
        <f aca="false">D7*C6</f>
        <v>11033.5403733197</v>
      </c>
      <c r="E8" s="183"/>
      <c r="H8" s="184" t="n">
        <f aca="false">H7*H6</f>
        <v>9553.81800442998</v>
      </c>
      <c r="I8" s="216" t="n">
        <f aca="false">I7*H6</f>
        <v>8901.09485781928</v>
      </c>
      <c r="J8" s="217" t="n">
        <f aca="false">Flujos!H25*Flujos!I25</f>
        <v>-36.993182440307</v>
      </c>
      <c r="K8" s="184" t="n">
        <f aca="false">K7*K6</f>
        <v>9590.81118657447</v>
      </c>
      <c r="L8" s="46" t="n">
        <f aca="false">K6*L7</f>
        <v>8935.80258110528</v>
      </c>
      <c r="P8" s="213" t="s">
        <v>189</v>
      </c>
      <c r="Q8" s="214" t="n">
        <f aca="false">+H17/(C6+C14)</f>
        <v>0.223990720076881</v>
      </c>
    </row>
    <row r="9" customFormat="false" ht="13.8" hidden="false" customHeight="false" outlineLevel="0" collapsed="false">
      <c r="C9" s="183"/>
      <c r="D9" s="183"/>
      <c r="E9" s="183"/>
      <c r="J9" s="216" t="n">
        <f aca="false">Flujos!H25*Flujos!J25</f>
        <v>-34.7077235128907</v>
      </c>
    </row>
    <row r="10" customFormat="false" ht="13.8" hidden="false" customHeight="false" outlineLevel="0" collapsed="false">
      <c r="C10" s="183"/>
      <c r="D10" s="183"/>
      <c r="E10" s="183"/>
    </row>
    <row r="11" customFormat="false" ht="13.8" hidden="false" customHeight="false" outlineLevel="0" collapsed="false">
      <c r="A11" s="181" t="n">
        <f aca="false">Flujos!H23</f>
        <v>100.04235959</v>
      </c>
      <c r="B11" s="183"/>
      <c r="C11" s="183"/>
      <c r="D11" s="183"/>
      <c r="E11" s="183"/>
    </row>
    <row r="12" customFormat="false" ht="13.8" hidden="false" customHeight="false" outlineLevel="0" collapsed="false">
      <c r="A12" s="182" t="n">
        <f aca="false">Flujos!I23</f>
        <v>0.43449836238</v>
      </c>
      <c r="B12" s="211" t="n">
        <f aca="false">Flujos!J23</f>
        <v>0.3836783845</v>
      </c>
      <c r="C12" s="183"/>
      <c r="D12" s="183"/>
      <c r="E12" s="183"/>
    </row>
    <row r="13" customFormat="false" ht="13.8" hidden="false" customHeight="false" outlineLevel="0" collapsed="false">
      <c r="A13" s="184" t="n">
        <f aca="false">A12*A11</f>
        <v>43.4682414104861</v>
      </c>
      <c r="B13" s="215" t="n">
        <f aca="false">B12*A11</f>
        <v>38.3840909090593</v>
      </c>
      <c r="C13" s="183"/>
      <c r="D13" s="183"/>
      <c r="E13" s="183"/>
    </row>
    <row r="14" customFormat="false" ht="15" hidden="false" customHeight="false" outlineLevel="0" collapsed="false">
      <c r="C14" s="181" t="n">
        <f aca="false">Flujos!H22</f>
        <v>9417.4995074</v>
      </c>
      <c r="D14" s="183"/>
      <c r="E14" s="183"/>
      <c r="P14" s="188" t="s">
        <v>171</v>
      </c>
    </row>
    <row r="15" customFormat="false" ht="17.35" hidden="false" customHeight="false" outlineLevel="0" collapsed="false">
      <c r="C15" s="182" t="n">
        <f aca="false">Flujos!I22</f>
        <v>0.40655721847</v>
      </c>
      <c r="D15" s="211" t="n">
        <f aca="false">Flujos!J22</f>
        <v>0.36106455251</v>
      </c>
      <c r="E15" s="183"/>
      <c r="P15" s="189" t="s">
        <v>172</v>
      </c>
      <c r="Q15" s="189"/>
      <c r="R15" s="189"/>
      <c r="S15" s="190" t="s">
        <v>173</v>
      </c>
      <c r="T15" s="190"/>
      <c r="U15" s="190"/>
      <c r="V15" s="191" t="s">
        <v>174</v>
      </c>
      <c r="W15" s="191"/>
      <c r="X15" s="191"/>
      <c r="Y15" s="191"/>
    </row>
    <row r="16" customFormat="false" ht="13.8" hidden="false" customHeight="true" outlineLevel="0" collapsed="false">
      <c r="C16" s="184" t="n">
        <f aca="false">C15*C14</f>
        <v>3828.75240467114</v>
      </c>
      <c r="D16" s="215" t="n">
        <f aca="false">D15*C14</f>
        <v>3400.32524540253</v>
      </c>
      <c r="E16" s="183"/>
      <c r="P16" s="192" t="s">
        <v>190</v>
      </c>
      <c r="Q16" s="192"/>
      <c r="R16" s="193" t="n">
        <f aca="false">+C6</f>
        <v>30400.126227</v>
      </c>
      <c r="S16" s="192" t="s">
        <v>191</v>
      </c>
      <c r="T16" s="192"/>
      <c r="U16" s="194" t="n">
        <f aca="false">+J7</f>
        <v>-80.020224414</v>
      </c>
      <c r="V16" s="195" t="s">
        <v>192</v>
      </c>
      <c r="W16" s="195"/>
      <c r="X16" s="195"/>
      <c r="Y16" s="194" t="n">
        <f aca="false">+K6</f>
        <v>19779.46</v>
      </c>
    </row>
    <row r="17" customFormat="false" ht="13.8" hidden="false" customHeight="true" outlineLevel="0" collapsed="false">
      <c r="C17" s="183"/>
      <c r="D17" s="183"/>
      <c r="E17" s="181" t="n">
        <f aca="false">Flujos!H29</f>
        <v>7855.43</v>
      </c>
      <c r="H17" s="181" t="n">
        <f aca="false">Flujos!H27</f>
        <v>8918.77866</v>
      </c>
      <c r="K17" s="181" t="n">
        <f aca="false">Flujos!H29</f>
        <v>7855.43</v>
      </c>
      <c r="P17" s="192" t="s">
        <v>193</v>
      </c>
      <c r="Q17" s="192"/>
      <c r="R17" s="193" t="n">
        <f aca="false">+C14</f>
        <v>9417.4995074</v>
      </c>
      <c r="S17" s="195" t="s">
        <v>194</v>
      </c>
      <c r="T17" s="195"/>
      <c r="U17" s="194" t="n">
        <f aca="false">+J18</f>
        <v>1063.34866</v>
      </c>
      <c r="V17" s="195" t="s">
        <v>195</v>
      </c>
      <c r="W17" s="195"/>
      <c r="X17" s="195"/>
      <c r="Y17" s="194" t="n">
        <f aca="false">+K17</f>
        <v>7855.43</v>
      </c>
    </row>
    <row r="18" customFormat="false" ht="13.8" hidden="false" customHeight="true" outlineLevel="0" collapsed="false">
      <c r="C18" s="183"/>
      <c r="D18" s="183"/>
      <c r="E18" s="182" t="n">
        <f aca="false">Flujos!I29</f>
        <v>0.48161296102</v>
      </c>
      <c r="F18" s="22" t="n">
        <f aca="false">Flujos!J29</f>
        <v>0.43922445055</v>
      </c>
      <c r="H18" s="182" t="n">
        <f aca="false">Flujos!I27</f>
        <v>0.48053918216</v>
      </c>
      <c r="I18" s="212" t="n">
        <f aca="false">Flujos!J27</f>
        <v>0.43840869993</v>
      </c>
      <c r="J18" s="186" t="n">
        <f aca="false">Flujos!H28</f>
        <v>1063.34866</v>
      </c>
      <c r="K18" s="182" t="n">
        <f aca="false">Flujos!I29</f>
        <v>0.48161296102</v>
      </c>
      <c r="L18" s="212" t="n">
        <f aca="false">Flujos!J29</f>
        <v>0.43922445055</v>
      </c>
      <c r="P18" s="192" t="s">
        <v>123</v>
      </c>
      <c r="Q18" s="192"/>
      <c r="R18" s="193" t="n">
        <f aca="false">A11</f>
        <v>100.04235959</v>
      </c>
      <c r="S18" s="195" t="s">
        <v>161</v>
      </c>
      <c r="T18" s="195"/>
      <c r="U18" s="194" t="n">
        <f aca="false">+E27</f>
        <v>173.44965791</v>
      </c>
      <c r="V18" s="195" t="s">
        <v>196</v>
      </c>
      <c r="W18" s="195"/>
      <c r="X18" s="195"/>
      <c r="Y18" s="194" t="n">
        <f aca="false">+H26</f>
        <v>11126</v>
      </c>
    </row>
    <row r="19" customFormat="false" ht="17.35" hidden="false" customHeight="false" outlineLevel="0" collapsed="false">
      <c r="C19" s="183"/>
      <c r="D19" s="183"/>
      <c r="E19" s="184" t="n">
        <f aca="false">E17*E18</f>
        <v>3783.27690238534</v>
      </c>
      <c r="F19" s="46" t="n">
        <f aca="false">F18*E17</f>
        <v>3450.29692558399</v>
      </c>
      <c r="H19" s="184" t="n">
        <f aca="false">H18*H17</f>
        <v>4285.82260314246</v>
      </c>
      <c r="I19" s="216" t="n">
        <f aca="false">I18*H17</f>
        <v>3910.07015729403</v>
      </c>
      <c r="J19" s="217" t="n">
        <f aca="false">Flujos!H28*Flujos!I28</f>
        <v>502.545700875551</v>
      </c>
      <c r="K19" s="184" t="n">
        <f aca="false">K18*K17</f>
        <v>3783.27690238534</v>
      </c>
      <c r="L19" s="216" t="n">
        <f aca="false">L18*K17</f>
        <v>3450.29692558399</v>
      </c>
      <c r="P19" s="198" t="s">
        <v>182</v>
      </c>
      <c r="Q19" s="198"/>
      <c r="R19" s="199" t="n">
        <f aca="false">+SUM(R16:R18)</f>
        <v>39917.66809399</v>
      </c>
      <c r="S19" s="200" t="s">
        <v>183</v>
      </c>
      <c r="T19" s="200"/>
      <c r="U19" s="201" t="n">
        <f aca="false">+SUM(U16:U18)</f>
        <v>1156.778093496</v>
      </c>
      <c r="V19" s="200"/>
      <c r="W19" s="200"/>
      <c r="X19" s="200"/>
      <c r="Y19" s="199" t="n">
        <f aca="false">+SUM(Y16:Y18)</f>
        <v>38760.89</v>
      </c>
    </row>
    <row r="20" customFormat="false" ht="13.8" hidden="false" customHeight="false" outlineLevel="0" collapsed="false">
      <c r="C20" s="183"/>
      <c r="D20" s="183"/>
      <c r="E20" s="183"/>
      <c r="J20" s="216" t="n">
        <f aca="false">Flujos!H28*Flujos!J28</f>
        <v>459.773231855952</v>
      </c>
    </row>
    <row r="21" customFormat="false" ht="15.75" hidden="false" customHeight="true" outlineLevel="0" collapsed="false">
      <c r="C21" s="183"/>
      <c r="D21" s="183"/>
      <c r="E21" s="183"/>
      <c r="U21" s="202" t="s">
        <v>184</v>
      </c>
      <c r="V21" s="203"/>
      <c r="W21" s="204"/>
      <c r="X21" s="203"/>
      <c r="Y21" s="205" t="n">
        <f aca="false">+R19-U19-Y19</f>
        <v>4.94001142214984E-007</v>
      </c>
    </row>
    <row r="22" customFormat="false" ht="15.75" hidden="false" customHeight="true" outlineLevel="0" collapsed="false">
      <c r="C22" s="183"/>
      <c r="D22" s="183"/>
      <c r="E22" s="183"/>
    </row>
    <row r="23" customFormat="false" ht="15.75" hidden="false" customHeight="true" outlineLevel="0" collapsed="false">
      <c r="C23" s="183"/>
      <c r="D23" s="183"/>
      <c r="E23" s="183"/>
    </row>
    <row r="24" customFormat="false" ht="15.75" hidden="false" customHeight="true" outlineLevel="0" collapsed="false">
      <c r="C24" s="183"/>
      <c r="D24" s="183"/>
      <c r="E24" s="183"/>
    </row>
    <row r="25" customFormat="false" ht="15.75" hidden="false" customHeight="true" outlineLevel="0" collapsed="false">
      <c r="C25" s="183"/>
      <c r="D25" s="183"/>
      <c r="E25" s="183"/>
    </row>
    <row r="26" customFormat="false" ht="15.75" hidden="false" customHeight="true" outlineLevel="0" collapsed="false">
      <c r="C26" s="183"/>
      <c r="D26" s="183"/>
      <c r="E26" s="183"/>
      <c r="H26" s="181" t="n">
        <f aca="false">Flujos!H32</f>
        <v>11126</v>
      </c>
      <c r="P26" s="188" t="s">
        <v>197</v>
      </c>
    </row>
    <row r="27" customFormat="false" ht="15.75" hidden="false" customHeight="true" outlineLevel="0" collapsed="false">
      <c r="C27" s="183"/>
      <c r="D27" s="183"/>
      <c r="E27" s="186" t="n">
        <f aca="false">Flujos!H31</f>
        <v>173.44965791</v>
      </c>
      <c r="H27" s="182" t="n">
        <f aca="false">Flujos!I32</f>
        <v>0.18638145</v>
      </c>
      <c r="I27" s="22" t="n">
        <f aca="false">Flujos!J32</f>
        <v>0.14711445</v>
      </c>
      <c r="P27" s="206" t="s">
        <v>172</v>
      </c>
      <c r="Q27" s="206"/>
      <c r="R27" s="206"/>
      <c r="S27" s="207" t="s">
        <v>173</v>
      </c>
      <c r="T27" s="207"/>
      <c r="U27" s="207"/>
      <c r="V27" s="208" t="s">
        <v>174</v>
      </c>
      <c r="W27" s="208"/>
      <c r="X27" s="208"/>
      <c r="Y27" s="208"/>
    </row>
    <row r="28" customFormat="false" ht="15.75" hidden="false" customHeight="true" outlineLevel="0" collapsed="false">
      <c r="C28" s="183"/>
      <c r="D28" s="183"/>
      <c r="E28" s="217" t="n">
        <f aca="false">Flujos!H31*Flujos!I31</f>
        <v>34.0672749527751</v>
      </c>
      <c r="H28" s="184" t="n">
        <f aca="false">H27*H26</f>
        <v>2073.6800127</v>
      </c>
      <c r="I28" s="46" t="n">
        <f aca="false">I27*H26</f>
        <v>1636.7953707</v>
      </c>
      <c r="P28" s="192" t="s">
        <v>190</v>
      </c>
      <c r="Q28" s="192"/>
      <c r="R28" s="193" t="n">
        <f aca="false">+C8</f>
        <v>12075.167258349</v>
      </c>
      <c r="S28" s="192" t="s">
        <v>191</v>
      </c>
      <c r="T28" s="192"/>
      <c r="U28" s="194" t="n">
        <f aca="false">+J8</f>
        <v>-36.993182440307</v>
      </c>
      <c r="V28" s="195" t="s">
        <v>192</v>
      </c>
      <c r="W28" s="195"/>
      <c r="X28" s="195"/>
      <c r="Y28" s="194" t="n">
        <f aca="false">+K8</f>
        <v>9590.81118657447</v>
      </c>
    </row>
    <row r="29" customFormat="false" ht="15.75" hidden="false" customHeight="true" outlineLevel="0" collapsed="false">
      <c r="C29" s="183"/>
      <c r="D29" s="183"/>
      <c r="E29" s="216" t="n">
        <f aca="false">Flujos!H31*Flujos!J31</f>
        <v>24.2893145357166</v>
      </c>
      <c r="P29" s="192" t="s">
        <v>193</v>
      </c>
      <c r="Q29" s="192"/>
      <c r="R29" s="193" t="n">
        <f aca="false">+C16</f>
        <v>3828.75240467114</v>
      </c>
      <c r="S29" s="195" t="s">
        <v>194</v>
      </c>
      <c r="T29" s="195"/>
      <c r="U29" s="194" t="n">
        <f aca="false">+J19</f>
        <v>502.545700875551</v>
      </c>
      <c r="V29" s="195" t="s">
        <v>195</v>
      </c>
      <c r="W29" s="195"/>
      <c r="X29" s="195"/>
      <c r="Y29" s="194" t="n">
        <f aca="false">+K19</f>
        <v>3783.27690238534</v>
      </c>
    </row>
    <row r="30" customFormat="false" ht="15.75" hidden="false" customHeight="true" outlineLevel="0" collapsed="false">
      <c r="C30" s="183"/>
      <c r="D30" s="183"/>
      <c r="E30" s="183"/>
      <c r="P30" s="192" t="s">
        <v>123</v>
      </c>
      <c r="Q30" s="192"/>
      <c r="R30" s="193" t="n">
        <f aca="false">A13</f>
        <v>43.4682414104861</v>
      </c>
      <c r="S30" s="195" t="s">
        <v>161</v>
      </c>
      <c r="T30" s="195"/>
      <c r="U30" s="194" t="n">
        <f aca="false">+E28</f>
        <v>34.0672749527751</v>
      </c>
      <c r="V30" s="195" t="s">
        <v>196</v>
      </c>
      <c r="W30" s="195"/>
      <c r="X30" s="195"/>
      <c r="Y30" s="194" t="n">
        <f aca="false">+H28</f>
        <v>2073.6800127</v>
      </c>
    </row>
    <row r="31" customFormat="false" ht="15.75" hidden="false" customHeight="true" outlineLevel="0" collapsed="false">
      <c r="C31" s="183"/>
      <c r="D31" s="183"/>
      <c r="E31" s="183"/>
      <c r="P31" s="198" t="s">
        <v>182</v>
      </c>
      <c r="Q31" s="198"/>
      <c r="R31" s="199" t="n">
        <f aca="false">+SUM(R28:R30)</f>
        <v>15947.3879044306</v>
      </c>
      <c r="S31" s="200" t="s">
        <v>183</v>
      </c>
      <c r="T31" s="200"/>
      <c r="U31" s="201" t="n">
        <f aca="false">+SUM(U28:U30)</f>
        <v>499.61979338802</v>
      </c>
      <c r="V31" s="200"/>
      <c r="W31" s="200"/>
      <c r="X31" s="200"/>
      <c r="Y31" s="199" t="n">
        <f aca="false">+SUM(Y28:Y30)</f>
        <v>15447.7681016598</v>
      </c>
    </row>
    <row r="32" customFormat="false" ht="15.75" hidden="false" customHeight="true" outlineLevel="0" collapsed="false">
      <c r="C32" s="183"/>
      <c r="D32" s="183"/>
      <c r="E32" s="183"/>
    </row>
    <row r="33" customFormat="false" ht="15.75" hidden="false" customHeight="true" outlineLevel="0" collapsed="false">
      <c r="C33" s="183"/>
      <c r="D33" s="183"/>
      <c r="E33" s="183"/>
      <c r="U33" s="202" t="s">
        <v>184</v>
      </c>
      <c r="V33" s="203"/>
      <c r="W33" s="204"/>
      <c r="X33" s="203"/>
      <c r="Y33" s="205" t="n">
        <f aca="false">+R31-U31-Y31</f>
        <v>9.38276571105234E-006</v>
      </c>
    </row>
    <row r="34" customFormat="false" ht="15.75" hidden="false" customHeight="true" outlineLevel="0" collapsed="false">
      <c r="C34" s="183"/>
      <c r="D34" s="183"/>
      <c r="E34" s="183"/>
    </row>
    <row r="35" customFormat="false" ht="15.75" hidden="false" customHeight="true" outlineLevel="0" collapsed="false">
      <c r="C35" s="183"/>
      <c r="D35" s="183"/>
      <c r="E35" s="183"/>
    </row>
    <row r="36" customFormat="false" ht="15.75" hidden="false" customHeight="true" outlineLevel="0" collapsed="false">
      <c r="C36" s="183"/>
      <c r="D36" s="183"/>
      <c r="E36" s="183"/>
    </row>
    <row r="37" customFormat="false" ht="15.75" hidden="false" customHeight="true" outlineLevel="0" collapsed="false">
      <c r="C37" s="183"/>
      <c r="D37" s="183"/>
      <c r="E37" s="183"/>
    </row>
    <row r="38" customFormat="false" ht="15.75" hidden="false" customHeight="true" outlineLevel="0" collapsed="false">
      <c r="C38" s="183"/>
      <c r="D38" s="183"/>
      <c r="E38" s="183"/>
      <c r="P38" s="188" t="s">
        <v>198</v>
      </c>
    </row>
    <row r="39" customFormat="false" ht="15.75" hidden="false" customHeight="true" outlineLevel="0" collapsed="false">
      <c r="C39" s="183"/>
      <c r="D39" s="183"/>
      <c r="E39" s="183"/>
      <c r="P39" s="206" t="s">
        <v>172</v>
      </c>
      <c r="Q39" s="206"/>
      <c r="R39" s="206"/>
      <c r="S39" s="207" t="s">
        <v>173</v>
      </c>
      <c r="T39" s="207"/>
      <c r="U39" s="207"/>
      <c r="V39" s="208" t="s">
        <v>174</v>
      </c>
      <c r="W39" s="208"/>
      <c r="X39" s="208"/>
      <c r="Y39" s="208"/>
    </row>
    <row r="40" customFormat="false" ht="15.75" hidden="false" customHeight="true" outlineLevel="0" collapsed="false">
      <c r="C40" s="183"/>
      <c r="D40" s="183"/>
      <c r="E40" s="183"/>
      <c r="P40" s="192" t="s">
        <v>190</v>
      </c>
      <c r="Q40" s="192"/>
      <c r="R40" s="193" t="n">
        <f aca="false">+D8</f>
        <v>11033.5403733197</v>
      </c>
      <c r="S40" s="192" t="s">
        <v>191</v>
      </c>
      <c r="T40" s="192"/>
      <c r="U40" s="194" t="n">
        <f aca="false">+J9</f>
        <v>-34.7077235128907</v>
      </c>
      <c r="V40" s="195" t="s">
        <v>192</v>
      </c>
      <c r="W40" s="195"/>
      <c r="X40" s="195"/>
      <c r="Y40" s="194" t="n">
        <f aca="false">+L8</f>
        <v>8935.80258110528</v>
      </c>
    </row>
    <row r="41" customFormat="false" ht="15.75" hidden="false" customHeight="true" outlineLevel="0" collapsed="false">
      <c r="C41" s="183"/>
      <c r="D41" s="183"/>
      <c r="E41" s="183"/>
      <c r="P41" s="192" t="s">
        <v>193</v>
      </c>
      <c r="Q41" s="192"/>
      <c r="R41" s="193" t="n">
        <f aca="false">+D16</f>
        <v>3400.32524540253</v>
      </c>
      <c r="S41" s="195" t="s">
        <v>194</v>
      </c>
      <c r="T41" s="195"/>
      <c r="U41" s="194" t="n">
        <f aca="false">+J20</f>
        <v>459.773231855952</v>
      </c>
      <c r="V41" s="195" t="s">
        <v>195</v>
      </c>
      <c r="W41" s="195"/>
      <c r="X41" s="195"/>
      <c r="Y41" s="194" t="n">
        <f aca="false">+L19</f>
        <v>3450.29692558399</v>
      </c>
    </row>
    <row r="42" customFormat="false" ht="15.75" hidden="false" customHeight="true" outlineLevel="0" collapsed="false">
      <c r="C42" s="183"/>
      <c r="D42" s="183"/>
      <c r="E42" s="183"/>
      <c r="P42" s="192" t="s">
        <v>123</v>
      </c>
      <c r="Q42" s="192"/>
      <c r="R42" s="193" t="n">
        <f aca="false">B13</f>
        <v>38.3840909090593</v>
      </c>
      <c r="S42" s="195" t="s">
        <v>161</v>
      </c>
      <c r="T42" s="195"/>
      <c r="U42" s="194" t="n">
        <f aca="false">+E29</f>
        <v>24.2893145357166</v>
      </c>
      <c r="V42" s="195" t="s">
        <v>196</v>
      </c>
      <c r="W42" s="195"/>
      <c r="X42" s="195"/>
      <c r="Y42" s="194" t="n">
        <f aca="false">+I28</f>
        <v>1636.7953707</v>
      </c>
    </row>
    <row r="43" customFormat="false" ht="15.75" hidden="false" customHeight="true" outlineLevel="0" collapsed="false">
      <c r="C43" s="183"/>
      <c r="D43" s="183"/>
      <c r="E43" s="183"/>
      <c r="P43" s="198" t="s">
        <v>182</v>
      </c>
      <c r="Q43" s="198"/>
      <c r="R43" s="199" t="n">
        <f aca="false">+SUM(R40:R42)</f>
        <v>14472.2497096313</v>
      </c>
      <c r="S43" s="200" t="s">
        <v>183</v>
      </c>
      <c r="T43" s="200"/>
      <c r="U43" s="201" t="n">
        <f aca="false">+SUM(U40:U42)</f>
        <v>449.354822878778</v>
      </c>
      <c r="V43" s="200"/>
      <c r="W43" s="200"/>
      <c r="X43" s="200"/>
      <c r="Y43" s="199" t="n">
        <f aca="false">+SUM(Y40:Y42)</f>
        <v>14022.8948773893</v>
      </c>
    </row>
    <row r="44" customFormat="false" ht="15.75" hidden="false" customHeight="true" outlineLevel="0" collapsed="false"/>
    <row r="45" customFormat="false" ht="15.75" hidden="false" customHeight="true" outlineLevel="0" collapsed="false">
      <c r="U45" s="202" t="s">
        <v>184</v>
      </c>
      <c r="V45" s="203"/>
      <c r="W45" s="204"/>
      <c r="X45" s="203"/>
      <c r="Y45" s="205" t="n">
        <f aca="false">+R43-U43-Y43</f>
        <v>9.36320248001721E-006</v>
      </c>
    </row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5">
    <mergeCell ref="P15:R15"/>
    <mergeCell ref="S15:U15"/>
    <mergeCell ref="V15:Y15"/>
    <mergeCell ref="P16:Q16"/>
    <mergeCell ref="S16:T16"/>
    <mergeCell ref="V16:X16"/>
    <mergeCell ref="P17:Q17"/>
    <mergeCell ref="S17:T17"/>
    <mergeCell ref="V17:X17"/>
    <mergeCell ref="P18:Q18"/>
    <mergeCell ref="S18:T18"/>
    <mergeCell ref="V18:X18"/>
    <mergeCell ref="P19:Q19"/>
    <mergeCell ref="S19:T19"/>
    <mergeCell ref="V19:X19"/>
    <mergeCell ref="P27:R27"/>
    <mergeCell ref="S27:U27"/>
    <mergeCell ref="V27:Y27"/>
    <mergeCell ref="P28:Q28"/>
    <mergeCell ref="S28:T28"/>
    <mergeCell ref="V28:X28"/>
    <mergeCell ref="P29:Q29"/>
    <mergeCell ref="S29:T29"/>
    <mergeCell ref="V29:X29"/>
    <mergeCell ref="P30:Q30"/>
    <mergeCell ref="S30:T30"/>
    <mergeCell ref="V30:X30"/>
    <mergeCell ref="P31:Q31"/>
    <mergeCell ref="S31:T31"/>
    <mergeCell ref="V31:X31"/>
    <mergeCell ref="P39:R39"/>
    <mergeCell ref="S39:U39"/>
    <mergeCell ref="V39:Y39"/>
    <mergeCell ref="P40:Q40"/>
    <mergeCell ref="S40:T40"/>
    <mergeCell ref="V40:X40"/>
    <mergeCell ref="P41:Q41"/>
    <mergeCell ref="S41:T41"/>
    <mergeCell ref="V41:X41"/>
    <mergeCell ref="P42:Q42"/>
    <mergeCell ref="S42:T42"/>
    <mergeCell ref="V42:X42"/>
    <mergeCell ref="P43:Q43"/>
    <mergeCell ref="S43:T43"/>
    <mergeCell ref="V43:X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C1000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K20" activeCellId="0" sqref="K20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30.83"/>
    <col collapsed="false" customWidth="true" hidden="false" outlineLevel="0" max="7" min="7" style="1" width="11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13" min="12" style="1" width="11.5"/>
    <col collapsed="false" customWidth="true" hidden="false" outlineLevel="0" max="14" min="14" style="1" width="12.5"/>
    <col collapsed="false" customWidth="true" hidden="false" outlineLevel="0" max="15" min="15" style="1" width="11.5"/>
    <col collapsed="false" customWidth="true" hidden="false" outlineLevel="0" max="16" min="16" style="1" width="15.33"/>
    <col collapsed="false" customWidth="true" hidden="false" outlineLevel="0" max="20" min="17" style="1" width="11.5"/>
    <col collapsed="false" customWidth="true" hidden="false" outlineLevel="0" max="21" min="21" style="1" width="19.83"/>
    <col collapsed="false" customWidth="true" hidden="false" outlineLevel="0" max="29" min="22" style="1" width="11.5"/>
  </cols>
  <sheetData>
    <row r="2" customFormat="false" ht="15" hidden="false" customHeight="false" outlineLevel="0" collapsed="false">
      <c r="G2" s="218"/>
      <c r="H2" s="218"/>
      <c r="I2" s="218"/>
      <c r="J2" s="218"/>
      <c r="K2" s="218"/>
    </row>
    <row r="3" customFormat="false" ht="15" hidden="false" customHeight="false" outlineLevel="0" collapsed="false">
      <c r="E3" s="33"/>
      <c r="F3" s="33"/>
      <c r="G3" s="26"/>
      <c r="H3" s="26"/>
      <c r="I3" s="26"/>
      <c r="J3" s="26"/>
      <c r="K3" s="26"/>
    </row>
    <row r="4" customFormat="false" ht="15" hidden="false" customHeight="false" outlineLevel="0" collapsed="false">
      <c r="E4" s="33"/>
      <c r="F4" s="33"/>
      <c r="G4" s="26"/>
      <c r="H4" s="26"/>
      <c r="I4" s="26"/>
      <c r="J4" s="26"/>
      <c r="K4" s="26"/>
    </row>
    <row r="5" customFormat="false" ht="15" hidden="false" customHeight="false" outlineLevel="0" collapsed="false">
      <c r="E5" s="33"/>
      <c r="F5" s="33"/>
      <c r="G5" s="26"/>
      <c r="H5" s="26"/>
      <c r="I5" s="26"/>
      <c r="J5" s="26"/>
      <c r="K5" s="26"/>
    </row>
    <row r="6" customFormat="false" ht="15" hidden="false" customHeight="false" outlineLevel="0" collapsed="false">
      <c r="E6" s="33"/>
      <c r="F6" s="33"/>
      <c r="G6" s="26"/>
      <c r="H6" s="26"/>
      <c r="I6" s="26"/>
      <c r="J6" s="26"/>
      <c r="K6" s="26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</row>
    <row r="7" customFormat="false" ht="15" hidden="false" customHeight="false" outlineLevel="0" collapsed="false">
      <c r="E7" s="33"/>
      <c r="F7" s="33"/>
      <c r="G7" s="26"/>
      <c r="H7" s="26"/>
      <c r="I7" s="26"/>
      <c r="J7" s="26"/>
      <c r="K7" s="26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</row>
    <row r="8" customFormat="false" ht="15" hidden="false" customHeight="false" outlineLevel="0" collapsed="false">
      <c r="E8" s="33"/>
      <c r="F8" s="33"/>
      <c r="G8" s="26"/>
      <c r="H8" s="26"/>
      <c r="I8" s="26"/>
      <c r="J8" s="26"/>
      <c r="K8" s="26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customFormat="false" ht="15" hidden="false" customHeight="false" outlineLevel="0" collapsed="false">
      <c r="E9" s="33"/>
      <c r="F9" s="33"/>
      <c r="G9" s="26"/>
      <c r="H9" s="26"/>
      <c r="I9" s="26"/>
      <c r="J9" s="26"/>
      <c r="K9" s="26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46"/>
      <c r="Z9" s="46"/>
      <c r="AA9" s="33"/>
      <c r="AB9" s="33"/>
      <c r="AC9" s="33"/>
    </row>
    <row r="10" customFormat="false" ht="15" hidden="false" customHeight="false" outlineLevel="0" collapsed="false">
      <c r="E10" s="33"/>
      <c r="F10" s="33"/>
      <c r="G10" s="26"/>
      <c r="H10" s="26"/>
      <c r="I10" s="26"/>
      <c r="J10" s="26"/>
      <c r="K10" s="26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46"/>
      <c r="Z10" s="46"/>
      <c r="AA10" s="33"/>
      <c r="AB10" s="33"/>
      <c r="AC10" s="33"/>
    </row>
    <row r="11" customFormat="false" ht="15" hidden="false" customHeight="false" outlineLevel="0" collapsed="false">
      <c r="E11" s="33"/>
      <c r="F11" s="33"/>
      <c r="G11" s="26"/>
      <c r="H11" s="26"/>
      <c r="I11" s="26"/>
      <c r="J11" s="26"/>
      <c r="K11" s="26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46"/>
      <c r="Z11" s="46"/>
      <c r="AA11" s="33"/>
      <c r="AB11" s="33"/>
      <c r="AC11" s="33"/>
    </row>
    <row r="12" customFormat="false" ht="15" hidden="false" customHeight="false" outlineLevel="0" collapsed="false">
      <c r="E12" s="33"/>
      <c r="F12" s="33"/>
      <c r="G12" s="26"/>
      <c r="H12" s="26"/>
      <c r="I12" s="26"/>
      <c r="J12" s="26"/>
      <c r="K12" s="26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46"/>
      <c r="Z12" s="46"/>
      <c r="AA12" s="33"/>
      <c r="AB12" s="33"/>
      <c r="AC12" s="33"/>
    </row>
    <row r="13" customFormat="false" ht="15" hidden="false" customHeight="false" outlineLevel="0" collapsed="false">
      <c r="E13" s="33"/>
      <c r="F13" s="33"/>
      <c r="G13" s="26"/>
      <c r="H13" s="26"/>
      <c r="I13" s="26"/>
      <c r="J13" s="26"/>
      <c r="K13" s="26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46"/>
      <c r="Z13" s="46"/>
      <c r="AA13" s="33"/>
      <c r="AB13" s="33"/>
      <c r="AC13" s="33"/>
    </row>
    <row r="14" customFormat="false" ht="15" hidden="false" customHeight="false" outlineLevel="0" collapsed="false">
      <c r="E14" s="33"/>
      <c r="F14" s="33"/>
      <c r="G14" s="26"/>
      <c r="H14" s="26"/>
      <c r="I14" s="26"/>
      <c r="J14" s="26"/>
      <c r="K14" s="26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46"/>
      <c r="Z14" s="46"/>
      <c r="AA14" s="33"/>
      <c r="AB14" s="33"/>
      <c r="AC14" s="33"/>
    </row>
    <row r="15" customFormat="false" ht="15" hidden="false" customHeight="false" outlineLevel="0" collapsed="false">
      <c r="E15" s="33"/>
      <c r="F15" s="33"/>
      <c r="G15" s="26"/>
      <c r="H15" s="26"/>
      <c r="I15" s="26"/>
      <c r="J15" s="26"/>
      <c r="K15" s="26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46"/>
      <c r="Z15" s="46"/>
      <c r="AA15" s="33"/>
      <c r="AB15" s="33"/>
      <c r="AC15" s="33"/>
    </row>
    <row r="16" customFormat="false" ht="15" hidden="false" customHeight="false" outlineLevel="0" collapsed="false">
      <c r="E16" s="33"/>
      <c r="F16" s="33"/>
      <c r="G16" s="26"/>
      <c r="H16" s="26"/>
      <c r="I16" s="219" t="n">
        <f aca="false">+G24-J24</f>
        <v>19859.480224414</v>
      </c>
      <c r="J16" s="65"/>
      <c r="K16" s="26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46"/>
      <c r="Z16" s="46"/>
      <c r="AA16" s="33"/>
      <c r="AB16" s="33"/>
      <c r="AC16" s="33"/>
    </row>
    <row r="17" customFormat="false" ht="15" hidden="false" customHeight="false" outlineLevel="0" collapsed="false"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46"/>
      <c r="Z17" s="46"/>
      <c r="AA17" s="33"/>
      <c r="AB17" s="33"/>
      <c r="AC17" s="33"/>
    </row>
    <row r="18" customFormat="false" ht="18.75" hidden="false" customHeight="false" outlineLevel="0" collapsed="false">
      <c r="C18" s="33" t="n">
        <v>32846</v>
      </c>
      <c r="G18" s="160" t="s">
        <v>166</v>
      </c>
      <c r="H18" s="160"/>
      <c r="J18" s="174" t="s">
        <v>167</v>
      </c>
      <c r="K18" s="174"/>
      <c r="L18" s="174"/>
      <c r="M18" s="33"/>
      <c r="N18" s="162"/>
      <c r="O18" s="162"/>
      <c r="P18" s="33"/>
      <c r="Q18" s="33"/>
      <c r="R18" s="163"/>
      <c r="S18" s="33"/>
      <c r="T18" s="33"/>
      <c r="U18" s="33"/>
      <c r="V18" s="33"/>
      <c r="W18" s="33"/>
      <c r="X18" s="33"/>
      <c r="Y18" s="46"/>
      <c r="Z18" s="46"/>
      <c r="AA18" s="33"/>
      <c r="AB18" s="33"/>
      <c r="AC18" s="33"/>
    </row>
    <row r="19" customFormat="false" ht="15" hidden="false" customHeight="false" outlineLevel="0" collapsed="false">
      <c r="G19" s="164" t="s">
        <v>8</v>
      </c>
      <c r="H19" s="164" t="s">
        <v>56</v>
      </c>
      <c r="J19" s="175" t="s">
        <v>8</v>
      </c>
      <c r="K19" s="165" t="s">
        <v>56</v>
      </c>
      <c r="L19" s="176" t="s">
        <v>168</v>
      </c>
      <c r="M19" s="33"/>
      <c r="N19" s="26"/>
      <c r="O19" s="26"/>
      <c r="P19" s="166"/>
      <c r="Q19" s="167"/>
      <c r="R19" s="168"/>
      <c r="S19" s="167"/>
      <c r="T19" s="33"/>
      <c r="U19" s="33"/>
      <c r="V19" s="33"/>
      <c r="W19" s="33"/>
      <c r="X19" s="33"/>
      <c r="Y19" s="46"/>
      <c r="Z19" s="46"/>
      <c r="AA19" s="33"/>
      <c r="AB19" s="33"/>
      <c r="AC19" s="33"/>
    </row>
    <row r="20" customFormat="false" ht="15" hidden="false" customHeight="false" outlineLevel="0" collapsed="false">
      <c r="E20" s="33" t="n">
        <f aca="false">+E3</f>
        <v>0</v>
      </c>
      <c r="F20" s="33" t="n">
        <f aca="false">+F3</f>
        <v>0</v>
      </c>
      <c r="G20" s="169" t="n">
        <f aca="false">+'Info Planta'!D18</f>
        <v>26924</v>
      </c>
      <c r="H20" s="170" t="n">
        <f aca="false">+'Info Planta'!E18</f>
        <v>0.441342081414351</v>
      </c>
      <c r="I20" s="24"/>
      <c r="J20" s="105" t="n">
        <f aca="false">Utilidad!B18</f>
        <v>30400.126227</v>
      </c>
      <c r="K20" s="177" t="n">
        <f aca="false">IF(Utilidad!D18&gt;1,Utilidad!D18/100,Utilidad!D18)</f>
        <v>0.3972078</v>
      </c>
      <c r="L20" s="105" t="n">
        <f aca="false">+J20*K20</f>
        <v>12075.167258349</v>
      </c>
      <c r="M20" s="24"/>
      <c r="N20" s="22"/>
      <c r="O20" s="23"/>
      <c r="P20" s="22"/>
      <c r="Q20" s="167"/>
      <c r="R20" s="171"/>
      <c r="S20" s="167"/>
      <c r="T20" s="33"/>
      <c r="U20" s="33"/>
      <c r="V20" s="33"/>
      <c r="W20" s="33"/>
      <c r="X20" s="33"/>
      <c r="Y20" s="46"/>
      <c r="Z20" s="46"/>
      <c r="AA20" s="33"/>
      <c r="AB20" s="33"/>
      <c r="AC20" s="33"/>
    </row>
    <row r="21" customFormat="false" ht="15.75" hidden="false" customHeight="true" outlineLevel="0" collapsed="false">
      <c r="E21" s="33" t="n">
        <f aca="false">+E4</f>
        <v>0</v>
      </c>
      <c r="F21" s="33" t="n">
        <f aca="false">+F4</f>
        <v>0</v>
      </c>
      <c r="G21" s="169" t="n">
        <f aca="false">+'Info Planta'!D19</f>
        <v>9033</v>
      </c>
      <c r="H21" s="170" t="n">
        <f aca="false">+'Info Planta'!E19</f>
        <v>0.42468630576774</v>
      </c>
      <c r="J21" s="105" t="n">
        <f aca="false">Utilidad!B19</f>
        <v>9417.4995074</v>
      </c>
      <c r="K21" s="177" t="n">
        <f aca="false">IF(Utilidad!D19&gt;1,Utilidad!D19/100,Utilidad!D19)</f>
        <v>0.40655721847</v>
      </c>
      <c r="L21" s="105" t="n">
        <f aca="false">+J21*K21</f>
        <v>3828.75240467114</v>
      </c>
      <c r="M21" s="33"/>
      <c r="N21" s="22"/>
      <c r="O21" s="23"/>
      <c r="P21" s="22"/>
      <c r="Q21" s="167"/>
      <c r="R21" s="171"/>
      <c r="S21" s="167"/>
      <c r="T21" s="33"/>
      <c r="U21" s="33"/>
      <c r="V21" s="33"/>
      <c r="W21" s="33"/>
      <c r="X21" s="33"/>
      <c r="Y21" s="46"/>
      <c r="Z21" s="46"/>
      <c r="AA21" s="33"/>
      <c r="AB21" s="33"/>
      <c r="AC21" s="33"/>
    </row>
    <row r="22" customFormat="false" ht="15.75" hidden="false" customHeight="true" outlineLevel="0" collapsed="false">
      <c r="E22" s="33" t="n">
        <f aca="false">+E5</f>
        <v>0</v>
      </c>
      <c r="F22" s="33" t="n">
        <f aca="false">+F5</f>
        <v>0</v>
      </c>
      <c r="G22" s="169" t="n">
        <f aca="false">+G24+A23</f>
        <v>19699.46</v>
      </c>
      <c r="H22" s="170" t="n">
        <f aca="false">+IF(G22&lt;&gt;0,(G24*H24+A23*H23)/G22,0)</f>
        <v>0.4624</v>
      </c>
      <c r="J22" s="105" t="n">
        <f aca="false">Utilidad!B20</f>
        <v>100.04235959</v>
      </c>
      <c r="K22" s="177" t="n">
        <f aca="false">IF(Utilidad!D20&gt;1,Utilidad!D20/100,Utilidad!D20)</f>
        <v>0.43449836238</v>
      </c>
      <c r="L22" s="105" t="n">
        <f aca="false">+J22*K22</f>
        <v>43.4682414104861</v>
      </c>
      <c r="M22" s="33"/>
      <c r="N22" s="22"/>
      <c r="O22" s="23"/>
      <c r="P22" s="22"/>
      <c r="Q22" s="167"/>
      <c r="R22" s="171"/>
      <c r="S22" s="167"/>
      <c r="T22" s="33"/>
      <c r="U22" s="33"/>
      <c r="V22" s="33"/>
      <c r="W22" s="33"/>
      <c r="X22" s="33"/>
      <c r="Y22" s="46"/>
      <c r="Z22" s="46"/>
      <c r="AA22" s="33"/>
      <c r="AB22" s="33"/>
      <c r="AC22" s="33"/>
    </row>
    <row r="23" customFormat="false" ht="15.75" hidden="false" customHeight="true" outlineLevel="0" collapsed="false">
      <c r="A23" s="46" t="n">
        <f aca="false">+'Calc Nodos'!F8</f>
        <v>-80</v>
      </c>
      <c r="D23" s="33" t="n">
        <f aca="false">+IF(A23&gt;0,1,IF(A23&lt;&gt;0,-1,0))</f>
        <v>-1</v>
      </c>
      <c r="E23" s="33" t="n">
        <f aca="false">+E6</f>
        <v>0</v>
      </c>
      <c r="F23" s="133" t="n">
        <f aca="false">+F6</f>
        <v>0</v>
      </c>
      <c r="G23" s="169" t="n">
        <f aca="false">+ABS(A23)</f>
        <v>80</v>
      </c>
      <c r="H23" s="170" t="n">
        <f aca="false">+H24</f>
        <v>0.4624</v>
      </c>
      <c r="J23" s="105" t="n">
        <f aca="false">Utilidad!B21</f>
        <v>19699.439776</v>
      </c>
      <c r="K23" s="177" t="n">
        <f aca="false">IF(Utilidad!D21&gt;1,Utilidad!D21/100,Utilidad!D21)</f>
        <v>0.48497917266</v>
      </c>
      <c r="L23" s="105" t="n">
        <f aca="false">+J23*K23</f>
        <v>9553.81800442998</v>
      </c>
      <c r="M23" s="33"/>
      <c r="N23" s="22"/>
      <c r="O23" s="23"/>
      <c r="P23" s="22"/>
      <c r="Q23" s="167"/>
      <c r="R23" s="171"/>
      <c r="S23" s="167"/>
      <c r="T23" s="33"/>
      <c r="U23" s="33"/>
      <c r="V23" s="33"/>
      <c r="W23" s="33"/>
      <c r="X23" s="33"/>
      <c r="Y23" s="46"/>
      <c r="Z23" s="33"/>
      <c r="AA23" s="33"/>
      <c r="AB23" s="33"/>
      <c r="AC23" s="33"/>
    </row>
    <row r="24" customFormat="false" ht="15.75" hidden="false" customHeight="true" outlineLevel="0" collapsed="false">
      <c r="A24" s="46"/>
      <c r="B24" s="46"/>
      <c r="C24" s="46"/>
      <c r="E24" s="33" t="n">
        <f aca="false">+E7</f>
        <v>0</v>
      </c>
      <c r="F24" s="220" t="n">
        <f aca="false">+F7</f>
        <v>0</v>
      </c>
      <c r="G24" s="221" t="n">
        <f aca="false">+'Info Planta'!D24</f>
        <v>19779.46</v>
      </c>
      <c r="H24" s="222" t="n">
        <f aca="false">+'Info Planta'!E24</f>
        <v>0.4624</v>
      </c>
      <c r="I24" s="220"/>
      <c r="J24" s="105" t="n">
        <f aca="false">Utilidad!B22</f>
        <v>-80.020224414</v>
      </c>
      <c r="K24" s="177" t="n">
        <f aca="false">IF(Utilidad!D22&gt;1,Utilidad!D22/100,Utilidad!D22)</f>
        <v>0.4622979092</v>
      </c>
      <c r="L24" s="221" t="n">
        <f aca="false">+J24*K24</f>
        <v>-36.993182440307</v>
      </c>
      <c r="M24" s="33"/>
      <c r="N24" s="22"/>
      <c r="O24" s="23"/>
      <c r="P24" s="22"/>
      <c r="Q24" s="167"/>
      <c r="R24" s="171"/>
      <c r="S24" s="167"/>
      <c r="T24" s="33"/>
      <c r="U24" s="33"/>
      <c r="V24" s="33"/>
      <c r="W24" s="33"/>
      <c r="X24" s="33"/>
      <c r="Y24" s="46"/>
      <c r="Z24" s="33"/>
      <c r="AA24" s="33"/>
      <c r="AB24" s="33"/>
      <c r="AC24" s="33"/>
    </row>
    <row r="25" customFormat="false" ht="15.75" hidden="false" customHeight="true" outlineLevel="0" collapsed="false">
      <c r="E25" s="33" t="n">
        <f aca="false">+E8</f>
        <v>0</v>
      </c>
      <c r="F25" s="33" t="n">
        <f aca="false">+F8</f>
        <v>0</v>
      </c>
      <c r="G25" s="169" t="n">
        <f aca="false">+G27+A26</f>
        <v>8922.43</v>
      </c>
      <c r="H25" s="170" t="n">
        <f aca="false">+IF(G25&lt;&gt;0,(G27*H27+A26*H26)/G25,0)</f>
        <v>0.4712</v>
      </c>
      <c r="J25" s="105" t="n">
        <f aca="false">Utilidad!B23</f>
        <v>19779.46</v>
      </c>
      <c r="K25" s="177" t="n">
        <f aca="false">IF(Utilidad!D23&gt;1,Utilidad!D23/100,Utilidad!D23)</f>
        <v>0.48488741283</v>
      </c>
      <c r="L25" s="105" t="n">
        <f aca="false">+J25*K25</f>
        <v>9590.81118657447</v>
      </c>
      <c r="M25" s="33"/>
      <c r="N25" s="22"/>
      <c r="O25" s="23"/>
      <c r="P25" s="22"/>
      <c r="Q25" s="167"/>
      <c r="R25" s="171"/>
      <c r="S25" s="167"/>
      <c r="T25" s="33"/>
      <c r="U25" s="33"/>
      <c r="V25" s="33"/>
      <c r="W25" s="33"/>
      <c r="X25" s="33"/>
      <c r="Y25" s="46"/>
      <c r="Z25" s="33"/>
      <c r="AA25" s="33"/>
      <c r="AB25" s="33"/>
      <c r="AC25" s="33"/>
    </row>
    <row r="26" customFormat="false" ht="15.75" hidden="false" customHeight="true" outlineLevel="0" collapsed="false">
      <c r="A26" s="46" t="n">
        <f aca="false">+'Calc Nodos'!F9</f>
        <v>1067</v>
      </c>
      <c r="D26" s="33" t="n">
        <f aca="false">+IF(A26&gt;0,1,IF(A26&lt;&gt;0,-1,0))</f>
        <v>1</v>
      </c>
      <c r="E26" s="33" t="n">
        <f aca="false">+E9</f>
        <v>0</v>
      </c>
      <c r="F26" s="133" t="n">
        <f aca="false">+F9</f>
        <v>0</v>
      </c>
      <c r="G26" s="169" t="n">
        <f aca="false">+ABS(A26)</f>
        <v>1067</v>
      </c>
      <c r="H26" s="170" t="n">
        <f aca="false">+H27</f>
        <v>0.4712</v>
      </c>
      <c r="J26" s="105" t="n">
        <f aca="false">Utilidad!B24</f>
        <v>8918.77866</v>
      </c>
      <c r="K26" s="177" t="n">
        <f aca="false">IF(Utilidad!D24&gt;1,Utilidad!D24/100,Utilidad!D24)</f>
        <v>0.48053918216</v>
      </c>
      <c r="L26" s="105" t="n">
        <f aca="false">+J26*K26</f>
        <v>4285.82260314246</v>
      </c>
      <c r="M26" s="33"/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Y26" s="46"/>
      <c r="Z26" s="33"/>
      <c r="AA26" s="33"/>
      <c r="AB26" s="33"/>
      <c r="AC26" s="33"/>
    </row>
    <row r="27" customFormat="false" ht="15.75" hidden="false" customHeight="true" outlineLevel="0" collapsed="false">
      <c r="E27" s="33" t="n">
        <f aca="false">+E10</f>
        <v>0</v>
      </c>
      <c r="F27" s="220" t="n">
        <f aca="false">+F10</f>
        <v>0</v>
      </c>
      <c r="G27" s="221" t="n">
        <f aca="false">+'Info Planta'!D25</f>
        <v>7855.43</v>
      </c>
      <c r="H27" s="222" t="n">
        <f aca="false">+'Info Planta'!E25</f>
        <v>0.4712</v>
      </c>
      <c r="I27" s="220"/>
      <c r="J27" s="105" t="n">
        <f aca="false">Utilidad!B25</f>
        <v>1063.34866</v>
      </c>
      <c r="K27" s="177" t="n">
        <f aca="false">IF(Utilidad!D25&gt;1,Utilidad!D25/100,Utilidad!D25)</f>
        <v>0.47260669974</v>
      </c>
      <c r="L27" s="221" t="n">
        <f aca="false">+J27*K27</f>
        <v>502.545700875551</v>
      </c>
      <c r="M27" s="33"/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 customFormat="false" ht="15.75" hidden="false" customHeight="true" outlineLevel="0" collapsed="false">
      <c r="A28" s="46"/>
      <c r="B28" s="46"/>
      <c r="C28" s="46"/>
      <c r="E28" s="33" t="n">
        <f aca="false">+E11</f>
        <v>0</v>
      </c>
      <c r="F28" s="33" t="n">
        <f aca="false">+F11</f>
        <v>0</v>
      </c>
      <c r="G28" s="169" t="n">
        <f aca="false">+G20+G21-(G22+G25)</f>
        <v>7335.11</v>
      </c>
      <c r="H28" s="170" t="n">
        <f aca="false">+IF(G28&lt;&gt;0,(G30*H30+G29*H29)/(G29+G30),0)</f>
        <v>0.196191304347826</v>
      </c>
      <c r="J28" s="105" t="n">
        <f aca="false">Utilidad!B26</f>
        <v>7855.43</v>
      </c>
      <c r="K28" s="177" t="n">
        <f aca="false">IF(Utilidad!D26&gt;1,Utilidad!D26/100,Utilidad!D26)</f>
        <v>0.48161296102</v>
      </c>
      <c r="L28" s="105" t="n">
        <f aca="false">+J28*K28</f>
        <v>3783.27690238534</v>
      </c>
      <c r="M28" s="33"/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 customFormat="false" ht="15.75" hidden="false" customHeight="true" outlineLevel="0" collapsed="false">
      <c r="A29" s="46" t="n">
        <f aca="false">+'Calc Nodos'!F10</f>
        <v>176</v>
      </c>
      <c r="D29" s="33" t="n">
        <f aca="false">+IF(A29&gt;0,1,IF(A29&lt;&gt;0,-1,0))</f>
        <v>1</v>
      </c>
      <c r="E29" s="33" t="n">
        <f aca="false">+E12</f>
        <v>0</v>
      </c>
      <c r="F29" s="133" t="n">
        <f aca="false">+F12</f>
        <v>0</v>
      </c>
      <c r="G29" s="169" t="n">
        <f aca="false">+ABS(A29)</f>
        <v>176</v>
      </c>
      <c r="H29" s="170" t="n">
        <f aca="false">+H30</f>
        <v>0.196191304347826</v>
      </c>
      <c r="J29" s="105" t="n">
        <f aca="false">Utilidad!B27</f>
        <v>11299.449658</v>
      </c>
      <c r="K29" s="177" t="n">
        <f aca="false">IF(Utilidad!D27&gt;1,Utilidad!D27/100,Utilidad!D27)</f>
        <v>0.18653539344</v>
      </c>
      <c r="L29" s="105" t="n">
        <f aca="false">+J29*K29</f>
        <v>2107.7472876105</v>
      </c>
      <c r="M29" s="33"/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customFormat="false" ht="15.75" hidden="false" customHeight="true" outlineLevel="0" collapsed="false">
      <c r="E30" s="33" t="n">
        <f aca="false">+E13</f>
        <v>0</v>
      </c>
      <c r="F30" s="33" t="n">
        <f aca="false">+F13</f>
        <v>0</v>
      </c>
      <c r="G30" s="169" t="n">
        <f aca="false">+'Info Planta'!D26</f>
        <v>11126</v>
      </c>
      <c r="H30" s="170" t="n">
        <f aca="false">+'Info Planta'!E26</f>
        <v>0.196191304347826</v>
      </c>
      <c r="J30" s="105" t="n">
        <f aca="false">Utilidad!B28</f>
        <v>173.44965791</v>
      </c>
      <c r="K30" s="177" t="n">
        <f aca="false">IF(Utilidad!D28&gt;1,Utilidad!D28/100,Utilidad!D28)</f>
        <v>0.19641015937</v>
      </c>
      <c r="L30" s="105" t="n">
        <f aca="false">+J30*K30</f>
        <v>34.0672749527751</v>
      </c>
      <c r="M30" s="33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33"/>
      <c r="Y30" s="33"/>
      <c r="Z30" s="33"/>
      <c r="AA30" s="33"/>
      <c r="AB30" s="33"/>
      <c r="AC30" s="33"/>
    </row>
    <row r="31" customFormat="false" ht="15.75" hidden="false" customHeight="true" outlineLevel="0" collapsed="false"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</row>
    <row r="32" customFormat="false" ht="15.75" hidden="false" customHeight="true" outlineLevel="0" collapsed="false">
      <c r="D32" s="33"/>
      <c r="E32" s="33"/>
      <c r="F32" s="156"/>
      <c r="G32" s="173"/>
      <c r="H32" s="173"/>
      <c r="I32" s="33"/>
      <c r="J32" s="173"/>
      <c r="K32" s="173"/>
      <c r="L32" s="33"/>
      <c r="M32" s="33"/>
      <c r="N32" s="46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 customFormat="false" ht="15.75" hidden="false" customHeight="true" outlineLevel="0" collapsed="false">
      <c r="D33" s="33"/>
      <c r="E33" s="33"/>
      <c r="F33" s="156"/>
      <c r="G33" s="26"/>
      <c r="H33" s="26"/>
      <c r="I33" s="33"/>
      <c r="J33" s="26"/>
      <c r="K33" s="26"/>
      <c r="L33" s="33"/>
      <c r="M33" s="46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customFormat="false" ht="15.75" hidden="false" customHeight="true" outlineLevel="0" collapsed="false">
      <c r="D34" s="33"/>
      <c r="E34" s="33"/>
      <c r="F34" s="33"/>
      <c r="G34" s="33"/>
      <c r="H34" s="33"/>
      <c r="I34" s="33"/>
      <c r="J34" s="46"/>
      <c r="K34" s="24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 customFormat="false" ht="15.75" hidden="false" customHeight="true" outlineLevel="0" collapsed="false">
      <c r="D35" s="33"/>
      <c r="E35" s="33"/>
      <c r="F35" s="33"/>
      <c r="G35" s="33"/>
      <c r="H35" s="33"/>
      <c r="I35" s="33"/>
      <c r="J35" s="46"/>
      <c r="K35" s="24"/>
      <c r="L35" s="33"/>
      <c r="M35" s="33"/>
      <c r="N35" s="33"/>
      <c r="O35" s="33"/>
      <c r="P35" s="46"/>
      <c r="Q35" s="33"/>
      <c r="R35" s="33"/>
      <c r="S35" s="33"/>
      <c r="T35" s="33"/>
      <c r="U35" s="33"/>
      <c r="V35" s="33"/>
      <c r="W35" s="33"/>
    </row>
    <row r="36" customFormat="false" ht="15.75" hidden="false" customHeight="true" outlineLevel="0" collapsed="false">
      <c r="D36" s="33"/>
      <c r="E36" s="33"/>
      <c r="F36" s="33"/>
      <c r="G36" s="33"/>
      <c r="H36" s="33"/>
      <c r="I36" s="33"/>
      <c r="J36" s="46"/>
      <c r="K36" s="24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</row>
    <row r="37" customFormat="false" ht="15.75" hidden="false" customHeight="true" outlineLevel="0" collapsed="false">
      <c r="D37" s="33"/>
      <c r="E37" s="33"/>
      <c r="F37" s="33"/>
      <c r="G37" s="33"/>
      <c r="H37" s="33"/>
      <c r="I37" s="33"/>
      <c r="J37" s="46"/>
      <c r="K37" s="24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  <row r="38" customFormat="false" ht="15.75" hidden="false" customHeight="true" outlineLevel="0" collapsed="false">
      <c r="D38" s="33"/>
      <c r="E38" s="33"/>
      <c r="F38" s="33"/>
      <c r="G38" s="33"/>
      <c r="H38" s="33"/>
      <c r="I38" s="33"/>
      <c r="J38" s="46"/>
      <c r="K38" s="24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customFormat="false" ht="15.75" hidden="false" customHeight="true" outlineLevel="0" collapsed="false">
      <c r="D39" s="33"/>
      <c r="E39" s="33"/>
      <c r="F39" s="33"/>
      <c r="G39" s="33"/>
      <c r="H39" s="33"/>
      <c r="I39" s="33"/>
      <c r="J39" s="46"/>
      <c r="K39" s="24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customFormat="false" ht="15.75" hidden="false" customHeight="true" outlineLevel="0" collapsed="false">
      <c r="D40" s="33"/>
      <c r="E40" s="33"/>
      <c r="F40" s="33"/>
      <c r="G40" s="33"/>
      <c r="H40" s="33"/>
      <c r="I40" s="33"/>
      <c r="J40" s="46"/>
      <c r="K40" s="24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customFormat="false" ht="15.75" hidden="false" customHeight="true" outlineLevel="0" collapsed="false">
      <c r="D41" s="33"/>
      <c r="E41" s="33"/>
      <c r="F41" s="33"/>
      <c r="G41" s="33"/>
      <c r="H41" s="33"/>
      <c r="I41" s="33"/>
      <c r="J41" s="46"/>
      <c r="K41" s="24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customFormat="false" ht="15.75" hidden="false" customHeight="true" outlineLevel="0" collapsed="false">
      <c r="D42" s="33"/>
      <c r="E42" s="33"/>
      <c r="F42" s="33"/>
      <c r="G42" s="33"/>
      <c r="H42" s="33"/>
      <c r="I42" s="33"/>
      <c r="J42" s="46"/>
      <c r="K42" s="24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customFormat="false" ht="15.75" hidden="false" customHeight="true" outlineLevel="0" collapsed="false">
      <c r="D43" s="33"/>
      <c r="E43" s="33"/>
      <c r="F43" s="33"/>
      <c r="G43" s="33"/>
      <c r="H43" s="33"/>
      <c r="I43" s="33"/>
      <c r="J43" s="46"/>
      <c r="K43" s="24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customFormat="false" ht="15.75" hidden="false" customHeight="true" outlineLevel="0" collapsed="false">
      <c r="D44" s="33"/>
      <c r="E44" s="33"/>
      <c r="F44" s="33"/>
      <c r="G44" s="33"/>
      <c r="H44" s="33"/>
      <c r="I44" s="33"/>
      <c r="J44" s="46"/>
      <c r="K44" s="24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  <row r="45" customFormat="false" ht="15.75" hidden="false" customHeight="true" outlineLevel="0" collapsed="false"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</row>
    <row r="46" customFormat="false" ht="15.75" hidden="false" customHeight="true" outlineLevel="0" collapsed="false">
      <c r="D46" s="33"/>
      <c r="E46" s="33"/>
      <c r="F46" s="156"/>
      <c r="G46" s="173"/>
      <c r="H46" s="17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</row>
    <row r="47" customFormat="false" ht="15.75" hidden="false" customHeight="true" outlineLevel="0" collapsed="false">
      <c r="D47" s="33"/>
      <c r="E47" s="33"/>
      <c r="F47" s="156"/>
      <c r="G47" s="26"/>
      <c r="H47" s="26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</row>
    <row r="48" customFormat="false" ht="15.75" hidden="false" customHeight="true" outlineLevel="0" collapsed="false"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</row>
    <row r="49" customFormat="false" ht="15.75" hidden="false" customHeight="true" outlineLevel="0" collapsed="false"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  <row r="50" customFormat="false" ht="15.75" hidden="false" customHeight="true" outlineLevel="0" collapsed="false"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</row>
    <row r="51" customFormat="false" ht="15.75" hidden="false" customHeight="true" outlineLevel="0" collapsed="false"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</row>
    <row r="52" customFormat="false" ht="15.75" hidden="false" customHeight="true" outlineLevel="0" collapsed="false"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customFormat="false" ht="15.75" hidden="false" customHeight="true" outlineLevel="0" collapsed="false"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</row>
    <row r="54" customFormat="false" ht="15.75" hidden="false" customHeight="true" outlineLevel="0" collapsed="false"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</row>
    <row r="55" customFormat="false" ht="15.75" hidden="false" customHeight="true" outlineLevel="0" collapsed="false"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customFormat="false" ht="15.75" hidden="false" customHeight="true" outlineLevel="0" collapsed="false"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</row>
    <row r="57" customFormat="false" ht="15.75" hidden="false" customHeight="true" outlineLevel="0" collapsed="false"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customFormat="false" ht="15.75" hidden="false" customHeight="true" outlineLevel="0" collapsed="false"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customFormat="false" ht="15.75" hidden="false" customHeight="true" outlineLevel="0" collapsed="false"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18:H18"/>
    <mergeCell ref="J18:L18"/>
    <mergeCell ref="N18:O18"/>
    <mergeCell ref="G32:H32"/>
    <mergeCell ref="J32:K32"/>
    <mergeCell ref="G46:H46"/>
  </mergeCells>
  <conditionalFormatting sqref="N20:O30">
    <cfRule type="expression" priority="2" aboveAverage="0" equalAverage="0" bottom="0" percent="0" rank="0" text="" dxfId="6">
      <formula>ABS(N20)&gt;=10%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F1000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N25" activeCellId="0" sqref="N25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30.83"/>
    <col collapsed="false" customWidth="true" hidden="false" outlineLevel="0" max="7" min="7" style="1" width="11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20" min="12" style="1" width="11.5"/>
    <col collapsed="false" customWidth="true" hidden="false" outlineLevel="0" max="21" min="21" style="1" width="19.83"/>
    <col collapsed="false" customWidth="true" hidden="false" outlineLevel="0" max="32" min="22" style="1" width="11.5"/>
  </cols>
  <sheetData>
    <row r="2" customFormat="false" ht="15" hidden="false" customHeight="false" outlineLevel="0" collapsed="false">
      <c r="E2" s="33"/>
      <c r="F2" s="33"/>
      <c r="G2" s="218"/>
      <c r="H2" s="218"/>
      <c r="I2" s="218"/>
      <c r="J2" s="218"/>
      <c r="K2" s="218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customFormat="false" ht="15" hidden="false" customHeight="false" outlineLevel="0" collapsed="false">
      <c r="E3" s="33"/>
      <c r="F3" s="33"/>
      <c r="G3" s="26"/>
      <c r="H3" s="26"/>
      <c r="I3" s="26"/>
      <c r="J3" s="26"/>
      <c r="K3" s="26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</row>
    <row r="4" customFormat="false" ht="15" hidden="false" customHeight="false" outlineLevel="0" collapsed="false">
      <c r="E4" s="33"/>
      <c r="F4" s="33"/>
      <c r="G4" s="26"/>
      <c r="H4" s="26"/>
      <c r="I4" s="26"/>
      <c r="J4" s="26"/>
      <c r="K4" s="26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customFormat="false" ht="15" hidden="false" customHeight="false" outlineLevel="0" collapsed="false">
      <c r="E5" s="33"/>
      <c r="F5" s="33"/>
      <c r="G5" s="26"/>
      <c r="H5" s="26"/>
      <c r="I5" s="26"/>
      <c r="J5" s="26"/>
      <c r="K5" s="2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customFormat="false" ht="15" hidden="false" customHeight="false" outlineLevel="0" collapsed="false">
      <c r="E6" s="33"/>
      <c r="F6" s="33"/>
      <c r="G6" s="26"/>
      <c r="H6" s="26"/>
      <c r="I6" s="26"/>
      <c r="J6" s="26"/>
      <c r="K6" s="26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customFormat="false" ht="15" hidden="false" customHeight="false" outlineLevel="0" collapsed="false">
      <c r="E7" s="33"/>
      <c r="F7" s="33"/>
      <c r="G7" s="26"/>
      <c r="H7" s="26"/>
      <c r="I7" s="26"/>
      <c r="J7" s="26"/>
      <c r="K7" s="26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customFormat="false" ht="15" hidden="false" customHeight="false" outlineLevel="0" collapsed="false">
      <c r="E8" s="33"/>
      <c r="F8" s="33"/>
      <c r="G8" s="26"/>
      <c r="H8" s="26"/>
      <c r="I8" s="26"/>
      <c r="J8" s="26"/>
      <c r="K8" s="26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customFormat="false" ht="15" hidden="false" customHeight="false" outlineLevel="0" collapsed="false">
      <c r="E9" s="33"/>
      <c r="F9" s="33"/>
      <c r="G9" s="26"/>
      <c r="H9" s="26"/>
      <c r="I9" s="26"/>
      <c r="J9" s="26"/>
      <c r="K9" s="26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46"/>
      <c r="Z9" s="46"/>
      <c r="AA9" s="33"/>
      <c r="AB9" s="33"/>
      <c r="AC9" s="33"/>
      <c r="AD9" s="33"/>
      <c r="AE9" s="33"/>
      <c r="AF9" s="33"/>
    </row>
    <row r="10" customFormat="false" ht="15" hidden="false" customHeight="false" outlineLevel="0" collapsed="false">
      <c r="E10" s="33"/>
      <c r="F10" s="33"/>
      <c r="G10" s="26"/>
      <c r="H10" s="26"/>
      <c r="I10" s="26"/>
      <c r="J10" s="26"/>
      <c r="K10" s="26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46"/>
      <c r="Z10" s="46"/>
      <c r="AA10" s="33"/>
      <c r="AB10" s="33"/>
      <c r="AC10" s="33"/>
      <c r="AD10" s="33"/>
      <c r="AE10" s="33"/>
      <c r="AF10" s="33"/>
    </row>
    <row r="11" customFormat="false" ht="15" hidden="false" customHeight="false" outlineLevel="0" collapsed="false">
      <c r="E11" s="33"/>
      <c r="F11" s="33"/>
      <c r="G11" s="26"/>
      <c r="H11" s="26"/>
      <c r="I11" s="26"/>
      <c r="J11" s="26"/>
      <c r="K11" s="26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46"/>
      <c r="Z11" s="46"/>
      <c r="AA11" s="33"/>
      <c r="AB11" s="33"/>
      <c r="AC11" s="33"/>
      <c r="AD11" s="33"/>
      <c r="AE11" s="33"/>
      <c r="AF11" s="33"/>
    </row>
    <row r="12" customFormat="false" ht="15" hidden="false" customHeight="false" outlineLevel="0" collapsed="false">
      <c r="E12" s="33"/>
      <c r="F12" s="33"/>
      <c r="G12" s="26"/>
      <c r="H12" s="26"/>
      <c r="I12" s="26"/>
      <c r="J12" s="26"/>
      <c r="K12" s="26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46"/>
      <c r="Z12" s="46"/>
      <c r="AA12" s="33"/>
      <c r="AB12" s="33"/>
      <c r="AC12" s="33"/>
      <c r="AD12" s="33"/>
      <c r="AE12" s="33"/>
      <c r="AF12" s="33"/>
    </row>
    <row r="13" customFormat="false" ht="15" hidden="false" customHeight="false" outlineLevel="0" collapsed="false">
      <c r="E13" s="33"/>
      <c r="F13" s="33"/>
      <c r="G13" s="26"/>
      <c r="H13" s="26"/>
      <c r="I13" s="26"/>
      <c r="J13" s="26"/>
      <c r="K13" s="26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46"/>
      <c r="Z13" s="46"/>
      <c r="AA13" s="33"/>
      <c r="AB13" s="33"/>
      <c r="AC13" s="33"/>
      <c r="AD13" s="33"/>
      <c r="AE13" s="33"/>
      <c r="AF13" s="33"/>
    </row>
    <row r="14" customFormat="false" ht="15" hidden="false" customHeight="false" outlineLevel="0" collapsed="false">
      <c r="E14" s="33"/>
      <c r="F14" s="33"/>
      <c r="G14" s="26"/>
      <c r="H14" s="26"/>
      <c r="I14" s="26"/>
      <c r="J14" s="26"/>
      <c r="K14" s="26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46"/>
      <c r="Z14" s="46"/>
      <c r="AA14" s="33"/>
      <c r="AB14" s="33"/>
      <c r="AC14" s="33"/>
      <c r="AD14" s="33"/>
      <c r="AE14" s="33"/>
      <c r="AF14" s="33"/>
    </row>
    <row r="15" customFormat="false" ht="15" hidden="false" customHeight="false" outlineLevel="0" collapsed="false">
      <c r="G15" s="26"/>
      <c r="H15" s="26"/>
      <c r="I15" s="26"/>
      <c r="J15" s="26"/>
      <c r="K15" s="26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46"/>
      <c r="Z15" s="46"/>
      <c r="AA15" s="33"/>
      <c r="AB15" s="33"/>
      <c r="AC15" s="33"/>
      <c r="AD15" s="33"/>
      <c r="AE15" s="33"/>
      <c r="AF15" s="33"/>
    </row>
    <row r="16" customFormat="false" ht="15" hidden="false" customHeight="false" outlineLevel="0" collapsed="false">
      <c r="G16" s="26"/>
      <c r="H16" s="26"/>
      <c r="I16" s="26"/>
      <c r="J16" s="26"/>
      <c r="K16" s="26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46"/>
      <c r="Z16" s="46"/>
      <c r="AA16" s="33"/>
      <c r="AB16" s="33"/>
      <c r="AC16" s="33"/>
      <c r="AD16" s="33"/>
      <c r="AE16" s="33"/>
      <c r="AF16" s="33"/>
    </row>
    <row r="17" customFormat="false" ht="15" hidden="false" customHeight="false" outlineLevel="0" collapsed="false"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46"/>
      <c r="Z17" s="46"/>
      <c r="AA17" s="33"/>
      <c r="AB17" s="33"/>
      <c r="AC17" s="33"/>
      <c r="AD17" s="33"/>
      <c r="AE17" s="33"/>
      <c r="AF17" s="33"/>
    </row>
    <row r="18" customFormat="false" ht="18.75" hidden="false" customHeight="false" outlineLevel="0" collapsed="false">
      <c r="C18" s="33" t="n">
        <v>32846</v>
      </c>
      <c r="G18" s="160" t="s">
        <v>166</v>
      </c>
      <c r="H18" s="160"/>
      <c r="J18" s="223" t="s">
        <v>167</v>
      </c>
      <c r="K18" s="223"/>
      <c r="L18" s="223"/>
      <c r="M18" s="33"/>
      <c r="N18" s="162"/>
      <c r="O18" s="162"/>
      <c r="P18" s="33"/>
      <c r="Q18" s="33"/>
      <c r="R18" s="163"/>
      <c r="S18" s="33"/>
      <c r="T18" s="33"/>
      <c r="U18" s="33"/>
      <c r="V18" s="33"/>
      <c r="W18" s="33"/>
      <c r="X18" s="33"/>
      <c r="Y18" s="46"/>
      <c r="Z18" s="46"/>
      <c r="AA18" s="33"/>
      <c r="AB18" s="33"/>
      <c r="AC18" s="33"/>
      <c r="AD18" s="33"/>
      <c r="AE18" s="33"/>
      <c r="AF18" s="33"/>
    </row>
    <row r="19" customFormat="false" ht="15" hidden="false" customHeight="false" outlineLevel="0" collapsed="false">
      <c r="G19" s="164" t="s">
        <v>8</v>
      </c>
      <c r="H19" s="164" t="s">
        <v>169</v>
      </c>
      <c r="J19" s="175" t="s">
        <v>8</v>
      </c>
      <c r="K19" s="165" t="s">
        <v>169</v>
      </c>
      <c r="L19" s="224" t="s">
        <v>170</v>
      </c>
      <c r="M19" s="33"/>
      <c r="N19" s="26"/>
      <c r="O19" s="26"/>
      <c r="P19" s="166"/>
      <c r="Q19" s="167"/>
      <c r="R19" s="168"/>
      <c r="S19" s="167"/>
      <c r="T19" s="33"/>
      <c r="U19" s="33"/>
      <c r="V19" s="33"/>
      <c r="W19" s="33"/>
      <c r="X19" s="33"/>
      <c r="Y19" s="46"/>
      <c r="Z19" s="46"/>
      <c r="AA19" s="33"/>
      <c r="AB19" s="33"/>
      <c r="AC19" s="33"/>
      <c r="AD19" s="33"/>
      <c r="AE19" s="33"/>
      <c r="AF19" s="33"/>
    </row>
    <row r="20" customFormat="false" ht="15" hidden="false" customHeight="false" outlineLevel="0" collapsed="false">
      <c r="E20" s="33" t="n">
        <f aca="false">+E3</f>
        <v>0</v>
      </c>
      <c r="F20" s="33" t="s">
        <v>30</v>
      </c>
      <c r="G20" s="169" t="n">
        <f aca="false">+'Bal ML FeT'!J20</f>
        <v>30400.126227</v>
      </c>
      <c r="H20" s="170" t="n">
        <f aca="false">+'Info Planta'!F18</f>
        <v>0.40327125984252</v>
      </c>
      <c r="I20" s="24"/>
      <c r="J20" s="105" t="n">
        <f aca="false">'Bal ML FeT'!J20</f>
        <v>30400.126227</v>
      </c>
      <c r="K20" s="177" t="n">
        <f aca="false">IF(Utilidad!F18&gt;1,Utilidad!F18/100,Utilidad!F18)</f>
        <v>0.3629439</v>
      </c>
      <c r="L20" s="225" t="n">
        <f aca="false">+J20*K20</f>
        <v>11033.5403733197</v>
      </c>
      <c r="M20" s="24"/>
      <c r="N20" s="22"/>
      <c r="O20" s="23"/>
      <c r="P20" s="22"/>
      <c r="Q20" s="167"/>
      <c r="R20" s="171"/>
      <c r="S20" s="167"/>
      <c r="T20" s="33"/>
      <c r="U20" s="33"/>
      <c r="V20" s="33"/>
      <c r="W20" s="33"/>
      <c r="X20" s="33"/>
      <c r="Y20" s="46"/>
      <c r="Z20" s="46"/>
      <c r="AA20" s="33"/>
      <c r="AB20" s="33"/>
      <c r="AC20" s="33"/>
      <c r="AD20" s="33"/>
      <c r="AE20" s="33"/>
      <c r="AF20" s="33"/>
    </row>
    <row r="21" customFormat="false" ht="15.75" hidden="false" customHeight="true" outlineLevel="0" collapsed="false">
      <c r="E21" s="33" t="n">
        <f aca="false">+E4</f>
        <v>0</v>
      </c>
      <c r="F21" s="33" t="s">
        <v>31</v>
      </c>
      <c r="G21" s="169" t="n">
        <f aca="false">+'Bal ML FeT'!J21</f>
        <v>9417.4995074</v>
      </c>
      <c r="H21" s="170" t="n">
        <f aca="false">+'Info Planta'!F19</f>
        <v>0.37383114137053</v>
      </c>
      <c r="J21" s="105" t="n">
        <f aca="false">'Bal ML FeT'!J21</f>
        <v>9417.4995074</v>
      </c>
      <c r="K21" s="177" t="n">
        <f aca="false">IF(Utilidad!F19&gt;1,Utilidad!F19/100,Utilidad!F19)</f>
        <v>0.36106455251</v>
      </c>
      <c r="L21" s="225" t="n">
        <f aca="false">+J21*K21</f>
        <v>3400.32524540253</v>
      </c>
      <c r="M21" s="33"/>
      <c r="N21" s="22"/>
      <c r="O21" s="23"/>
      <c r="P21" s="22"/>
      <c r="Q21" s="167"/>
      <c r="R21" s="171"/>
      <c r="S21" s="167"/>
      <c r="T21" s="33"/>
      <c r="U21" s="33"/>
      <c r="V21" s="33"/>
      <c r="W21" s="33"/>
      <c r="X21" s="33"/>
      <c r="Y21" s="46"/>
      <c r="Z21" s="46"/>
      <c r="AA21" s="33"/>
      <c r="AB21" s="33"/>
      <c r="AC21" s="33"/>
      <c r="AD21" s="33"/>
      <c r="AE21" s="33"/>
      <c r="AF21" s="33"/>
    </row>
    <row r="22" customFormat="false" ht="15.75" hidden="false" customHeight="true" outlineLevel="0" collapsed="false">
      <c r="E22" s="33" t="n">
        <f aca="false">+E5</f>
        <v>0</v>
      </c>
      <c r="F22" s="33" t="s">
        <v>33</v>
      </c>
      <c r="G22" s="169" t="n">
        <f aca="false">+'Bal ML FeT'!J22</f>
        <v>100.04235959</v>
      </c>
      <c r="H22" s="170" t="n">
        <f aca="false">+IF(G22&lt;&gt;0,(G24*H24+A23*H23)/G22,0)</f>
        <v>-0.693873811406303</v>
      </c>
      <c r="J22" s="105" t="n">
        <f aca="false">'Bal ML FeT'!J22</f>
        <v>100.04235959</v>
      </c>
      <c r="K22" s="177" t="n">
        <f aca="false">IF(Utilidad!F20&gt;1,Utilidad!F20/100,Utilidad!F20)</f>
        <v>0.3836783845</v>
      </c>
      <c r="L22" s="225" t="n">
        <f aca="false">+J22*K22</f>
        <v>38.3840909090593</v>
      </c>
      <c r="M22" s="33"/>
      <c r="N22" s="22"/>
      <c r="O22" s="23"/>
      <c r="P22" s="22"/>
      <c r="Q22" s="167"/>
      <c r="R22" s="171"/>
      <c r="S22" s="167"/>
      <c r="T22" s="33"/>
      <c r="U22" s="33"/>
      <c r="V22" s="33"/>
      <c r="W22" s="33"/>
      <c r="X22" s="33"/>
      <c r="Y22" s="46"/>
      <c r="Z22" s="46"/>
      <c r="AA22" s="33"/>
      <c r="AB22" s="33"/>
      <c r="AC22" s="33"/>
      <c r="AD22" s="33"/>
      <c r="AE22" s="33"/>
      <c r="AF22" s="33"/>
    </row>
    <row r="23" customFormat="false" ht="15.75" hidden="false" customHeight="true" outlineLevel="0" collapsed="false">
      <c r="A23" s="46" t="n">
        <f aca="false">+'Calc Nodos'!F8</f>
        <v>-80</v>
      </c>
      <c r="D23" s="33" t="n">
        <f aca="false">+IF(A23&gt;0,1,IF(A23&lt;&gt;0,-1,0))</f>
        <v>-1</v>
      </c>
      <c r="E23" s="33" t="n">
        <f aca="false">+E6</f>
        <v>0</v>
      </c>
      <c r="F23" s="133" t="s">
        <v>34</v>
      </c>
      <c r="G23" s="169" t="n">
        <f aca="false">+'Bal ML FeT'!J23</f>
        <v>19699.439776</v>
      </c>
      <c r="H23" s="170" t="n">
        <f aca="false">+H24</f>
        <v>0.4338</v>
      </c>
      <c r="J23" s="105" t="n">
        <f aca="false">'Bal ML FeT'!J23</f>
        <v>19699.439776</v>
      </c>
      <c r="K23" s="177" t="n">
        <f aca="false">IF(Utilidad!F21&gt;1,Utilidad!F21/100,Utilidad!F21)</f>
        <v>0.45184507575</v>
      </c>
      <c r="L23" s="225" t="n">
        <f aca="false">+J23*K23</f>
        <v>8901.09485781928</v>
      </c>
      <c r="M23" s="33"/>
      <c r="N23" s="22"/>
      <c r="O23" s="23"/>
      <c r="P23" s="22"/>
      <c r="Q23" s="167"/>
      <c r="R23" s="171"/>
      <c r="S23" s="167"/>
      <c r="T23" s="33"/>
      <c r="U23" s="33"/>
      <c r="V23" s="33"/>
      <c r="W23" s="33"/>
      <c r="X23" s="33"/>
      <c r="Y23" s="46"/>
      <c r="Z23" s="33"/>
      <c r="AA23" s="33"/>
      <c r="AB23" s="33"/>
      <c r="AC23" s="33"/>
      <c r="AD23" s="33"/>
      <c r="AE23" s="33"/>
      <c r="AF23" s="33"/>
    </row>
    <row r="24" customFormat="false" ht="15.75" hidden="false" customHeight="true" outlineLevel="0" collapsed="false">
      <c r="A24" s="46"/>
      <c r="B24" s="46"/>
      <c r="C24" s="46"/>
      <c r="E24" s="33" t="n">
        <f aca="false">+E7</f>
        <v>0</v>
      </c>
      <c r="F24" s="33" t="s">
        <v>35</v>
      </c>
      <c r="G24" s="169" t="n">
        <f aca="false">+'Bal ML FeT'!J24</f>
        <v>-80.020224414</v>
      </c>
      <c r="H24" s="170" t="n">
        <f aca="false">+'Info Planta'!F24</f>
        <v>0.4338</v>
      </c>
      <c r="J24" s="105" t="n">
        <f aca="false">'Bal ML FeT'!J24</f>
        <v>-80.020224414</v>
      </c>
      <c r="K24" s="177" t="n">
        <f aca="false">IF(Utilidad!F22&gt;1,Utilidad!F22/100,Utilidad!F22)</f>
        <v>0.43373689298</v>
      </c>
      <c r="L24" s="225" t="n">
        <f aca="false">+J24*K24</f>
        <v>-34.7077235128907</v>
      </c>
      <c r="M24" s="33"/>
      <c r="N24" s="22"/>
      <c r="O24" s="23"/>
      <c r="P24" s="22"/>
      <c r="Q24" s="167"/>
      <c r="R24" s="171"/>
      <c r="S24" s="167"/>
      <c r="T24" s="33"/>
      <c r="U24" s="33"/>
      <c r="V24" s="33"/>
      <c r="W24" s="33"/>
      <c r="X24" s="33"/>
      <c r="Y24" s="46"/>
      <c r="Z24" s="33"/>
      <c r="AA24" s="33"/>
      <c r="AB24" s="33"/>
      <c r="AC24" s="33"/>
      <c r="AD24" s="33"/>
      <c r="AE24" s="33"/>
      <c r="AF24" s="33"/>
    </row>
    <row r="25" customFormat="false" ht="15.75" hidden="false" customHeight="true" outlineLevel="0" collapsed="false">
      <c r="E25" s="33" t="n">
        <f aca="false">+E8</f>
        <v>0</v>
      </c>
      <c r="F25" s="33" t="s">
        <v>36</v>
      </c>
      <c r="G25" s="169" t="n">
        <f aca="false">+'Bal ML FeT'!J25</f>
        <v>19779.46</v>
      </c>
      <c r="H25" s="170" t="n">
        <f aca="false">+IF(G25&lt;&gt;0,(G27*H27+A26*H26)/G25,0)</f>
        <v>0.0464532083817253</v>
      </c>
      <c r="J25" s="105" t="n">
        <f aca="false">'Bal ML FeT'!J25</f>
        <v>19779.46</v>
      </c>
      <c r="K25" s="177" t="n">
        <f aca="false">IF(Utilidad!F23&gt;1,Utilidad!F23/100,Utilidad!F23)</f>
        <v>0.45177181688</v>
      </c>
      <c r="L25" s="225" t="n">
        <f aca="false">+J25*K25</f>
        <v>8935.80258110528</v>
      </c>
      <c r="M25" s="33"/>
      <c r="N25" s="22"/>
      <c r="O25" s="23"/>
      <c r="P25" s="22"/>
      <c r="Q25" s="167"/>
      <c r="R25" s="171"/>
      <c r="S25" s="167"/>
      <c r="T25" s="33"/>
      <c r="U25" s="33"/>
      <c r="V25" s="33"/>
      <c r="W25" s="33"/>
      <c r="X25" s="33"/>
      <c r="Y25" s="46"/>
      <c r="Z25" s="33"/>
      <c r="AA25" s="33"/>
      <c r="AB25" s="33"/>
      <c r="AC25" s="33"/>
      <c r="AD25" s="33"/>
      <c r="AE25" s="33"/>
      <c r="AF25" s="33"/>
    </row>
    <row r="26" customFormat="false" ht="15.75" hidden="false" customHeight="true" outlineLevel="0" collapsed="false">
      <c r="A26" s="46" t="n">
        <f aca="false">+'Calc Nodos'!F9</f>
        <v>1067</v>
      </c>
      <c r="D26" s="33" t="n">
        <f aca="false">+IF(A26&gt;0,1,IF(A26&lt;&gt;0,-1,0))</f>
        <v>1</v>
      </c>
      <c r="E26" s="33" t="n">
        <f aca="false">+E9</f>
        <v>0</v>
      </c>
      <c r="F26" s="133" t="s">
        <v>37</v>
      </c>
      <c r="G26" s="169" t="n">
        <f aca="false">+'Bal ML FeT'!J26</f>
        <v>8918.77866</v>
      </c>
      <c r="H26" s="170" t="n">
        <f aca="false">+H27</f>
        <v>0.4313</v>
      </c>
      <c r="J26" s="105" t="n">
        <f aca="false">'Bal ML FeT'!J26</f>
        <v>8918.77866</v>
      </c>
      <c r="K26" s="177" t="n">
        <f aca="false">IF(Utilidad!F24&gt;1,Utilidad!F24/100,Utilidad!F24)</f>
        <v>0.43840869993</v>
      </c>
      <c r="L26" s="225" t="n">
        <f aca="false">+J26*K26</f>
        <v>3910.07015729403</v>
      </c>
      <c r="M26" s="33"/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Y26" s="46"/>
      <c r="Z26" s="33"/>
      <c r="AA26" s="33"/>
      <c r="AB26" s="33"/>
      <c r="AC26" s="33"/>
      <c r="AD26" s="33"/>
      <c r="AE26" s="33"/>
      <c r="AF26" s="33"/>
    </row>
    <row r="27" customFormat="false" ht="15.75" hidden="false" customHeight="true" outlineLevel="0" collapsed="false">
      <c r="E27" s="33" t="n">
        <f aca="false">+E10</f>
        <v>0</v>
      </c>
      <c r="F27" s="33" t="s">
        <v>38</v>
      </c>
      <c r="G27" s="169" t="n">
        <f aca="false">+'Bal ML FeT'!J27</f>
        <v>1063.34866</v>
      </c>
      <c r="H27" s="170" t="n">
        <f aca="false">+'Info Planta'!F25</f>
        <v>0.4313</v>
      </c>
      <c r="J27" s="105" t="n">
        <f aca="false">'Bal ML FeT'!J27</f>
        <v>1063.34866</v>
      </c>
      <c r="K27" s="177" t="n">
        <f aca="false">IF(Utilidad!F25&gt;1,Utilidad!F25/100,Utilidad!F25)</f>
        <v>0.43238238703</v>
      </c>
      <c r="L27" s="225" t="n">
        <f aca="false">+J27*K27</f>
        <v>459.773231855952</v>
      </c>
      <c r="M27" s="33"/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</row>
    <row r="28" customFormat="false" ht="15.75" hidden="false" customHeight="true" outlineLevel="0" collapsed="false">
      <c r="A28" s="46"/>
      <c r="B28" s="46"/>
      <c r="C28" s="46"/>
      <c r="E28" s="33" t="n">
        <f aca="false">+E11</f>
        <v>0</v>
      </c>
      <c r="F28" s="33" t="s">
        <v>39</v>
      </c>
      <c r="G28" s="169" t="n">
        <f aca="false">+'Bal ML FeT'!J28</f>
        <v>7855.43</v>
      </c>
      <c r="H28" s="170" t="n">
        <f aca="false">+IF(G28&lt;&gt;0,(G30*H30+A29*H29)/G28,0)</f>
        <v>0.00623275365898618</v>
      </c>
      <c r="J28" s="105" t="n">
        <f aca="false">'Bal ML FeT'!J28</f>
        <v>7855.43</v>
      </c>
      <c r="K28" s="177" t="n">
        <f aca="false">IF(Utilidad!F26&gt;1,Utilidad!F26/100,Utilidad!F26)</f>
        <v>0.43922445055</v>
      </c>
      <c r="L28" s="225" t="n">
        <f aca="false">+J28*K28</f>
        <v>3450.29692558399</v>
      </c>
      <c r="M28" s="33"/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customFormat="false" ht="15.75" hidden="false" customHeight="true" outlineLevel="0" collapsed="false">
      <c r="A29" s="46" t="n">
        <f aca="false">+'Calc Nodos'!F10</f>
        <v>176</v>
      </c>
      <c r="D29" s="33" t="n">
        <f aca="false">+IF(A29&gt;0,1,IF(A29&lt;&gt;0,-1,0))</f>
        <v>1</v>
      </c>
      <c r="E29" s="33" t="n">
        <f aca="false">+E12</f>
        <v>0</v>
      </c>
      <c r="F29" s="133" t="s">
        <v>40</v>
      </c>
      <c r="G29" s="169" t="n">
        <f aca="false">+'Bal ML FeT'!J29</f>
        <v>11299.449658</v>
      </c>
      <c r="H29" s="170" t="n">
        <f aca="false">+H30</f>
        <v>0.140108765217391</v>
      </c>
      <c r="J29" s="105" t="n">
        <f aca="false">'Bal ML FeT'!J29</f>
        <v>11299.449658</v>
      </c>
      <c r="K29" s="177" t="n">
        <f aca="false">IF(Utilidad!F27&gt;1,Utilidad!F27/100,Utilidad!F27)</f>
        <v>0.14700580432</v>
      </c>
      <c r="L29" s="225" t="n">
        <f aca="false">+J29*K29</f>
        <v>1661.08468534764</v>
      </c>
      <c r="M29" s="33"/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</row>
    <row r="30" customFormat="false" ht="15.75" hidden="false" customHeight="true" outlineLevel="0" collapsed="false">
      <c r="E30" s="33" t="n">
        <f aca="false">+E13</f>
        <v>0</v>
      </c>
      <c r="F30" s="33" t="s">
        <v>41</v>
      </c>
      <c r="G30" s="169" t="n">
        <f aca="false">+'Bal ML FeT'!J30</f>
        <v>173.44965791</v>
      </c>
      <c r="H30" s="170" t="n">
        <f aca="false">+'Info Planta'!F26</f>
        <v>0.140108765217391</v>
      </c>
      <c r="J30" s="105" t="n">
        <f aca="false">'Bal ML FeT'!J30</f>
        <v>173.44965791</v>
      </c>
      <c r="K30" s="177" t="n">
        <f aca="false">IF(Utilidad!F28&gt;1,Utilidad!F28/100,Utilidad!F28)</f>
        <v>0.1400366817</v>
      </c>
      <c r="L30" s="225" t="n">
        <f aca="false">+J30*K30</f>
        <v>24.2893145357166</v>
      </c>
      <c r="M30" s="33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</row>
    <row r="31" customFormat="false" ht="15.75" hidden="false" customHeight="true" outlineLevel="0" collapsed="false"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</row>
    <row r="32" customFormat="false" ht="15.75" hidden="false" customHeight="true" outlineLevel="0" collapsed="false">
      <c r="D32" s="33"/>
      <c r="E32" s="33"/>
      <c r="F32" s="156"/>
      <c r="G32" s="173"/>
      <c r="H32" s="173"/>
      <c r="I32" s="33"/>
      <c r="J32" s="173"/>
      <c r="K32" s="17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</row>
    <row r="33" customFormat="false" ht="15.75" hidden="false" customHeight="true" outlineLevel="0" collapsed="false">
      <c r="D33" s="33"/>
      <c r="E33" s="33"/>
      <c r="F33" s="156"/>
      <c r="G33" s="26"/>
      <c r="H33" s="26"/>
      <c r="I33" s="33"/>
      <c r="J33" s="26"/>
      <c r="K33" s="26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</row>
    <row r="34" customFormat="false" ht="15.75" hidden="false" customHeight="true" outlineLevel="0" collapsed="false">
      <c r="D34" s="33"/>
      <c r="E34" s="33"/>
      <c r="F34" s="33"/>
      <c r="G34" s="33"/>
      <c r="H34" s="33"/>
      <c r="I34" s="33"/>
      <c r="J34" s="46"/>
      <c r="K34" s="24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</row>
    <row r="35" customFormat="false" ht="15.75" hidden="false" customHeight="true" outlineLevel="0" collapsed="false">
      <c r="D35" s="33"/>
      <c r="E35" s="33"/>
      <c r="F35" s="33"/>
      <c r="G35" s="33"/>
      <c r="H35" s="33"/>
      <c r="I35" s="33"/>
      <c r="J35" s="46"/>
      <c r="K35" s="24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</row>
    <row r="36" customFormat="false" ht="15.75" hidden="false" customHeight="true" outlineLevel="0" collapsed="false">
      <c r="D36" s="33"/>
      <c r="E36" s="33"/>
      <c r="F36" s="33"/>
      <c r="G36" s="33"/>
      <c r="H36" s="33"/>
      <c r="I36" s="33"/>
      <c r="J36" s="46"/>
      <c r="K36" s="24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</row>
    <row r="37" customFormat="false" ht="15.75" hidden="false" customHeight="true" outlineLevel="0" collapsed="false">
      <c r="D37" s="33"/>
      <c r="E37" s="33"/>
      <c r="F37" s="33"/>
      <c r="G37" s="33"/>
      <c r="H37" s="33"/>
      <c r="I37" s="33"/>
      <c r="J37" s="46"/>
      <c r="K37" s="24"/>
      <c r="L37" s="33"/>
    </row>
    <row r="38" customFormat="false" ht="15.75" hidden="false" customHeight="true" outlineLevel="0" collapsed="false">
      <c r="D38" s="33"/>
      <c r="E38" s="33"/>
      <c r="F38" s="33"/>
      <c r="G38" s="33"/>
      <c r="H38" s="33"/>
      <c r="I38" s="33"/>
      <c r="J38" s="46"/>
      <c r="K38" s="24"/>
      <c r="L38" s="33"/>
    </row>
    <row r="39" customFormat="false" ht="15.75" hidden="false" customHeight="true" outlineLevel="0" collapsed="false">
      <c r="D39" s="33"/>
      <c r="E39" s="33"/>
      <c r="F39" s="33"/>
      <c r="G39" s="33"/>
      <c r="H39" s="33"/>
      <c r="I39" s="33"/>
      <c r="J39" s="46"/>
      <c r="K39" s="24"/>
      <c r="L39" s="33"/>
    </row>
    <row r="40" customFormat="false" ht="15.75" hidden="false" customHeight="true" outlineLevel="0" collapsed="false">
      <c r="D40" s="33"/>
      <c r="E40" s="33"/>
      <c r="F40" s="33"/>
      <c r="G40" s="33"/>
      <c r="H40" s="33"/>
      <c r="I40" s="33"/>
      <c r="J40" s="46"/>
      <c r="K40" s="24"/>
      <c r="L40" s="33"/>
    </row>
    <row r="41" customFormat="false" ht="15.75" hidden="false" customHeight="true" outlineLevel="0" collapsed="false">
      <c r="D41" s="33"/>
      <c r="E41" s="33"/>
      <c r="F41" s="33"/>
      <c r="G41" s="33"/>
      <c r="H41" s="33"/>
      <c r="I41" s="33"/>
      <c r="J41" s="46"/>
      <c r="K41" s="24"/>
      <c r="L41" s="33"/>
    </row>
    <row r="42" customFormat="false" ht="15.75" hidden="false" customHeight="true" outlineLevel="0" collapsed="false">
      <c r="D42" s="33"/>
      <c r="E42" s="33"/>
      <c r="F42" s="33"/>
      <c r="G42" s="33"/>
      <c r="H42" s="33"/>
      <c r="I42" s="33"/>
      <c r="J42" s="46"/>
      <c r="K42" s="24"/>
      <c r="L42" s="33"/>
    </row>
    <row r="43" customFormat="false" ht="15.75" hidden="false" customHeight="true" outlineLevel="0" collapsed="false">
      <c r="D43" s="33"/>
      <c r="E43" s="33"/>
      <c r="F43" s="33"/>
      <c r="G43" s="33"/>
      <c r="H43" s="33"/>
      <c r="I43" s="33"/>
      <c r="J43" s="46"/>
      <c r="K43" s="24"/>
      <c r="L43" s="33"/>
    </row>
    <row r="44" customFormat="false" ht="15.75" hidden="false" customHeight="true" outlineLevel="0" collapsed="false">
      <c r="D44" s="33"/>
      <c r="E44" s="33"/>
      <c r="F44" s="33"/>
      <c r="G44" s="33"/>
      <c r="H44" s="33"/>
      <c r="I44" s="33"/>
      <c r="J44" s="46"/>
      <c r="K44" s="24"/>
      <c r="L44" s="33"/>
    </row>
    <row r="45" customFormat="false" ht="15.75" hidden="false" customHeight="true" outlineLevel="0" collapsed="false">
      <c r="D45" s="33"/>
      <c r="E45" s="33"/>
      <c r="F45" s="33"/>
      <c r="G45" s="33"/>
      <c r="H45" s="33"/>
      <c r="I45" s="33"/>
      <c r="J45" s="33"/>
      <c r="K45" s="33"/>
      <c r="L45" s="33"/>
    </row>
    <row r="46" customFormat="false" ht="15.75" hidden="false" customHeight="true" outlineLevel="0" collapsed="false">
      <c r="D46" s="33"/>
      <c r="E46" s="33"/>
      <c r="F46" s="156"/>
      <c r="G46" s="173"/>
      <c r="H46" s="173"/>
      <c r="I46" s="33"/>
      <c r="J46" s="33"/>
      <c r="K46" s="33"/>
      <c r="L46" s="33"/>
    </row>
    <row r="47" customFormat="false" ht="15.75" hidden="false" customHeight="true" outlineLevel="0" collapsed="false">
      <c r="D47" s="33"/>
      <c r="E47" s="33"/>
      <c r="F47" s="156"/>
      <c r="G47" s="26"/>
      <c r="H47" s="26"/>
      <c r="I47" s="33"/>
      <c r="J47" s="33"/>
      <c r="K47" s="33"/>
      <c r="L47" s="33"/>
    </row>
    <row r="48" customFormat="false" ht="15.75" hidden="false" customHeight="true" outlineLevel="0" collapsed="false">
      <c r="D48" s="33"/>
      <c r="E48" s="33"/>
      <c r="F48" s="33"/>
      <c r="G48" s="33"/>
      <c r="H48" s="33"/>
      <c r="I48" s="33"/>
      <c r="J48" s="33"/>
      <c r="K48" s="33"/>
      <c r="L48" s="33"/>
    </row>
    <row r="49" customFormat="false" ht="15.75" hidden="false" customHeight="true" outlineLevel="0" collapsed="false">
      <c r="D49" s="33"/>
      <c r="E49" s="33"/>
      <c r="F49" s="33"/>
      <c r="G49" s="33"/>
      <c r="H49" s="33"/>
      <c r="I49" s="33"/>
      <c r="J49" s="33"/>
      <c r="K49" s="33"/>
      <c r="L49" s="33"/>
    </row>
    <row r="50" customFormat="false" ht="15.75" hidden="false" customHeight="true" outlineLevel="0" collapsed="false">
      <c r="D50" s="33"/>
      <c r="E50" s="33"/>
      <c r="F50" s="33"/>
      <c r="G50" s="33"/>
      <c r="H50" s="33"/>
      <c r="I50" s="33"/>
      <c r="J50" s="33"/>
      <c r="K50" s="33"/>
      <c r="L50" s="33"/>
    </row>
    <row r="51" customFormat="false" ht="15.75" hidden="false" customHeight="true" outlineLevel="0" collapsed="false">
      <c r="D51" s="33"/>
      <c r="E51" s="33"/>
      <c r="F51" s="33"/>
      <c r="G51" s="33"/>
      <c r="H51" s="33"/>
      <c r="I51" s="33"/>
      <c r="J51" s="33"/>
      <c r="K51" s="33"/>
      <c r="L51" s="33"/>
    </row>
    <row r="52" customFormat="false" ht="15.75" hidden="false" customHeight="true" outlineLevel="0" collapsed="false">
      <c r="D52" s="33"/>
      <c r="E52" s="33"/>
      <c r="F52" s="33"/>
      <c r="G52" s="33"/>
      <c r="H52" s="33"/>
      <c r="I52" s="33"/>
      <c r="J52" s="33"/>
      <c r="K52" s="33"/>
      <c r="L52" s="33"/>
    </row>
    <row r="53" customFormat="false" ht="15.75" hidden="false" customHeight="true" outlineLevel="0" collapsed="false">
      <c r="D53" s="33"/>
      <c r="E53" s="33"/>
      <c r="F53" s="33"/>
      <c r="G53" s="33"/>
      <c r="H53" s="33"/>
      <c r="I53" s="33"/>
      <c r="J53" s="33"/>
      <c r="K53" s="33"/>
      <c r="L53" s="33"/>
    </row>
    <row r="54" customFormat="false" ht="15.75" hidden="false" customHeight="true" outlineLevel="0" collapsed="false">
      <c r="D54" s="33"/>
      <c r="E54" s="33"/>
      <c r="F54" s="33"/>
      <c r="G54" s="33"/>
      <c r="H54" s="33"/>
      <c r="I54" s="33"/>
      <c r="J54" s="33"/>
      <c r="K54" s="33"/>
      <c r="L54" s="33"/>
    </row>
    <row r="55" customFormat="false" ht="15.75" hidden="false" customHeight="true" outlineLevel="0" collapsed="false">
      <c r="D55" s="33"/>
      <c r="E55" s="33"/>
      <c r="F55" s="33"/>
      <c r="G55" s="33"/>
      <c r="H55" s="33"/>
      <c r="I55" s="33"/>
      <c r="J55" s="33"/>
      <c r="K55" s="33"/>
      <c r="L55" s="33"/>
    </row>
    <row r="56" customFormat="false" ht="15.75" hidden="false" customHeight="true" outlineLevel="0" collapsed="false">
      <c r="D56" s="33"/>
      <c r="E56" s="33"/>
      <c r="F56" s="33"/>
      <c r="G56" s="33"/>
      <c r="H56" s="33"/>
      <c r="I56" s="33"/>
      <c r="J56" s="33"/>
      <c r="K56" s="33"/>
      <c r="L56" s="33"/>
    </row>
    <row r="57" customFormat="false" ht="15.75" hidden="false" customHeight="true" outlineLevel="0" collapsed="false">
      <c r="D57" s="33"/>
      <c r="E57" s="33"/>
      <c r="F57" s="33"/>
      <c r="G57" s="33"/>
      <c r="H57" s="33"/>
      <c r="I57" s="33"/>
      <c r="J57" s="33"/>
      <c r="K57" s="33"/>
      <c r="L57" s="33"/>
    </row>
    <row r="58" customFormat="false" ht="15.75" hidden="false" customHeight="true" outlineLevel="0" collapsed="false">
      <c r="D58" s="33"/>
      <c r="E58" s="33"/>
      <c r="F58" s="33"/>
      <c r="G58" s="33"/>
      <c r="H58" s="33"/>
      <c r="I58" s="33"/>
      <c r="J58" s="33"/>
      <c r="K58" s="33"/>
      <c r="L58" s="33"/>
    </row>
    <row r="59" customFormat="false" ht="15.75" hidden="false" customHeight="true" outlineLevel="0" collapsed="false">
      <c r="D59" s="33"/>
      <c r="E59" s="33"/>
      <c r="F59" s="33"/>
      <c r="G59" s="33"/>
      <c r="H59" s="33"/>
      <c r="I59" s="33"/>
      <c r="J59" s="33"/>
      <c r="K59" s="33"/>
      <c r="L59" s="33"/>
    </row>
    <row r="60" customFormat="false" ht="15.75" hidden="false" customHeight="true" outlineLevel="0" collapsed="false">
      <c r="D60" s="33"/>
      <c r="E60" s="33"/>
      <c r="F60" s="33"/>
      <c r="G60" s="33"/>
      <c r="H60" s="33"/>
      <c r="I60" s="33"/>
      <c r="J60" s="33"/>
      <c r="K60" s="33"/>
      <c r="L60" s="33"/>
    </row>
    <row r="61" customFormat="false" ht="15.75" hidden="false" customHeight="true" outlineLevel="0" collapsed="false">
      <c r="D61" s="33"/>
      <c r="E61" s="33"/>
      <c r="F61" s="33"/>
      <c r="G61" s="33"/>
      <c r="H61" s="33"/>
      <c r="I61" s="33"/>
      <c r="J61" s="33"/>
      <c r="K61" s="33"/>
      <c r="L61" s="33"/>
    </row>
    <row r="62" customFormat="false" ht="15.75" hidden="false" customHeight="true" outlineLevel="0" collapsed="false">
      <c r="D62" s="33"/>
      <c r="E62" s="33"/>
      <c r="F62" s="33"/>
      <c r="G62" s="33"/>
      <c r="H62" s="33"/>
      <c r="I62" s="33"/>
      <c r="J62" s="33"/>
      <c r="K62" s="33"/>
      <c r="L62" s="33"/>
    </row>
    <row r="63" customFormat="false" ht="15.75" hidden="false" customHeight="true" outlineLevel="0" collapsed="false">
      <c r="D63" s="33"/>
      <c r="E63" s="33"/>
      <c r="F63" s="33"/>
      <c r="G63" s="33"/>
      <c r="H63" s="33"/>
      <c r="I63" s="33"/>
      <c r="J63" s="33"/>
      <c r="K63" s="33"/>
      <c r="L63" s="33"/>
    </row>
    <row r="64" customFormat="false" ht="15.75" hidden="false" customHeight="true" outlineLevel="0" collapsed="false">
      <c r="D64" s="33"/>
      <c r="E64" s="33"/>
      <c r="F64" s="33"/>
      <c r="G64" s="33"/>
      <c r="H64" s="33"/>
      <c r="I64" s="33"/>
      <c r="J64" s="33"/>
      <c r="K64" s="33"/>
      <c r="L64" s="33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18:H18"/>
    <mergeCell ref="J18:L18"/>
    <mergeCell ref="N18:O18"/>
    <mergeCell ref="G32:H32"/>
    <mergeCell ref="J32:K32"/>
    <mergeCell ref="G46:H46"/>
  </mergeCells>
  <conditionalFormatting sqref="N20:O30">
    <cfRule type="expression" priority="2" aboveAverage="0" equalAverage="0" bottom="0" percent="0" rank="0" text="" dxfId="7">
      <formula>ABS(N20)&gt;=10%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X1000"/>
  <sheetViews>
    <sheetView showFormulas="false" showGridLines="fals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D48" activeCellId="0" sqref="D48"/>
    </sheetView>
  </sheetViews>
  <sheetFormatPr defaultColWidth="14.5078125" defaultRowHeight="15" zeroHeight="false" outlineLevelRow="0" outlineLevelCol="0"/>
  <cols>
    <col collapsed="false" customWidth="true" hidden="false" outlineLevel="0" max="2" min="1" style="1" width="11.5"/>
    <col collapsed="false" customWidth="true" hidden="false" outlineLevel="0" max="3" min="3" style="1" width="36.16"/>
    <col collapsed="false" customWidth="true" hidden="false" outlineLevel="0" max="7" min="4" style="1" width="11.5"/>
    <col collapsed="false" customWidth="true" hidden="false" outlineLevel="0" max="8" min="8" style="1" width="16.5"/>
    <col collapsed="false" customWidth="true" hidden="false" outlineLevel="0" max="12" min="9" style="1" width="11.5"/>
    <col collapsed="false" customWidth="true" hidden="false" outlineLevel="0" max="13" min="13" style="1" width="13"/>
    <col collapsed="false" customWidth="true" hidden="false" outlineLevel="0" max="15" min="14" style="1" width="11.5"/>
    <col collapsed="false" customWidth="true" hidden="false" outlineLevel="0" max="16" min="16" style="1" width="13"/>
    <col collapsed="false" customWidth="true" hidden="false" outlineLevel="0" max="17" min="17" style="1" width="15.66"/>
    <col collapsed="false" customWidth="true" hidden="false" outlineLevel="0" max="28" min="18" style="1" width="11.5"/>
  </cols>
  <sheetData>
    <row r="1" customFormat="false" ht="15" hidden="false" customHeight="false" outlineLevel="0" collapsed="false">
      <c r="D1" s="26"/>
      <c r="E1" s="26"/>
      <c r="F1" s="26"/>
    </row>
    <row r="2" customFormat="false" ht="15" hidden="false" customHeight="false" outlineLevel="0" collapsed="false">
      <c r="B2" s="27"/>
      <c r="C2" s="28"/>
      <c r="D2" s="29"/>
      <c r="E2" s="29"/>
      <c r="F2" s="29"/>
      <c r="G2" s="30"/>
    </row>
    <row r="3" customFormat="false" ht="15" hidden="false" customHeight="false" outlineLevel="0" collapsed="false">
      <c r="B3" s="31"/>
      <c r="D3" s="26"/>
      <c r="E3" s="26"/>
      <c r="F3" s="26"/>
      <c r="G3" s="32"/>
      <c r="M3" s="33" t="s">
        <v>42</v>
      </c>
    </row>
    <row r="4" customFormat="false" ht="15.75" hidden="false" customHeight="false" outlineLevel="0" collapsed="false">
      <c r="B4" s="31"/>
      <c r="C4" s="34" t="s">
        <v>43</v>
      </c>
      <c r="D4" s="34"/>
      <c r="E4" s="34"/>
      <c r="F4" s="34"/>
      <c r="G4" s="32"/>
      <c r="M4" s="35"/>
      <c r="N4" s="33"/>
      <c r="O4" s="33"/>
      <c r="P4" s="33"/>
      <c r="Q4" s="33"/>
      <c r="R4" s="33"/>
      <c r="S4" s="33"/>
      <c r="T4" s="33"/>
    </row>
    <row r="5" customFormat="false" ht="15" hidden="false" customHeight="false" outlineLevel="0" collapsed="false">
      <c r="B5" s="31"/>
      <c r="D5" s="26"/>
      <c r="E5" s="26"/>
      <c r="F5" s="26"/>
      <c r="G5" s="32"/>
      <c r="M5" s="26" t="s">
        <v>44</v>
      </c>
      <c r="N5" s="26" t="s">
        <v>45</v>
      </c>
      <c r="O5" s="26" t="s">
        <v>46</v>
      </c>
      <c r="P5" s="26" t="s">
        <v>47</v>
      </c>
      <c r="Q5" s="26" t="s">
        <v>48</v>
      </c>
      <c r="R5" s="26" t="s">
        <v>49</v>
      </c>
      <c r="S5" s="26" t="s">
        <v>50</v>
      </c>
      <c r="T5" s="26" t="s">
        <v>51</v>
      </c>
      <c r="U5" s="26" t="s">
        <v>52</v>
      </c>
    </row>
    <row r="6" customFormat="false" ht="15" hidden="false" customHeight="false" outlineLevel="0" collapsed="false">
      <c r="B6" s="31"/>
      <c r="C6" s="33" t="s">
        <v>44</v>
      </c>
      <c r="D6" s="36" t="n">
        <v>44865</v>
      </c>
      <c r="E6" s="36"/>
      <c r="F6" s="26"/>
      <c r="G6" s="32"/>
      <c r="M6" s="37" t="n">
        <v>44566</v>
      </c>
      <c r="N6" s="38" t="n">
        <v>51.7</v>
      </c>
      <c r="O6" s="38" t="n">
        <v>25.2</v>
      </c>
      <c r="P6" s="38" t="n">
        <v>23.1</v>
      </c>
      <c r="Q6" s="38"/>
      <c r="R6" s="38"/>
      <c r="S6" s="38"/>
      <c r="T6" s="38"/>
      <c r="U6" s="38"/>
    </row>
    <row r="7" customFormat="false" ht="15" hidden="false" customHeight="false" outlineLevel="0" collapsed="false">
      <c r="B7" s="31"/>
      <c r="D7" s="26"/>
      <c r="E7" s="26"/>
      <c r="F7" s="26"/>
      <c r="G7" s="39"/>
      <c r="M7" s="37" t="n">
        <v>44571</v>
      </c>
      <c r="N7" s="38" t="n">
        <v>43.3</v>
      </c>
      <c r="O7" s="38" t="n">
        <v>22.6</v>
      </c>
      <c r="P7" s="38" t="n">
        <v>34</v>
      </c>
      <c r="Q7" s="38"/>
      <c r="R7" s="38"/>
      <c r="S7" s="38"/>
      <c r="T7" s="38"/>
      <c r="U7" s="38"/>
    </row>
    <row r="8" customFormat="false" ht="15" hidden="false" customHeight="false" outlineLevel="0" collapsed="false">
      <c r="B8" s="31"/>
      <c r="C8" s="40" t="s">
        <v>53</v>
      </c>
      <c r="D8" s="40"/>
      <c r="E8" s="40"/>
      <c r="F8" s="40"/>
      <c r="G8" s="32"/>
      <c r="M8" s="37" t="n">
        <v>44574</v>
      </c>
      <c r="N8" s="38" t="n">
        <v>44.16</v>
      </c>
      <c r="O8" s="38" t="n">
        <v>23.87</v>
      </c>
      <c r="P8" s="38" t="n">
        <v>31.97</v>
      </c>
      <c r="Q8" s="38"/>
      <c r="R8" s="38"/>
      <c r="S8" s="38"/>
      <c r="T8" s="38"/>
      <c r="U8" s="38"/>
    </row>
    <row r="9" customFormat="false" ht="15.75" hidden="false" customHeight="false" outlineLevel="0" collapsed="false">
      <c r="B9" s="31"/>
      <c r="C9" s="41" t="s">
        <v>54</v>
      </c>
      <c r="D9" s="42" t="s">
        <v>55</v>
      </c>
      <c r="E9" s="42" t="s">
        <v>56</v>
      </c>
      <c r="F9" s="42" t="s">
        <v>57</v>
      </c>
      <c r="G9" s="32"/>
      <c r="M9" s="37" t="n">
        <v>37273</v>
      </c>
      <c r="N9" s="38" t="n">
        <v>45.56</v>
      </c>
      <c r="O9" s="38" t="n">
        <v>22.1</v>
      </c>
      <c r="P9" s="38" t="n">
        <v>32.34</v>
      </c>
      <c r="Q9" s="38"/>
      <c r="R9" s="38"/>
      <c r="S9" s="38"/>
      <c r="T9" s="38"/>
      <c r="U9" s="38"/>
    </row>
    <row r="10" customFormat="false" ht="15" hidden="false" customHeight="false" outlineLevel="0" collapsed="false">
      <c r="B10" s="31"/>
      <c r="C10" s="43" t="s">
        <v>58</v>
      </c>
      <c r="D10" s="44" t="n">
        <f aca="false">+'Bal AL FeT'!J26+'Bal AL FeT'!J27+'Bal AL FeT'!J28</f>
        <v>76724.11682</v>
      </c>
      <c r="E10" s="45" t="n">
        <f aca="false">IF(D10=0, "0", ('Bal AL FeT'!J26*'Bal AL FeT'!K26+'Bal AL FeT'!J27*'Bal AL FeT'!K27+'Bal AL FeT'!J28*'Bal AL FeT'!K28)/'Reporte '!D10)</f>
        <v>0.510797618383739</v>
      </c>
      <c r="F10" s="45" t="n">
        <f aca="false">IF(D10=0, "0",('Bal AL FeMag'!J26*'Bal AL FeMag'!K26+'Bal AL FeMag'!J27*'Bal AL FeMag'!K27+'Bal AL FeMag'!J28*'Bal AL FeMag'!K28)/'Reporte '!D10)</f>
        <v>0.477125668419624</v>
      </c>
      <c r="G10" s="32"/>
      <c r="M10" s="37" t="n">
        <v>44585</v>
      </c>
      <c r="N10" s="38"/>
      <c r="O10" s="38"/>
      <c r="P10" s="38"/>
      <c r="Q10" s="38" t="n">
        <v>26.0305606917468</v>
      </c>
      <c r="R10" s="38" t="n">
        <v>24.1278705433964</v>
      </c>
      <c r="S10" s="38" t="n">
        <v>21.6810772554025</v>
      </c>
      <c r="T10" s="38" t="n">
        <v>28.1604915094543</v>
      </c>
      <c r="U10" s="38"/>
    </row>
    <row r="11" customFormat="false" ht="15" hidden="false" customHeight="false" outlineLevel="0" collapsed="false">
      <c r="B11" s="31"/>
      <c r="C11" s="43" t="s">
        <v>59</v>
      </c>
      <c r="D11" s="44" t="n">
        <f aca="false">+'Bal ML FeT'!J20+'Bal ML FeT'!J21</f>
        <v>39817.6257344</v>
      </c>
      <c r="E11" s="45" t="n">
        <f aca="false">IF(D11=0, "0", ('Bal ML FeT'!K20*'Bal ML FeT'!J20+'Bal ML FeT'!K21*'Bal ML FeT'!J21)/'Reporte '!D11)</f>
        <v>0.399419085635739</v>
      </c>
      <c r="F11" s="45" t="n">
        <f aca="false">IF(D11=0,"0", ('Bal ML FeMag'!J20*'Bal ML FeMag'!K20+'Bal ML FeMag'!J21*'Bal ML FeMag'!K21)/'Reporte '!D11)</f>
        <v>0.362499404535118</v>
      </c>
      <c r="G11" s="32"/>
      <c r="H11" s="45"/>
      <c r="M11" s="37" t="n">
        <v>44588</v>
      </c>
      <c r="N11" s="38"/>
      <c r="O11" s="38"/>
      <c r="P11" s="38"/>
      <c r="Q11" s="38" t="n">
        <v>26.9449373451157</v>
      </c>
      <c r="R11" s="38" t="n">
        <v>21.5247507366828</v>
      </c>
      <c r="S11" s="38" t="n">
        <v>21.8954078113413</v>
      </c>
      <c r="T11" s="38" t="n">
        <v>29.6349041068602</v>
      </c>
      <c r="U11" s="38"/>
    </row>
    <row r="12" customFormat="false" ht="15" hidden="false" customHeight="false" outlineLevel="0" collapsed="false">
      <c r="B12" s="31"/>
      <c r="C12" s="43" t="s">
        <v>60</v>
      </c>
      <c r="D12" s="44" t="n">
        <f aca="false">+D10+D11</f>
        <v>116541.7425544</v>
      </c>
      <c r="E12" s="45" t="n">
        <f aca="false">+(D10*E10+D11*E11)/D12</f>
        <v>0.472744053758717</v>
      </c>
      <c r="F12" s="45" t="n">
        <f aca="false">+(D10*F10+D11*F11)/D12</f>
        <v>0.437962484699805</v>
      </c>
      <c r="G12" s="32"/>
      <c r="I12" s="46"/>
      <c r="M12" s="37" t="n">
        <v>44599</v>
      </c>
      <c r="N12" s="38" t="n">
        <v>48.1</v>
      </c>
      <c r="O12" s="38" t="n">
        <v>19.8</v>
      </c>
      <c r="P12" s="38" t="n">
        <v>32.1</v>
      </c>
      <c r="Q12" s="38"/>
      <c r="R12" s="38"/>
      <c r="S12" s="38"/>
      <c r="T12" s="38"/>
      <c r="U12" s="38"/>
    </row>
    <row r="13" customFormat="false" ht="7.5" hidden="false" customHeight="true" outlineLevel="0" collapsed="false">
      <c r="B13" s="31"/>
      <c r="C13" s="47"/>
      <c r="D13" s="48"/>
      <c r="E13" s="49"/>
      <c r="F13" s="49"/>
      <c r="G13" s="32"/>
      <c r="N13" s="38"/>
      <c r="O13" s="38"/>
      <c r="P13" s="38"/>
      <c r="Q13" s="38"/>
      <c r="R13" s="38"/>
      <c r="S13" s="38"/>
      <c r="T13" s="38"/>
      <c r="U13" s="38"/>
    </row>
    <row r="14" customFormat="false" ht="15" hidden="false" customHeight="false" outlineLevel="0" collapsed="false">
      <c r="B14" s="31"/>
      <c r="C14" s="40" t="s">
        <v>61</v>
      </c>
      <c r="D14" s="40"/>
      <c r="E14" s="40"/>
      <c r="F14" s="40"/>
      <c r="G14" s="32"/>
      <c r="M14" s="37" t="n">
        <v>44608</v>
      </c>
      <c r="N14" s="38" t="n">
        <v>55.8</v>
      </c>
      <c r="O14" s="38" t="n">
        <v>24.2</v>
      </c>
      <c r="P14" s="38" t="n">
        <v>19.9</v>
      </c>
      <c r="Q14" s="38" t="n">
        <v>25.1</v>
      </c>
      <c r="R14" s="38" t="n">
        <v>21.3</v>
      </c>
      <c r="S14" s="38" t="n">
        <f aca="false">100-Q14-R14-T14</f>
        <v>28.3</v>
      </c>
      <c r="T14" s="38" t="n">
        <v>25.3</v>
      </c>
      <c r="U14" s="38"/>
    </row>
    <row r="15" customFormat="false" ht="15" hidden="false" customHeight="false" outlineLevel="0" collapsed="false">
      <c r="B15" s="31"/>
      <c r="C15" s="50" t="s">
        <v>62</v>
      </c>
      <c r="D15" s="50"/>
      <c r="E15" s="50"/>
      <c r="F15" s="50"/>
      <c r="G15" s="32"/>
      <c r="H15" s="33" t="s">
        <v>63</v>
      </c>
      <c r="I15" s="33" t="s">
        <v>64</v>
      </c>
      <c r="M15" s="37" t="n">
        <v>44620</v>
      </c>
      <c r="N15" s="38" t="n">
        <v>52.7704696842396</v>
      </c>
      <c r="O15" s="38" t="n">
        <v>23.4291469801927</v>
      </c>
      <c r="P15" s="38" t="n">
        <v>23.8003833355678</v>
      </c>
      <c r="Q15" s="38" t="n">
        <v>31.82099267712</v>
      </c>
      <c r="R15" s="38" t="n">
        <v>23.6057512023001</v>
      </c>
      <c r="S15" s="38" t="n">
        <v>18.3526912057936</v>
      </c>
      <c r="T15" s="38" t="n">
        <v>27.9202210292514</v>
      </c>
      <c r="U15" s="38"/>
    </row>
    <row r="16" customFormat="false" ht="15" hidden="false" customHeight="false" outlineLevel="0" collapsed="false">
      <c r="B16" s="31"/>
      <c r="C16" s="43" t="s">
        <v>48</v>
      </c>
      <c r="D16" s="44" t="n">
        <f aca="false">+'Bal AL FeT'!J29</f>
        <v>23736.495548</v>
      </c>
      <c r="E16" s="45" t="n">
        <f aca="false">'Bal AL FeT'!K29</f>
        <v>0.60202205505</v>
      </c>
      <c r="F16" s="45" t="n">
        <f aca="false">+'Bal AL FeMag'!K29</f>
        <v>0.59490575227</v>
      </c>
      <c r="G16" s="32"/>
      <c r="H16" s="33" t="n">
        <f aca="false">+D16/$D$10*100</f>
        <v>30.93746338415</v>
      </c>
      <c r="I16" s="33" t="n">
        <f aca="false">+H16*E16/$E$10</f>
        <v>36.4626509878674</v>
      </c>
      <c r="M16" s="37" t="n">
        <v>44628</v>
      </c>
      <c r="N16" s="38" t="n">
        <v>50.1237884720733</v>
      </c>
      <c r="O16" s="38" t="n">
        <v>28.0315707716819</v>
      </c>
      <c r="P16" s="38" t="n">
        <v>21.8446407562448</v>
      </c>
      <c r="Q16" s="38" t="n">
        <v>19.5536484707534</v>
      </c>
      <c r="R16" s="38" t="n">
        <v>17.2682540762969</v>
      </c>
      <c r="S16" s="38" t="n">
        <v>25.4822896472865</v>
      </c>
      <c r="T16" s="38" t="n">
        <v>37.6958078056652</v>
      </c>
      <c r="U16" s="38"/>
    </row>
    <row r="17" customFormat="false" ht="15" hidden="false" customHeight="false" outlineLevel="0" collapsed="false">
      <c r="B17" s="31"/>
      <c r="C17" s="43" t="s">
        <v>49</v>
      </c>
      <c r="D17" s="44" t="n">
        <f aca="false">+'Bal AL FeT'!J33</f>
        <v>16442.96025</v>
      </c>
      <c r="E17" s="45" t="n">
        <f aca="false">+'Bal AL FeT'!K33</f>
        <v>0.6060561106</v>
      </c>
      <c r="F17" s="45" t="n">
        <f aca="false">+'Bal AL FeMag'!K33</f>
        <v>0.58889043143</v>
      </c>
      <c r="G17" s="32"/>
      <c r="H17" s="33" t="n">
        <f aca="false">+D17/$D$10*100</f>
        <v>21.4312799306329</v>
      </c>
      <c r="I17" s="33" t="n">
        <f aca="false">+H17*E17/$E$10</f>
        <v>25.4279927949498</v>
      </c>
      <c r="M17" s="37" t="n">
        <v>44634</v>
      </c>
      <c r="N17" s="38" t="n">
        <v>42.0206910037902</v>
      </c>
      <c r="O17" s="38" t="n">
        <v>23.8636222409544</v>
      </c>
      <c r="P17" s="38" t="n">
        <v>34.1156867552554</v>
      </c>
      <c r="Q17" s="38"/>
      <c r="R17" s="38"/>
      <c r="S17" s="38"/>
      <c r="T17" s="38"/>
      <c r="U17" s="38"/>
    </row>
    <row r="18" customFormat="false" ht="15" hidden="true" customHeight="false" outlineLevel="0" collapsed="false">
      <c r="B18" s="31"/>
      <c r="C18" s="43" t="s">
        <v>52</v>
      </c>
      <c r="D18" s="44" t="n">
        <f aca="false">+D20+D19</f>
        <v>36544.6610226</v>
      </c>
      <c r="E18" s="45" t="n">
        <f aca="false">IFERROR((E19*D19+E20*D20)/D18, 0)</f>
        <v>0.408684753723891</v>
      </c>
      <c r="F18" s="45" t="n">
        <f aca="false">IFERROR((D19*F19+D20*F20)/D18, 0)</f>
        <v>0.350337516402237</v>
      </c>
      <c r="G18" s="32"/>
      <c r="H18" s="33" t="n">
        <f aca="false">+D18/$D$10*100</f>
        <v>47.6312566859991</v>
      </c>
      <c r="I18" s="33" t="n">
        <f aca="false">+H18*E18/$E$10</f>
        <v>38.1093562453789</v>
      </c>
      <c r="M18" s="37"/>
      <c r="N18" s="38"/>
      <c r="O18" s="38"/>
      <c r="P18" s="38"/>
      <c r="Q18" s="38"/>
      <c r="R18" s="38"/>
      <c r="S18" s="38"/>
      <c r="T18" s="38"/>
      <c r="U18" s="38"/>
    </row>
    <row r="19" customFormat="false" ht="15" hidden="false" customHeight="false" outlineLevel="0" collapsed="false">
      <c r="B19" s="31"/>
      <c r="C19" s="43" t="s">
        <v>65</v>
      </c>
      <c r="D19" s="44" t="n">
        <f aca="false">+'Bal AL FeT'!J37</f>
        <v>4229.8487616</v>
      </c>
      <c r="E19" s="45" t="n">
        <f aca="false">+'Bal AL FeT'!K37</f>
        <v>0.35829297645</v>
      </c>
      <c r="F19" s="45" t="n">
        <f aca="false">+'Bal AL FeMag'!K37</f>
        <v>0.32208141522</v>
      </c>
      <c r="G19" s="32"/>
      <c r="H19" s="33" t="n">
        <f aca="false">+D19/$D$10*100</f>
        <v>5.51306282420104</v>
      </c>
      <c r="I19" s="33" t="n">
        <f aca="false">+H19*E19/$E$10</f>
        <v>3.86707301981758</v>
      </c>
      <c r="M19" s="37" t="n">
        <v>44640</v>
      </c>
      <c r="N19" s="38" t="n">
        <v>40.9300344882245</v>
      </c>
      <c r="O19" s="38" t="n">
        <v>22.732547535538</v>
      </c>
      <c r="P19" s="38" t="n">
        <v>36.3374179762375</v>
      </c>
      <c r="Q19" s="38"/>
      <c r="R19" s="38"/>
      <c r="S19" s="38"/>
      <c r="T19" s="38"/>
      <c r="U19" s="38"/>
    </row>
    <row r="20" customFormat="false" ht="15" hidden="false" customHeight="false" outlineLevel="0" collapsed="false">
      <c r="B20" s="31"/>
      <c r="C20" s="43" t="s">
        <v>66</v>
      </c>
      <c r="D20" s="44" t="n">
        <f aca="false">+'Bal AL FeT'!J40</f>
        <v>32314.812261</v>
      </c>
      <c r="E20" s="45" t="n">
        <f aca="false">+'Bal AL FeT'!K40</f>
        <v>0.41528078761</v>
      </c>
      <c r="F20" s="45" t="n">
        <f aca="false">+'Bal AL FeMag'!K40</f>
        <v>0.3540361</v>
      </c>
      <c r="G20" s="32"/>
      <c r="H20" s="33" t="n">
        <f aca="false">+D20/$D$10*100</f>
        <v>42.118193861798</v>
      </c>
      <c r="I20" s="33" t="n">
        <f aca="false">+H20*E20/$E$10</f>
        <v>34.2422832255613</v>
      </c>
      <c r="M20" s="37" t="n">
        <v>44651</v>
      </c>
      <c r="N20" s="38" t="n">
        <v>45.5220446218197</v>
      </c>
      <c r="O20" s="38" t="n">
        <v>22.5652231896817</v>
      </c>
      <c r="P20" s="38" t="n">
        <v>31.9127321884986</v>
      </c>
      <c r="Q20" s="38" t="n">
        <v>22.7648287347661</v>
      </c>
      <c r="R20" s="38" t="n">
        <v>18.8535088742181</v>
      </c>
      <c r="S20" s="38" t="n">
        <v>27.9440741453357</v>
      </c>
      <c r="T20" s="38" t="n">
        <v>30.43758824568</v>
      </c>
      <c r="U20" s="38"/>
    </row>
    <row r="21" customFormat="false" ht="15.75" hidden="false" customHeight="true" outlineLevel="0" collapsed="false">
      <c r="B21" s="31"/>
      <c r="C21" s="50" t="s">
        <v>67</v>
      </c>
      <c r="D21" s="50"/>
      <c r="E21" s="50"/>
      <c r="F21" s="50"/>
      <c r="G21" s="32"/>
      <c r="H21" s="51" t="s">
        <v>68</v>
      </c>
      <c r="M21" s="37" t="n">
        <v>44661</v>
      </c>
      <c r="N21" s="38" t="n">
        <v>48.1</v>
      </c>
      <c r="O21" s="38" t="n">
        <v>25.5</v>
      </c>
      <c r="P21" s="38" t="n">
        <v>26.4</v>
      </c>
      <c r="Q21" s="38" t="n">
        <v>21.1</v>
      </c>
      <c r="R21" s="38" t="n">
        <v>19.5</v>
      </c>
      <c r="S21" s="38" t="n">
        <v>10.9</v>
      </c>
      <c r="T21" s="38" t="n">
        <v>48.4</v>
      </c>
      <c r="U21" s="38"/>
    </row>
    <row r="22" customFormat="false" ht="15.75" hidden="false" customHeight="true" outlineLevel="0" collapsed="false">
      <c r="B22" s="31"/>
      <c r="C22" s="43" t="str">
        <f aca="false">+C16</f>
        <v>Granzas</v>
      </c>
      <c r="D22" s="44"/>
      <c r="E22" s="52"/>
      <c r="F22" s="52"/>
      <c r="G22" s="32"/>
      <c r="H22" s="53" t="n">
        <f aca="false">+D20+D31+D32</f>
        <v>60933.030697</v>
      </c>
      <c r="J22" s="46"/>
      <c r="K22" s="46" t="n">
        <f aca="false">+D20+D31+D32</f>
        <v>60933.030697</v>
      </c>
      <c r="M22" s="37" t="n">
        <v>44669</v>
      </c>
      <c r="N22" s="38" t="n">
        <v>48.36</v>
      </c>
      <c r="O22" s="38" t="n">
        <v>25.32</v>
      </c>
      <c r="P22" s="38" t="n">
        <v>26.31</v>
      </c>
      <c r="Q22" s="38"/>
      <c r="R22" s="38"/>
      <c r="S22" s="38"/>
      <c r="T22" s="38"/>
      <c r="U22" s="38"/>
    </row>
    <row r="23" customFormat="false" ht="15.75" hidden="false" customHeight="true" outlineLevel="0" collapsed="false">
      <c r="B23" s="31"/>
      <c r="C23" s="43" t="s">
        <v>49</v>
      </c>
      <c r="D23" s="44"/>
      <c r="E23" s="52"/>
      <c r="F23" s="52"/>
      <c r="G23" s="32"/>
      <c r="H23" s="46" t="n">
        <f aca="false">+D40+D41+D42</f>
        <v>54511.36</v>
      </c>
      <c r="K23" s="46" t="n">
        <f aca="false">+D40+D41+D42</f>
        <v>54511.36</v>
      </c>
      <c r="M23" s="37" t="n">
        <v>44671</v>
      </c>
      <c r="N23" s="38" t="n">
        <v>48.1128248678063</v>
      </c>
      <c r="O23" s="38" t="n">
        <v>25.194419254709</v>
      </c>
      <c r="P23" s="38" t="n">
        <v>26.6927558774847</v>
      </c>
      <c r="Q23" s="38" t="n">
        <v>29.7156023507198</v>
      </c>
      <c r="R23" s="38" t="n">
        <v>16.8505727757932</v>
      </c>
      <c r="S23" s="38" t="n">
        <v>19.0939891823874</v>
      </c>
      <c r="T23" s="38" t="n">
        <v>34.3398356910981</v>
      </c>
      <c r="U23" s="38"/>
    </row>
    <row r="24" customFormat="false" ht="15.75" hidden="false" customHeight="true" outlineLevel="0" collapsed="false">
      <c r="B24" s="31"/>
      <c r="C24" s="43" t="s">
        <v>65</v>
      </c>
      <c r="D24" s="44"/>
      <c r="E24" s="52"/>
      <c r="F24" s="52"/>
      <c r="G24" s="32"/>
      <c r="H24" s="46" t="n">
        <f aca="false">+H23-H22</f>
        <v>-6421.67069699999</v>
      </c>
      <c r="K24" s="46" t="n">
        <f aca="false">+K22-K23</f>
        <v>6421.67069699999</v>
      </c>
      <c r="M24" s="37" t="n">
        <v>44675</v>
      </c>
      <c r="N24" s="38" t="n">
        <v>48.1719891824559</v>
      </c>
      <c r="O24" s="38" t="n">
        <v>24.3944854943763</v>
      </c>
      <c r="P24" s="38" t="n">
        <v>27.4335253231678</v>
      </c>
      <c r="Q24" s="38" t="n">
        <v>24.5033513817364</v>
      </c>
      <c r="R24" s="38" t="n">
        <v>20.4755981572451</v>
      </c>
      <c r="S24" s="38" t="n">
        <v>19.9703134017276</v>
      </c>
      <c r="T24" s="38" t="n">
        <v>35.0507370594441</v>
      </c>
      <c r="U24" s="38"/>
    </row>
    <row r="25" customFormat="false" ht="15.75" hidden="false" customHeight="true" outlineLevel="0" collapsed="false">
      <c r="B25" s="31"/>
      <c r="C25" s="43" t="str">
        <f aca="false">+C20</f>
        <v>Prec Mixto 2</v>
      </c>
      <c r="D25" s="44"/>
      <c r="E25" s="52"/>
      <c r="F25" s="52"/>
      <c r="G25" s="32"/>
      <c r="M25" s="37" t="n">
        <v>44681</v>
      </c>
      <c r="N25" s="38" t="n">
        <v>48.7198317045062</v>
      </c>
      <c r="O25" s="38" t="n">
        <v>24.6004545317909</v>
      </c>
      <c r="P25" s="38" t="n">
        <v>26.6797137637029</v>
      </c>
      <c r="Q25" s="38" t="n">
        <v>24.2830045912587</v>
      </c>
      <c r="R25" s="38" t="n">
        <v>20.6497369658713</v>
      </c>
      <c r="T25" s="38"/>
      <c r="U25" s="38" t="n">
        <v>55.06725844287</v>
      </c>
    </row>
    <row r="26" customFormat="false" ht="15.75" hidden="true" customHeight="true" outlineLevel="0" collapsed="false">
      <c r="B26" s="31"/>
      <c r="C26" s="50" t="s">
        <v>69</v>
      </c>
      <c r="D26" s="50"/>
      <c r="E26" s="50"/>
      <c r="F26" s="50"/>
      <c r="G26" s="32"/>
      <c r="N26" s="38"/>
      <c r="O26" s="38"/>
      <c r="P26" s="38"/>
      <c r="Q26" s="38"/>
      <c r="R26" s="38"/>
      <c r="S26" s="38"/>
      <c r="T26" s="38"/>
      <c r="U26" s="38"/>
    </row>
    <row r="27" customFormat="false" ht="15.75" hidden="true" customHeight="true" outlineLevel="0" collapsed="false">
      <c r="B27" s="31"/>
      <c r="C27" s="43" t="s">
        <v>70</v>
      </c>
      <c r="D27" s="44"/>
      <c r="E27" s="52"/>
      <c r="F27" s="52"/>
      <c r="G27" s="32"/>
      <c r="N27" s="38"/>
      <c r="O27" s="38"/>
      <c r="P27" s="38"/>
      <c r="Q27" s="38"/>
      <c r="R27" s="38"/>
      <c r="S27" s="38"/>
      <c r="T27" s="38"/>
      <c r="U27" s="38"/>
    </row>
    <row r="28" customFormat="false" ht="15.75" hidden="true" customHeight="true" outlineLevel="0" collapsed="false">
      <c r="B28" s="31"/>
      <c r="C28" s="43" t="s">
        <v>49</v>
      </c>
      <c r="D28" s="44"/>
      <c r="E28" s="52"/>
      <c r="F28" s="52"/>
      <c r="G28" s="32"/>
      <c r="N28" s="38"/>
      <c r="O28" s="38"/>
      <c r="P28" s="38"/>
      <c r="Q28" s="38"/>
      <c r="R28" s="38"/>
      <c r="S28" s="38"/>
      <c r="T28" s="38"/>
      <c r="U28" s="38"/>
    </row>
    <row r="29" customFormat="false" ht="15.75" hidden="true" customHeight="true" outlineLevel="0" collapsed="false">
      <c r="B29" s="31"/>
      <c r="C29" s="43" t="s">
        <v>47</v>
      </c>
      <c r="D29" s="44"/>
      <c r="E29" s="52"/>
      <c r="F29" s="52"/>
      <c r="G29" s="32"/>
      <c r="N29" s="38"/>
      <c r="O29" s="38"/>
      <c r="P29" s="38"/>
      <c r="Q29" s="38"/>
      <c r="R29" s="38"/>
      <c r="S29" s="38"/>
      <c r="T29" s="38"/>
      <c r="U29" s="38"/>
    </row>
    <row r="30" customFormat="false" ht="15.75" hidden="false" customHeight="true" outlineLevel="0" collapsed="false">
      <c r="B30" s="31"/>
      <c r="C30" s="50" t="s">
        <v>71</v>
      </c>
      <c r="D30" s="50"/>
      <c r="E30" s="50"/>
      <c r="F30" s="50"/>
      <c r="G30" s="32"/>
      <c r="H30" s="33" t="s">
        <v>63</v>
      </c>
      <c r="M30" s="37" t="n">
        <v>44690</v>
      </c>
      <c r="N30" s="38" t="n">
        <v>44.8994642371586</v>
      </c>
      <c r="O30" s="38" t="n">
        <v>21.855867730827</v>
      </c>
      <c r="P30" s="38" t="n">
        <v>33.2446680320143</v>
      </c>
      <c r="Q30" s="38"/>
      <c r="R30" s="38"/>
      <c r="S30" s="38"/>
      <c r="T30" s="38"/>
      <c r="U30" s="38"/>
    </row>
    <row r="31" customFormat="false" ht="15.75" hidden="false" customHeight="true" outlineLevel="0" collapsed="false">
      <c r="B31" s="31"/>
      <c r="C31" s="43" t="str">
        <f aca="false">+C27</f>
        <v>Prec. Granzas</v>
      </c>
      <c r="D31" s="44" t="n">
        <f aca="false">+'Bal ML FeT'!J23</f>
        <v>19699.439776</v>
      </c>
      <c r="E31" s="45" t="n">
        <f aca="false">+'Bal ML FeT'!K23</f>
        <v>0.48497917266</v>
      </c>
      <c r="F31" s="45" t="n">
        <f aca="false">+'Bal ML FeMag'!K23</f>
        <v>0.45184507575</v>
      </c>
      <c r="G31" s="32"/>
      <c r="H31" s="33" t="n">
        <f aca="false">+D31/$D$11*100</f>
        <v>49.4741698246987</v>
      </c>
      <c r="I31" s="46" t="n">
        <f aca="false">+E31*H31/$E$11</f>
        <v>60.0720967337666</v>
      </c>
      <c r="M31" s="37" t="n">
        <v>44692</v>
      </c>
      <c r="N31" s="38" t="n">
        <v>46.640092870449</v>
      </c>
      <c r="O31" s="38" t="n">
        <v>22.4474905793018</v>
      </c>
      <c r="P31" s="38" t="n">
        <v>30.9124165502491</v>
      </c>
      <c r="Q31" s="38"/>
      <c r="R31" s="38"/>
      <c r="S31" s="38"/>
      <c r="T31" s="38"/>
      <c r="U31" s="38"/>
    </row>
    <row r="32" customFormat="false" ht="15.75" hidden="false" customHeight="true" outlineLevel="0" collapsed="false">
      <c r="B32" s="31"/>
      <c r="C32" s="43" t="s">
        <v>72</v>
      </c>
      <c r="D32" s="44" t="n">
        <f aca="false">+'Bal ML FeT'!J26</f>
        <v>8918.77866</v>
      </c>
      <c r="E32" s="45" t="n">
        <f aca="false">+'Bal ML FeT'!K26</f>
        <v>0.48053918216</v>
      </c>
      <c r="F32" s="45" t="n">
        <f aca="false">+'Bal ML FeMag'!K26</f>
        <v>0.43840869993</v>
      </c>
      <c r="G32" s="32"/>
      <c r="H32" s="33" t="n">
        <f aca="false">+D32/$D$11*100</f>
        <v>22.3990720076881</v>
      </c>
      <c r="I32" s="46" t="n">
        <f aca="false">+E32*H32/$E$11</f>
        <v>26.9482158735238</v>
      </c>
      <c r="M32" s="37" t="n">
        <v>44696</v>
      </c>
      <c r="N32" s="38" t="n">
        <v>50.4874288371276</v>
      </c>
      <c r="O32" s="38" t="n">
        <v>25.4204699465604</v>
      </c>
      <c r="P32" s="38" t="n">
        <v>24.092101216312</v>
      </c>
      <c r="Q32" s="38"/>
      <c r="R32" s="38"/>
      <c r="S32" s="38"/>
      <c r="T32" s="38"/>
      <c r="U32" s="38"/>
    </row>
    <row r="33" customFormat="false" ht="15.75" hidden="false" customHeight="true" outlineLevel="0" collapsed="false">
      <c r="B33" s="31"/>
      <c r="C33" s="43" t="s">
        <v>47</v>
      </c>
      <c r="D33" s="44" t="n">
        <f aca="false">+'Bal ML FeT'!J29</f>
        <v>11299.449658</v>
      </c>
      <c r="E33" s="45" t="n">
        <f aca="false">+'Bal ML FeT'!K29</f>
        <v>0.18653539344</v>
      </c>
      <c r="F33" s="45" t="n">
        <f aca="false">+'Bal ML FeMag'!K29</f>
        <v>0.14700580432</v>
      </c>
      <c r="G33" s="32"/>
      <c r="H33" s="33" t="n">
        <f aca="false">+D33/$D$11*100</f>
        <v>28.3780096115524</v>
      </c>
      <c r="I33" s="46" t="n">
        <f aca="false">+E33*H33/$E$11</f>
        <v>13.2530051224507</v>
      </c>
      <c r="M33" s="37" t="n">
        <v>44712</v>
      </c>
      <c r="N33" s="38" t="n">
        <v>45.9018152595994</v>
      </c>
      <c r="O33" s="38" t="n">
        <v>22.2331557577391</v>
      </c>
      <c r="P33" s="38" t="n">
        <v>31.8650289826614</v>
      </c>
      <c r="Q33" s="38" t="n">
        <v>20.8280476963436</v>
      </c>
      <c r="R33" s="38" t="n">
        <v>19.1714400664856</v>
      </c>
      <c r="S33" s="38" t="n">
        <v>28.1035426946339</v>
      </c>
      <c r="T33" s="38" t="n">
        <v>31.896969542537</v>
      </c>
      <c r="U33" s="38"/>
    </row>
    <row r="34" customFormat="false" ht="15.75" hidden="false" customHeight="true" outlineLevel="0" collapsed="false">
      <c r="B34" s="31"/>
      <c r="C34" s="50" t="s">
        <v>73</v>
      </c>
      <c r="D34" s="50"/>
      <c r="E34" s="50"/>
      <c r="F34" s="50"/>
      <c r="G34" s="32"/>
      <c r="H34" s="27" t="s">
        <v>74</v>
      </c>
      <c r="I34" s="54" t="s">
        <v>75</v>
      </c>
      <c r="J34" s="55" t="s">
        <v>76</v>
      </c>
      <c r="M34" s="37" t="n">
        <v>44725</v>
      </c>
      <c r="N34" s="38" t="n">
        <v>56.2029440733611</v>
      </c>
      <c r="O34" s="38" t="n">
        <v>24.4912111284443</v>
      </c>
      <c r="P34" s="38" t="n">
        <v>19.3058447981946</v>
      </c>
      <c r="Q34" s="38" t="n">
        <v>23.2024226049747</v>
      </c>
      <c r="R34" s="38" t="n">
        <v>20.1042946454686</v>
      </c>
      <c r="S34" s="38" t="n">
        <v>39.2866930167799</v>
      </c>
      <c r="T34" s="38" t="n">
        <v>17.4065897327767</v>
      </c>
      <c r="U34" s="38"/>
    </row>
    <row r="35" customFormat="false" ht="15.75" hidden="false" customHeight="true" outlineLevel="0" collapsed="false">
      <c r="B35" s="31"/>
      <c r="C35" s="43" t="str">
        <f aca="false">+C31</f>
        <v>Prec. Granzas</v>
      </c>
      <c r="D35" s="44"/>
      <c r="E35" s="52"/>
      <c r="F35" s="52"/>
      <c r="G35" s="32"/>
      <c r="H35" s="56" t="n">
        <f aca="false">+D16+D17+D20+D31+D32</f>
        <v>101112.486495</v>
      </c>
      <c r="I35" s="57" t="n">
        <f aca="false">+(D16*E16+D17*E17+D20*E20+D31*E31+D32*E32)/H35*100</f>
        <v>50.9478239986658</v>
      </c>
      <c r="J35" s="58" t="n">
        <f aca="false">+(D16*F16+D17*F17+D20*F20+D31*F31+D32*F32)/H35*100</f>
        <v>47.527122002337</v>
      </c>
      <c r="M35" s="37" t="n">
        <v>44731</v>
      </c>
      <c r="N35" s="38" t="n">
        <v>54.5834755178395</v>
      </c>
      <c r="O35" s="38" t="n">
        <v>24.6865048360783</v>
      </c>
      <c r="P35" s="38" t="n">
        <v>20.7300196460822</v>
      </c>
      <c r="Q35" s="38" t="n">
        <v>28.9560575546039</v>
      </c>
      <c r="R35" s="38" t="n">
        <v>21.0417342172093</v>
      </c>
      <c r="S35" s="38" t="n">
        <v>29.1195443578905</v>
      </c>
      <c r="T35" s="38" t="n">
        <v>20.8826638702963</v>
      </c>
      <c r="U35" s="38"/>
    </row>
    <row r="36" customFormat="false" ht="15.75" hidden="false" customHeight="true" outlineLevel="0" collapsed="false">
      <c r="B36" s="31"/>
      <c r="C36" s="43" t="str">
        <f aca="false">+C32</f>
        <v>Pre. Finos</v>
      </c>
      <c r="D36" s="44"/>
      <c r="E36" s="52"/>
      <c r="F36" s="52"/>
      <c r="G36" s="32"/>
      <c r="H36" s="59" t="s">
        <v>77</v>
      </c>
      <c r="I36" s="54" t="s">
        <v>75</v>
      </c>
      <c r="J36" s="55" t="s">
        <v>76</v>
      </c>
      <c r="M36" s="37" t="n">
        <v>44742</v>
      </c>
      <c r="N36" s="38" t="n">
        <v>47.8633991933925</v>
      </c>
      <c r="O36" s="38" t="n">
        <v>23.5810326900002</v>
      </c>
      <c r="P36" s="38" t="n">
        <v>28.5555681166073</v>
      </c>
      <c r="Q36" s="38" t="n">
        <v>31.8111955260123</v>
      </c>
      <c r="R36" s="38" t="n">
        <v>21.2780013367797</v>
      </c>
      <c r="S36" s="38" t="n">
        <v>23.9945820434436</v>
      </c>
      <c r="T36" s="38" t="n">
        <v>22.9162210937659</v>
      </c>
      <c r="W36" s="33" t="s">
        <v>44</v>
      </c>
      <c r="X36" s="33" t="s">
        <v>78</v>
      </c>
    </row>
    <row r="37" customFormat="false" ht="15.75" hidden="false" customHeight="true" outlineLevel="0" collapsed="false">
      <c r="B37" s="31"/>
      <c r="C37" s="43" t="str">
        <f aca="false">+C33</f>
        <v>Rechazo</v>
      </c>
      <c r="D37" s="44"/>
      <c r="E37" s="52"/>
      <c r="F37" s="52"/>
      <c r="G37" s="32"/>
      <c r="H37" s="56" t="n">
        <f aca="false">+D19+D33</f>
        <v>15529.2984196</v>
      </c>
      <c r="I37" s="60" t="n">
        <f aca="false">(D19*E19+D33*E33)/H37</f>
        <v>0.233318485641597</v>
      </c>
      <c r="J37" s="61" t="n">
        <f aca="false">+(D19*F19+D33*F33)/H37</f>
        <v>0.194692656355573</v>
      </c>
      <c r="M37" s="37" t="n">
        <v>44753</v>
      </c>
      <c r="N37" s="62" t="n">
        <v>48.823627076342</v>
      </c>
      <c r="O37" s="62" t="n">
        <v>23.8028614176002</v>
      </c>
      <c r="P37" s="62" t="n">
        <v>27.3735115060578</v>
      </c>
      <c r="W37" s="37" t="n">
        <v>44725</v>
      </c>
      <c r="X37" s="38" t="n">
        <v>23.2024226049747</v>
      </c>
    </row>
    <row r="38" customFormat="false" ht="7.5" hidden="false" customHeight="true" outlineLevel="0" collapsed="false">
      <c r="B38" s="31"/>
      <c r="C38" s="47"/>
      <c r="D38" s="48"/>
      <c r="E38" s="49"/>
      <c r="F38" s="49"/>
      <c r="G38" s="32"/>
      <c r="W38" s="37" t="n">
        <v>44731</v>
      </c>
      <c r="X38" s="38" t="n">
        <v>28.9560575546039</v>
      </c>
    </row>
    <row r="39" customFormat="false" ht="15.75" hidden="false" customHeight="true" outlineLevel="0" collapsed="false">
      <c r="B39" s="31"/>
      <c r="C39" s="40" t="s">
        <v>79</v>
      </c>
      <c r="D39" s="40"/>
      <c r="E39" s="40"/>
      <c r="F39" s="40"/>
      <c r="G39" s="32"/>
      <c r="H39" s="46"/>
      <c r="M39" s="37" t="n">
        <v>44755</v>
      </c>
      <c r="N39" s="62"/>
      <c r="O39" s="62"/>
      <c r="P39" s="62"/>
      <c r="Q39" s="62" t="n">
        <v>33.0909090909091</v>
      </c>
      <c r="R39" s="62" t="n">
        <v>25.8920454545455</v>
      </c>
      <c r="S39" s="62" t="n">
        <v>18.1716810283724</v>
      </c>
      <c r="T39" s="62" t="n">
        <v>22.8453644261731</v>
      </c>
      <c r="W39" s="37" t="n">
        <v>44742</v>
      </c>
      <c r="X39" s="38" t="n">
        <v>31.8111955260123</v>
      </c>
    </row>
    <row r="40" customFormat="false" ht="15.75" hidden="false" customHeight="true" outlineLevel="0" collapsed="false">
      <c r="B40" s="31"/>
      <c r="C40" s="43" t="s">
        <v>80</v>
      </c>
      <c r="D40" s="44" t="n">
        <f aca="false">+'Bal ML FeT'!J25</f>
        <v>19779.46</v>
      </c>
      <c r="E40" s="45" t="n">
        <f aca="false">+'Bal ML FeT'!K25</f>
        <v>0.48488741283</v>
      </c>
      <c r="F40" s="45" t="n">
        <f aca="false">+'Bal ML FeMag'!K25</f>
        <v>0.45177181688</v>
      </c>
      <c r="G40" s="32"/>
      <c r="H40" s="46"/>
      <c r="M40" s="37" t="n">
        <v>44773</v>
      </c>
      <c r="N40" s="62" t="n">
        <v>62.5617474862327</v>
      </c>
      <c r="O40" s="62" t="n">
        <v>25.4626907055964</v>
      </c>
      <c r="P40" s="62" t="n">
        <v>11.975561808171</v>
      </c>
      <c r="Q40" s="62" t="n">
        <v>29.3115302502892</v>
      </c>
      <c r="R40" s="62" t="n">
        <v>21.7531583793617</v>
      </c>
      <c r="S40" s="62" t="n">
        <v>31.0014346412487</v>
      </c>
      <c r="T40" s="62" t="n">
        <v>17.9338767291272</v>
      </c>
      <c r="W40" s="37" t="n">
        <v>44755</v>
      </c>
      <c r="X40" s="33" t="n">
        <v>33.0909090909091</v>
      </c>
    </row>
    <row r="41" customFormat="false" ht="15.75" hidden="false" customHeight="true" outlineLevel="0" collapsed="false">
      <c r="B41" s="31"/>
      <c r="C41" s="43" t="s">
        <v>81</v>
      </c>
      <c r="D41" s="44" t="n">
        <f aca="false">+'Bal ML FeT'!J28</f>
        <v>7855.43</v>
      </c>
      <c r="E41" s="45" t="n">
        <f aca="false">+'Bal ML FeT'!K28</f>
        <v>0.48161296102</v>
      </c>
      <c r="F41" s="45" t="n">
        <f aca="false">+'Bal ML FeMag'!K28</f>
        <v>0.43922445055</v>
      </c>
      <c r="G41" s="32"/>
      <c r="J41" s="46"/>
      <c r="K41" s="46"/>
      <c r="M41" s="37" t="n">
        <v>44781</v>
      </c>
      <c r="N41" s="62" t="n">
        <v>58.2415797474936</v>
      </c>
      <c r="O41" s="62" t="n">
        <v>22.0130433800886</v>
      </c>
      <c r="P41" s="62" t="n">
        <v>19.7453768724179</v>
      </c>
      <c r="Q41" s="62"/>
      <c r="R41" s="62"/>
      <c r="S41" s="62"/>
      <c r="T41" s="62"/>
      <c r="W41" s="37" t="n">
        <v>44773</v>
      </c>
      <c r="X41" s="33" t="n">
        <v>29.3115302502892</v>
      </c>
    </row>
    <row r="42" customFormat="false" ht="15.75" hidden="false" customHeight="true" outlineLevel="0" collapsed="false">
      <c r="B42" s="31"/>
      <c r="C42" s="43" t="s">
        <v>82</v>
      </c>
      <c r="D42" s="44" t="n">
        <f aca="false">+'Bal AL FeT'!J42</f>
        <v>26876.47</v>
      </c>
      <c r="E42" s="45" t="n">
        <f aca="false">+'Bal AL FeMag'!K42</f>
        <v>0.3572</v>
      </c>
      <c r="F42" s="45" t="n">
        <f aca="false">+'Bal AL FeMag'!K42</f>
        <v>0.3572</v>
      </c>
      <c r="G42" s="32"/>
      <c r="H42" s="46"/>
      <c r="J42" s="46"/>
      <c r="K42" s="46"/>
      <c r="M42" s="37" t="n">
        <v>44789</v>
      </c>
      <c r="N42" s="62" t="n">
        <v>56.7538816555418</v>
      </c>
      <c r="O42" s="62" t="n">
        <v>23.689882919758</v>
      </c>
      <c r="P42" s="62" t="n">
        <v>19.5562354247002</v>
      </c>
      <c r="Q42" s="62" t="n">
        <v>36.8972655057398</v>
      </c>
      <c r="R42" s="62" t="n">
        <v>22.6992497530996</v>
      </c>
      <c r="S42" s="62" t="n">
        <v>13.1572340101798</v>
      </c>
      <c r="T42" s="62" t="n">
        <v>27.2462507309815</v>
      </c>
      <c r="W42" s="37" t="n">
        <v>44789</v>
      </c>
      <c r="X42" s="33" t="n">
        <v>36.8972655057398</v>
      </c>
    </row>
    <row r="43" customFormat="false" ht="15.75" hidden="true" customHeight="true" outlineLevel="0" collapsed="false">
      <c r="B43" s="31"/>
      <c r="C43" s="43" t="s">
        <v>83</v>
      </c>
      <c r="D43" s="44"/>
      <c r="E43" s="45"/>
      <c r="F43" s="45"/>
      <c r="G43" s="32"/>
      <c r="J43" s="46"/>
      <c r="N43" s="62"/>
      <c r="O43" s="62"/>
      <c r="P43" s="62"/>
      <c r="Q43" s="62"/>
      <c r="R43" s="62"/>
      <c r="S43" s="62"/>
      <c r="T43" s="62"/>
    </row>
    <row r="44" customFormat="false" ht="15.75" hidden="false" customHeight="true" outlineLevel="0" collapsed="false">
      <c r="B44" s="31"/>
      <c r="C44" s="43" t="s">
        <v>84</v>
      </c>
      <c r="D44" s="44" t="n">
        <f aca="false">+'Bal AL FeT'!J32</f>
        <v>20879.29</v>
      </c>
      <c r="E44" s="45" t="n">
        <f aca="false">+'Bal AL FeT'!K32</f>
        <v>0.60120039194</v>
      </c>
      <c r="F44" s="45" t="n">
        <f aca="false">+'Bal AL FeMag'!K32</f>
        <v>0.59518838802</v>
      </c>
      <c r="G44" s="32"/>
      <c r="H44" s="63" t="n">
        <f aca="false">+D16-D44</f>
        <v>2857.205548</v>
      </c>
      <c r="M44" s="37" t="n">
        <v>44795</v>
      </c>
      <c r="N44" s="62"/>
      <c r="O44" s="62"/>
      <c r="P44" s="62"/>
      <c r="Q44" s="62" t="n">
        <v>32.2392975257505</v>
      </c>
      <c r="R44" s="62" t="n">
        <v>21.5978129873422</v>
      </c>
      <c r="S44" s="62" t="n">
        <v>13.7034365390438</v>
      </c>
      <c r="T44" s="62" t="n">
        <v>32.4594529478644</v>
      </c>
    </row>
    <row r="45" customFormat="false" ht="15.75" hidden="false" customHeight="true" outlineLevel="0" collapsed="false">
      <c r="B45" s="31"/>
      <c r="C45" s="43" t="s">
        <v>85</v>
      </c>
      <c r="D45" s="44" t="n">
        <f aca="false">+'Bal AL FeT'!J36</f>
        <v>16230.67</v>
      </c>
      <c r="E45" s="45" t="n">
        <f aca="false">+'Bal AL FeT'!K36</f>
        <v>0.60612679185</v>
      </c>
      <c r="F45" s="45" t="n">
        <f aca="false">+'Bal AL FeMag'!K36</f>
        <v>0.58892425235</v>
      </c>
      <c r="G45" s="32"/>
      <c r="H45" s="63" t="n">
        <f aca="false">+D17-D45</f>
        <v>212.29025</v>
      </c>
      <c r="M45" s="37" t="n">
        <v>44804</v>
      </c>
      <c r="N45" s="62" t="n">
        <v>52.0562330999481</v>
      </c>
      <c r="O45" s="62" t="n">
        <v>21.50612548555</v>
      </c>
      <c r="P45" s="62" t="n">
        <v>26.4376414145019</v>
      </c>
      <c r="Q45" s="62" t="n">
        <v>30.7953352848186</v>
      </c>
      <c r="R45" s="62" t="n">
        <v>20.3518671374069</v>
      </c>
      <c r="S45" s="62" t="n">
        <v>19.4051274711689</v>
      </c>
      <c r="T45" s="62" t="n">
        <v>29.4476701066063</v>
      </c>
    </row>
    <row r="46" customFormat="false" ht="6" hidden="false" customHeight="true" outlineLevel="0" collapsed="false">
      <c r="B46" s="31"/>
      <c r="C46" s="47"/>
      <c r="D46" s="48"/>
      <c r="E46" s="64"/>
      <c r="F46" s="49"/>
      <c r="G46" s="32"/>
      <c r="N46" s="62"/>
      <c r="O46" s="62"/>
      <c r="P46" s="62"/>
      <c r="Q46" s="62"/>
      <c r="R46" s="62"/>
      <c r="S46" s="62"/>
      <c r="T46" s="62"/>
    </row>
    <row r="47" customFormat="false" ht="15.75" hidden="false" customHeight="true" outlineLevel="0" collapsed="false">
      <c r="B47" s="31"/>
      <c r="C47" s="40" t="s">
        <v>86</v>
      </c>
      <c r="D47" s="40"/>
      <c r="E47" s="40"/>
      <c r="F47" s="40"/>
      <c r="G47" s="32"/>
      <c r="M47" s="37" t="n">
        <v>44810</v>
      </c>
      <c r="N47" s="62" t="n">
        <v>46.3809452002204</v>
      </c>
      <c r="O47" s="62" t="n">
        <v>23.8863117093247</v>
      </c>
      <c r="P47" s="62" t="n">
        <v>29.732743090455</v>
      </c>
      <c r="Q47" s="62"/>
      <c r="R47" s="62"/>
      <c r="S47" s="62"/>
      <c r="T47" s="62"/>
    </row>
    <row r="48" customFormat="false" ht="15.75" hidden="false" customHeight="true" outlineLevel="0" collapsed="false">
      <c r="B48" s="31"/>
      <c r="C48" s="43" t="s">
        <v>87</v>
      </c>
      <c r="D48" s="44" t="n">
        <f aca="false">'Datos Extra'!B1</f>
        <v>0</v>
      </c>
      <c r="E48" s="45" t="n">
        <f aca="false">'Datos Extra'!C1</f>
        <v>0</v>
      </c>
      <c r="F48" s="45" t="n">
        <f aca="false">'Datos Extra'!D1</f>
        <v>0</v>
      </c>
      <c r="G48" s="32"/>
      <c r="H48" s="46"/>
      <c r="M48" s="37" t="n">
        <v>44823</v>
      </c>
      <c r="N48" s="62" t="n">
        <v>48.9804281412439</v>
      </c>
      <c r="O48" s="62" t="n">
        <v>26.3282971396236</v>
      </c>
      <c r="P48" s="62" t="n">
        <v>24.6912747191326</v>
      </c>
      <c r="Q48" s="62"/>
      <c r="R48" s="62"/>
      <c r="S48" s="62"/>
      <c r="T48" s="62"/>
    </row>
    <row r="49" customFormat="false" ht="15.75" hidden="false" customHeight="true" outlineLevel="0" collapsed="false">
      <c r="B49" s="31"/>
      <c r="C49" s="43" t="s">
        <v>88</v>
      </c>
      <c r="D49" s="44" t="n">
        <f aca="false">'Datos Extra'!B2</f>
        <v>35808.82</v>
      </c>
      <c r="E49" s="45" t="n">
        <f aca="false">'Datos Extra'!C2</f>
        <v>0.441342081414351</v>
      </c>
      <c r="F49" s="45" t="n">
        <f aca="false">'Datos Extra'!D2</f>
        <v>0.40327125984252</v>
      </c>
      <c r="G49" s="32"/>
      <c r="M49" s="37" t="n">
        <v>44829</v>
      </c>
      <c r="N49" s="62" t="n">
        <v>48.7248888843927</v>
      </c>
      <c r="O49" s="62" t="n">
        <v>26.3120313849065</v>
      </c>
      <c r="P49" s="62" t="n">
        <v>24.9630797307008</v>
      </c>
      <c r="Q49" s="62" t="n">
        <v>30.3354858252207</v>
      </c>
      <c r="R49" s="62" t="n">
        <v>20.9151219844786</v>
      </c>
      <c r="S49" s="62" t="n">
        <v>20.0090967316318</v>
      </c>
      <c r="T49" s="62" t="n">
        <v>28.7402954586684</v>
      </c>
    </row>
    <row r="50" customFormat="false" ht="15.75" hidden="false" customHeight="true" outlineLevel="0" collapsed="false">
      <c r="B50" s="31"/>
      <c r="D50" s="65"/>
      <c r="E50" s="66"/>
      <c r="F50" s="66"/>
      <c r="G50" s="32"/>
      <c r="M50" s="37" t="n">
        <v>44834</v>
      </c>
      <c r="N50" s="62" t="n">
        <v>48.7656040526656</v>
      </c>
      <c r="O50" s="62" t="n">
        <v>24.3721852563279</v>
      </c>
      <c r="P50" s="62" t="n">
        <v>26.8622106910065</v>
      </c>
      <c r="Q50" s="62" t="n">
        <v>27.254216363695</v>
      </c>
      <c r="R50" s="62" t="n">
        <v>22.9928796221489</v>
      </c>
      <c r="S50" s="62" t="n">
        <v>11.8134630469767</v>
      </c>
      <c r="T50" s="62" t="n">
        <v>37.9394409671802</v>
      </c>
    </row>
    <row r="51" customFormat="false" ht="15.75" hidden="false" customHeight="true" outlineLevel="0" collapsed="false">
      <c r="B51" s="31"/>
      <c r="C51" s="67" t="s">
        <v>89</v>
      </c>
      <c r="D51" s="67"/>
      <c r="E51" s="67"/>
      <c r="F51" s="67"/>
      <c r="G51" s="32"/>
      <c r="M51" s="37" t="n">
        <v>44846</v>
      </c>
      <c r="N51" s="62" t="n">
        <v>57.4136282304628</v>
      </c>
      <c r="O51" s="62" t="n">
        <v>20.7352177441942</v>
      </c>
      <c r="P51" s="62" t="n">
        <v>21.851154025343</v>
      </c>
      <c r="Q51" s="62" t="n">
        <v>41.8159224402314</v>
      </c>
      <c r="R51" s="62" t="n">
        <v>24.4295516091133</v>
      </c>
      <c r="S51" s="62" t="n">
        <v>3.69364906215248</v>
      </c>
      <c r="T51" s="33" t="n">
        <v>30.0608768885274</v>
      </c>
    </row>
    <row r="52" customFormat="false" ht="15" hidden="false" customHeight="true" outlineLevel="0" collapsed="false">
      <c r="B52" s="31"/>
      <c r="C52" s="68" t="s">
        <v>90</v>
      </c>
      <c r="D52" s="68"/>
      <c r="E52" s="68"/>
      <c r="F52" s="68"/>
      <c r="G52" s="32"/>
      <c r="M52" s="37" t="n">
        <v>44851</v>
      </c>
      <c r="N52" s="62" t="n">
        <v>54.667164328292</v>
      </c>
      <c r="O52" s="62" t="n">
        <v>21.9890403203038</v>
      </c>
      <c r="P52" s="62" t="n">
        <v>23.3437953514042</v>
      </c>
    </row>
    <row r="53" customFormat="false" ht="15.75" hidden="false" customHeight="true" outlineLevel="0" collapsed="false">
      <c r="B53" s="31"/>
      <c r="C53" s="69"/>
      <c r="D53" s="26"/>
      <c r="E53" s="26"/>
      <c r="F53" s="70"/>
      <c r="G53" s="32"/>
      <c r="I53" s="71"/>
      <c r="J53" s="71"/>
      <c r="M53" s="37" t="n">
        <v>44860</v>
      </c>
      <c r="Q53" s="62" t="n">
        <v>35.5980166619538</v>
      </c>
      <c r="R53" s="62" t="n">
        <v>23.5604739962633</v>
      </c>
      <c r="S53" s="62" t="n">
        <v>5.02544201312257</v>
      </c>
      <c r="T53" s="62" t="n">
        <v>35.8160673286068</v>
      </c>
    </row>
    <row r="54" customFormat="false" ht="15.75" hidden="false" customHeight="true" outlineLevel="0" collapsed="false">
      <c r="B54" s="31"/>
      <c r="C54" s="72" t="s">
        <v>91</v>
      </c>
      <c r="D54" s="73" t="s">
        <v>63</v>
      </c>
      <c r="E54" s="73" t="s">
        <v>64</v>
      </c>
      <c r="F54" s="70"/>
      <c r="G54" s="32"/>
      <c r="I54" s="71"/>
      <c r="J54" s="71"/>
      <c r="M54" s="37" t="n">
        <v>44865</v>
      </c>
    </row>
    <row r="55" customFormat="false" ht="15.75" hidden="false" customHeight="true" outlineLevel="0" collapsed="false">
      <c r="B55" s="31"/>
      <c r="C55" s="74" t="str">
        <f aca="false">+C16</f>
        <v>Granzas</v>
      </c>
      <c r="D55" s="75" t="n">
        <f aca="false">IFERROR(H16, 0)</f>
        <v>30.93746338415</v>
      </c>
      <c r="E55" s="75" t="n">
        <f aca="false">IFERROR(I16, 0)</f>
        <v>36.4626509878674</v>
      </c>
      <c r="F55" s="70"/>
      <c r="G55" s="32"/>
      <c r="I55" s="76"/>
      <c r="J55" s="76"/>
    </row>
    <row r="56" customFormat="false" ht="15.75" hidden="false" customHeight="true" outlineLevel="0" collapsed="false">
      <c r="B56" s="31"/>
      <c r="C56" s="74" t="str">
        <f aca="false">+C17</f>
        <v>Finos</v>
      </c>
      <c r="D56" s="75" t="n">
        <f aca="false">IFERROR(H17, 0)</f>
        <v>21.4312799306329</v>
      </c>
      <c r="E56" s="75" t="n">
        <f aca="false">IFERROR(I17, 0)</f>
        <v>25.4279927949498</v>
      </c>
      <c r="F56" s="70"/>
      <c r="G56" s="32"/>
      <c r="I56" s="76"/>
      <c r="J56" s="76"/>
    </row>
    <row r="57" customFormat="false" ht="15.75" hidden="false" customHeight="true" outlineLevel="0" collapsed="false">
      <c r="B57" s="31"/>
      <c r="C57" s="74" t="str">
        <f aca="false">+C19</f>
        <v>Prec Mixto 1</v>
      </c>
      <c r="D57" s="75" t="n">
        <f aca="false">IFERROR(H19, 0)</f>
        <v>5.51306282420104</v>
      </c>
      <c r="E57" s="75" t="n">
        <f aca="false">IFERROR(I19, 0)</f>
        <v>3.86707301981758</v>
      </c>
      <c r="F57" s="70"/>
      <c r="G57" s="32"/>
      <c r="I57" s="76"/>
      <c r="J57" s="76"/>
    </row>
    <row r="58" customFormat="false" ht="15.75" hidden="false" customHeight="true" outlineLevel="0" collapsed="false">
      <c r="B58" s="31"/>
      <c r="C58" s="74" t="str">
        <f aca="false">+C20</f>
        <v>Prec Mixto 2</v>
      </c>
      <c r="D58" s="75" t="n">
        <f aca="false">IFERROR(H20, 0)</f>
        <v>42.118193861798</v>
      </c>
      <c r="E58" s="75" t="n">
        <f aca="false">IFERROR(I20, 0)</f>
        <v>34.2422832255613</v>
      </c>
      <c r="F58" s="70"/>
      <c r="G58" s="32"/>
      <c r="I58" s="76"/>
      <c r="J58" s="76"/>
    </row>
    <row r="59" customFormat="false" ht="15.75" hidden="false" customHeight="true" outlineLevel="0" collapsed="false">
      <c r="B59" s="31"/>
      <c r="C59" s="74" t="str">
        <f aca="false">+C31</f>
        <v>Prec. Granzas</v>
      </c>
      <c r="D59" s="75" t="n">
        <f aca="false">+H31</f>
        <v>49.4741698246987</v>
      </c>
      <c r="E59" s="75" t="n">
        <f aca="false">+I31</f>
        <v>60.0720967337666</v>
      </c>
      <c r="F59" s="70"/>
      <c r="G59" s="32"/>
      <c r="I59" s="76"/>
      <c r="J59" s="76"/>
      <c r="O59" s="73" t="s">
        <v>92</v>
      </c>
      <c r="P59" s="73" t="s">
        <v>93</v>
      </c>
      <c r="Q59" s="73" t="s">
        <v>94</v>
      </c>
    </row>
    <row r="60" customFormat="false" ht="15.75" hidden="false" customHeight="true" outlineLevel="0" collapsed="false">
      <c r="B60" s="31"/>
      <c r="C60" s="74" t="str">
        <f aca="false">+C32</f>
        <v>Pre. Finos</v>
      </c>
      <c r="D60" s="75" t="n">
        <f aca="false">+H32</f>
        <v>22.3990720076881</v>
      </c>
      <c r="E60" s="75" t="n">
        <f aca="false">+I32</f>
        <v>26.9482158735238</v>
      </c>
      <c r="F60" s="70"/>
      <c r="G60" s="32"/>
      <c r="I60" s="76"/>
      <c r="J60" s="76"/>
      <c r="O60" s="77" t="s">
        <v>48</v>
      </c>
      <c r="P60" s="77" t="n">
        <v>25.3</v>
      </c>
      <c r="Q60" s="77" t="n">
        <v>30</v>
      </c>
    </row>
    <row r="61" customFormat="false" ht="15.75" hidden="false" customHeight="true" outlineLevel="0" collapsed="false">
      <c r="B61" s="31"/>
      <c r="C61" s="74" t="str">
        <f aca="false">+C33</f>
        <v>Rechazo</v>
      </c>
      <c r="D61" s="75" t="n">
        <f aca="false">+H33</f>
        <v>28.3780096115524</v>
      </c>
      <c r="E61" s="75" t="n">
        <f aca="false">+I33</f>
        <v>13.2530051224507</v>
      </c>
      <c r="F61" s="70"/>
      <c r="G61" s="32"/>
      <c r="I61" s="76"/>
      <c r="J61" s="76"/>
      <c r="O61" s="77" t="s">
        <v>49</v>
      </c>
      <c r="P61" s="77" t="n">
        <v>23.1</v>
      </c>
      <c r="Q61" s="77" t="n">
        <v>23</v>
      </c>
    </row>
    <row r="62" customFormat="false" ht="15.75" hidden="false" customHeight="true" outlineLevel="0" collapsed="false">
      <c r="B62" s="31"/>
      <c r="C62" s="69"/>
      <c r="D62" s="26"/>
      <c r="E62" s="26"/>
      <c r="F62" s="70"/>
      <c r="G62" s="32"/>
      <c r="I62" s="76"/>
      <c r="J62" s="76"/>
      <c r="O62" s="77" t="s">
        <v>50</v>
      </c>
      <c r="P62" s="77" t="n">
        <v>14.2</v>
      </c>
      <c r="Q62" s="77" t="n">
        <f aca="false">100-Q60-Q61-Q63</f>
        <v>18</v>
      </c>
    </row>
    <row r="63" customFormat="false" ht="30.75" hidden="false" customHeight="true" outlineLevel="0" collapsed="false">
      <c r="B63" s="31"/>
      <c r="C63" s="78" t="s">
        <v>95</v>
      </c>
      <c r="D63" s="78"/>
      <c r="E63" s="78"/>
      <c r="F63" s="78"/>
      <c r="G63" s="32"/>
      <c r="I63" s="76"/>
      <c r="J63" s="76"/>
      <c r="O63" s="77" t="s">
        <v>51</v>
      </c>
      <c r="P63" s="77" t="n">
        <v>37.4</v>
      </c>
      <c r="Q63" s="77" t="n">
        <v>29</v>
      </c>
    </row>
    <row r="64" customFormat="false" ht="45" hidden="false" customHeight="true" outlineLevel="0" collapsed="false">
      <c r="B64" s="31"/>
      <c r="C64" s="79"/>
      <c r="D64" s="79"/>
      <c r="E64" s="79"/>
      <c r="F64" s="79"/>
      <c r="G64" s="32"/>
      <c r="I64" s="71"/>
      <c r="J64" s="71"/>
    </row>
    <row r="65" customFormat="false" ht="15.75" hidden="false" customHeight="true" outlineLevel="0" collapsed="false">
      <c r="B65" s="31"/>
      <c r="D65" s="26"/>
      <c r="E65" s="26"/>
      <c r="F65" s="26"/>
      <c r="G65" s="32"/>
    </row>
    <row r="66" customFormat="false" ht="15.75" hidden="false" customHeight="true" outlineLevel="0" collapsed="false">
      <c r="B66" s="80"/>
      <c r="C66" s="57"/>
      <c r="D66" s="81"/>
      <c r="E66" s="81"/>
      <c r="F66" s="81"/>
      <c r="G66" s="58"/>
    </row>
    <row r="67" customFormat="false" ht="15.75" hidden="false" customHeight="true" outlineLevel="0" collapsed="false">
      <c r="D67" s="26"/>
      <c r="E67" s="26"/>
      <c r="F67" s="26"/>
    </row>
    <row r="68" customFormat="false" ht="15.75" hidden="false" customHeight="true" outlineLevel="0" collapsed="false">
      <c r="C68" s="33" t="s">
        <v>96</v>
      </c>
      <c r="D68" s="26" t="n">
        <v>47087</v>
      </c>
      <c r="E68" s="26" t="n">
        <v>20539</v>
      </c>
      <c r="F68" s="26"/>
    </row>
    <row r="69" customFormat="false" ht="15.75" hidden="false" customHeight="true" outlineLevel="0" collapsed="false">
      <c r="C69" s="33" t="s">
        <v>97</v>
      </c>
      <c r="D69" s="26" t="n">
        <v>74332</v>
      </c>
      <c r="E69" s="26" t="n">
        <v>57215</v>
      </c>
      <c r="F69" s="26" t="n">
        <v>59695</v>
      </c>
      <c r="G69" s="26" t="n">
        <v>118094</v>
      </c>
      <c r="H69" s="26" t="n">
        <v>21736</v>
      </c>
      <c r="I69" s="26" t="n">
        <v>38418</v>
      </c>
    </row>
    <row r="70" customFormat="false" ht="15.75" hidden="false" customHeight="true" outlineLevel="0" collapsed="false">
      <c r="C70" s="33" t="s">
        <v>98</v>
      </c>
      <c r="D70" s="26" t="s">
        <v>99</v>
      </c>
      <c r="E70" s="26" t="s">
        <v>100</v>
      </c>
      <c r="F70" s="82" t="n">
        <v>44880</v>
      </c>
      <c r="G70" s="83" t="n">
        <v>44895</v>
      </c>
      <c r="H70" s="83" t="n">
        <v>44910</v>
      </c>
      <c r="I70" s="83" t="n">
        <v>44925</v>
      </c>
    </row>
    <row r="71" customFormat="false" ht="15.75" hidden="false" customHeight="true" outlineLevel="0" collapsed="false">
      <c r="C71" s="33" t="s">
        <v>101</v>
      </c>
      <c r="D71" s="38" t="n">
        <f aca="false">12859/D68*100</f>
        <v>27.3090237220464</v>
      </c>
      <c r="E71" s="38" t="n">
        <f aca="false">5640/E68*100</f>
        <v>27.4599542334096</v>
      </c>
      <c r="F71" s="38"/>
      <c r="G71" s="38"/>
      <c r="H71" s="38"/>
    </row>
    <row r="72" customFormat="false" ht="15.75" hidden="false" customHeight="true" outlineLevel="0" collapsed="false">
      <c r="C72" s="33" t="s">
        <v>102</v>
      </c>
      <c r="D72" s="38" t="n">
        <f aca="false">11814/D68*100</f>
        <v>25.089727525644</v>
      </c>
      <c r="E72" s="38" t="n">
        <f aca="false">3967/E68*100</f>
        <v>19.3144749014071</v>
      </c>
      <c r="F72" s="38"/>
      <c r="G72" s="38"/>
      <c r="H72" s="38"/>
    </row>
    <row r="73" customFormat="false" ht="15.75" hidden="false" customHeight="true" outlineLevel="0" collapsed="false">
      <c r="C73" s="33" t="s">
        <v>103</v>
      </c>
      <c r="D73" s="38" t="n">
        <f aca="false">6355/D68*100</f>
        <v>13.4962940939113</v>
      </c>
      <c r="E73" s="38" t="n">
        <f aca="false">(2509)/E68*100</f>
        <v>12.215784604898</v>
      </c>
      <c r="F73" s="38"/>
      <c r="G73" s="38"/>
      <c r="H73" s="38"/>
    </row>
    <row r="74" customFormat="false" ht="15.75" hidden="false" customHeight="true" outlineLevel="0" collapsed="false">
      <c r="C74" s="33" t="s">
        <v>104</v>
      </c>
      <c r="D74" s="38" t="n">
        <f aca="false">16059/D68*100</f>
        <v>34.1049546583983</v>
      </c>
      <c r="E74" s="38" t="n">
        <f aca="false">8422/E68*100</f>
        <v>41.0049174740737</v>
      </c>
      <c r="F74" s="38"/>
      <c r="G74" s="38"/>
      <c r="H74" s="38"/>
    </row>
    <row r="75" customFormat="false" ht="15.75" hidden="false" customHeight="true" outlineLevel="0" collapsed="false">
      <c r="C75" s="33" t="s">
        <v>105</v>
      </c>
      <c r="D75" s="38" t="n">
        <f aca="false">34786/D69*100</f>
        <v>46.7981488457192</v>
      </c>
      <c r="E75" s="38" t="n">
        <f aca="false">+(7598+14018+984)/E69*100</f>
        <v>39.5001310845058</v>
      </c>
      <c r="F75" s="38" t="n">
        <f aca="false">24307/F69*100</f>
        <v>40.7186531535305</v>
      </c>
      <c r="G75" s="38" t="n">
        <v>41.73</v>
      </c>
      <c r="H75" s="38" t="n">
        <v>49.6</v>
      </c>
      <c r="I75" s="33" t="n">
        <v>36</v>
      </c>
    </row>
    <row r="76" customFormat="false" ht="15.75" hidden="false" customHeight="true" outlineLevel="0" collapsed="false">
      <c r="C76" s="33" t="s">
        <v>106</v>
      </c>
      <c r="D76" s="38" t="n">
        <f aca="false">13243/D69*100</f>
        <v>17.8160146370339</v>
      </c>
      <c r="E76" s="38" t="n">
        <f aca="false">+(8088+2573+2431)/E69*100</f>
        <v>22.8821113344403</v>
      </c>
      <c r="F76" s="38" t="n">
        <f aca="false">12514/F69*100</f>
        <v>20.9632297512354</v>
      </c>
      <c r="G76" s="38" t="n">
        <v>19.88</v>
      </c>
      <c r="H76" s="38" t="n">
        <v>24.4</v>
      </c>
      <c r="I76" s="33" t="n">
        <v>23.1</v>
      </c>
    </row>
    <row r="77" customFormat="false" ht="15.75" hidden="false" customHeight="true" outlineLevel="0" collapsed="false">
      <c r="C77" s="33" t="s">
        <v>107</v>
      </c>
      <c r="D77" s="38" t="n">
        <f aca="false">26302/D69*100</f>
        <v>35.3844912016359</v>
      </c>
      <c r="E77" s="38" t="n">
        <f aca="false">+(5683+10477+5362)/E69*100</f>
        <v>37.6160097876431</v>
      </c>
      <c r="F77" s="38" t="n">
        <f aca="false">22874/F69*100</f>
        <v>38.3181170952341</v>
      </c>
      <c r="G77" s="38" t="n">
        <v>38.39</v>
      </c>
      <c r="H77" s="38" t="n">
        <v>26</v>
      </c>
      <c r="I77" s="33" t="n">
        <v>40.8</v>
      </c>
    </row>
    <row r="78" customFormat="false" ht="15.75" hidden="false" customHeight="true" outlineLevel="0" collapsed="false">
      <c r="D78" s="26"/>
      <c r="E78" s="26"/>
      <c r="F78" s="26"/>
    </row>
    <row r="79" customFormat="false" ht="15.75" hidden="false" customHeight="true" outlineLevel="0" collapsed="false">
      <c r="D79" s="26"/>
      <c r="E79" s="26"/>
      <c r="F79" s="26"/>
    </row>
    <row r="80" customFormat="false" ht="15.75" hidden="false" customHeight="true" outlineLevel="0" collapsed="false">
      <c r="D80" s="26"/>
      <c r="E80" s="26"/>
      <c r="F80" s="26"/>
    </row>
    <row r="81" customFormat="false" ht="15.75" hidden="false" customHeight="true" outlineLevel="0" collapsed="false">
      <c r="D81" s="26"/>
      <c r="E81" s="26"/>
      <c r="F81" s="26"/>
    </row>
    <row r="82" customFormat="false" ht="15.75" hidden="false" customHeight="true" outlineLevel="0" collapsed="false">
      <c r="D82" s="26"/>
      <c r="E82" s="26"/>
      <c r="F82" s="26"/>
    </row>
    <row r="83" customFormat="false" ht="15.75" hidden="false" customHeight="true" outlineLevel="0" collapsed="false">
      <c r="D83" s="26"/>
      <c r="E83" s="26"/>
      <c r="F83" s="26"/>
    </row>
    <row r="84" customFormat="false" ht="15.75" hidden="false" customHeight="true" outlineLevel="0" collapsed="false">
      <c r="D84" s="26"/>
      <c r="E84" s="26"/>
      <c r="F84" s="26"/>
    </row>
    <row r="85" customFormat="false" ht="15.75" hidden="false" customHeight="true" outlineLevel="0" collapsed="false">
      <c r="D85" s="26"/>
      <c r="E85" s="26"/>
      <c r="F85" s="26"/>
    </row>
    <row r="86" customFormat="false" ht="15.75" hidden="false" customHeight="true" outlineLevel="0" collapsed="false">
      <c r="D86" s="26"/>
      <c r="E86" s="26"/>
      <c r="F86" s="26"/>
    </row>
    <row r="87" customFormat="false" ht="15.75" hidden="false" customHeight="true" outlineLevel="0" collapsed="false">
      <c r="D87" s="26"/>
      <c r="E87" s="26"/>
      <c r="F87" s="26"/>
    </row>
    <row r="88" customFormat="false" ht="15.75" hidden="false" customHeight="true" outlineLevel="0" collapsed="false">
      <c r="D88" s="26"/>
      <c r="E88" s="26"/>
      <c r="F88" s="26"/>
    </row>
    <row r="89" customFormat="false" ht="15.75" hidden="false" customHeight="true" outlineLevel="0" collapsed="false">
      <c r="D89" s="26"/>
      <c r="E89" s="26"/>
      <c r="F89" s="26"/>
    </row>
    <row r="90" customFormat="false" ht="15.75" hidden="false" customHeight="true" outlineLevel="0" collapsed="false">
      <c r="D90" s="26"/>
      <c r="E90" s="26"/>
      <c r="F90" s="26"/>
    </row>
    <row r="91" customFormat="false" ht="15.75" hidden="false" customHeight="true" outlineLevel="0" collapsed="false">
      <c r="D91" s="26"/>
      <c r="E91" s="26"/>
      <c r="F91" s="26"/>
    </row>
    <row r="92" customFormat="false" ht="15.75" hidden="false" customHeight="true" outlineLevel="0" collapsed="false">
      <c r="D92" s="26"/>
      <c r="E92" s="26"/>
      <c r="F92" s="26"/>
    </row>
    <row r="93" customFormat="false" ht="15.75" hidden="false" customHeight="true" outlineLevel="0" collapsed="false">
      <c r="D93" s="26"/>
      <c r="E93" s="26"/>
      <c r="F93" s="26"/>
    </row>
    <row r="94" customFormat="false" ht="15.75" hidden="false" customHeight="true" outlineLevel="0" collapsed="false">
      <c r="D94" s="26"/>
      <c r="E94" s="26"/>
      <c r="F94" s="26"/>
    </row>
    <row r="95" customFormat="false" ht="15.75" hidden="false" customHeight="true" outlineLevel="0" collapsed="false">
      <c r="D95" s="26"/>
      <c r="E95" s="26"/>
      <c r="F95" s="26"/>
    </row>
    <row r="96" customFormat="false" ht="15.75" hidden="false" customHeight="true" outlineLevel="0" collapsed="false">
      <c r="D96" s="26"/>
      <c r="E96" s="26"/>
      <c r="F96" s="26"/>
    </row>
    <row r="97" customFormat="false" ht="15.75" hidden="false" customHeight="true" outlineLevel="0" collapsed="false">
      <c r="D97" s="26"/>
      <c r="E97" s="26"/>
      <c r="F97" s="26"/>
    </row>
    <row r="98" customFormat="false" ht="15.75" hidden="false" customHeight="true" outlineLevel="0" collapsed="false">
      <c r="D98" s="26"/>
      <c r="E98" s="26"/>
      <c r="F98" s="26"/>
    </row>
    <row r="99" customFormat="false" ht="15.75" hidden="false" customHeight="true" outlineLevel="0" collapsed="false">
      <c r="D99" s="26"/>
      <c r="E99" s="26"/>
      <c r="F99" s="26"/>
    </row>
    <row r="100" customFormat="false" ht="15.75" hidden="false" customHeight="true" outlineLevel="0" collapsed="false">
      <c r="D100" s="26"/>
      <c r="E100" s="26"/>
      <c r="F100" s="26"/>
    </row>
    <row r="101" customFormat="false" ht="15.75" hidden="false" customHeight="true" outlineLevel="0" collapsed="false">
      <c r="D101" s="26"/>
      <c r="E101" s="26"/>
      <c r="F101" s="26"/>
    </row>
    <row r="102" customFormat="false" ht="15.75" hidden="false" customHeight="true" outlineLevel="0" collapsed="false">
      <c r="D102" s="26"/>
      <c r="E102" s="26"/>
      <c r="F102" s="26"/>
    </row>
    <row r="103" customFormat="false" ht="15.75" hidden="false" customHeight="true" outlineLevel="0" collapsed="false">
      <c r="D103" s="26"/>
      <c r="E103" s="26"/>
      <c r="F103" s="26"/>
    </row>
    <row r="104" customFormat="false" ht="15.75" hidden="false" customHeight="true" outlineLevel="0" collapsed="false">
      <c r="D104" s="26"/>
      <c r="E104" s="26"/>
      <c r="F104" s="26"/>
    </row>
    <row r="105" customFormat="false" ht="15.75" hidden="false" customHeight="true" outlineLevel="0" collapsed="false">
      <c r="D105" s="26"/>
      <c r="E105" s="26"/>
      <c r="F105" s="26"/>
    </row>
    <row r="106" customFormat="false" ht="15.75" hidden="false" customHeight="true" outlineLevel="0" collapsed="false">
      <c r="D106" s="26"/>
      <c r="E106" s="26"/>
      <c r="F106" s="26"/>
    </row>
    <row r="107" customFormat="false" ht="15.75" hidden="false" customHeight="true" outlineLevel="0" collapsed="false">
      <c r="D107" s="26"/>
      <c r="E107" s="26"/>
      <c r="F107" s="26"/>
    </row>
    <row r="108" customFormat="false" ht="15.75" hidden="false" customHeight="true" outlineLevel="0" collapsed="false">
      <c r="D108" s="26"/>
      <c r="E108" s="26"/>
      <c r="F108" s="26"/>
    </row>
    <row r="109" customFormat="false" ht="15.75" hidden="false" customHeight="true" outlineLevel="0" collapsed="false">
      <c r="D109" s="26"/>
      <c r="E109" s="26"/>
      <c r="F109" s="26"/>
    </row>
    <row r="110" customFormat="false" ht="15.75" hidden="false" customHeight="true" outlineLevel="0" collapsed="false">
      <c r="D110" s="26"/>
      <c r="E110" s="26"/>
      <c r="F110" s="26"/>
    </row>
    <row r="111" customFormat="false" ht="15.75" hidden="false" customHeight="true" outlineLevel="0" collapsed="false">
      <c r="D111" s="26"/>
      <c r="E111" s="26"/>
      <c r="F111" s="26"/>
    </row>
    <row r="112" customFormat="false" ht="15.75" hidden="false" customHeight="true" outlineLevel="0" collapsed="false">
      <c r="D112" s="26"/>
      <c r="E112" s="26"/>
      <c r="F112" s="26"/>
    </row>
    <row r="113" customFormat="false" ht="15.75" hidden="false" customHeight="true" outlineLevel="0" collapsed="false">
      <c r="D113" s="26"/>
      <c r="E113" s="26"/>
      <c r="F113" s="26"/>
    </row>
    <row r="114" customFormat="false" ht="15.75" hidden="false" customHeight="true" outlineLevel="0" collapsed="false">
      <c r="D114" s="26"/>
      <c r="E114" s="26"/>
      <c r="F114" s="26"/>
    </row>
    <row r="115" customFormat="false" ht="15.75" hidden="false" customHeight="true" outlineLevel="0" collapsed="false">
      <c r="D115" s="26"/>
      <c r="E115" s="26"/>
      <c r="F115" s="26"/>
    </row>
    <row r="116" customFormat="false" ht="15.75" hidden="false" customHeight="true" outlineLevel="0" collapsed="false">
      <c r="D116" s="26"/>
      <c r="E116" s="26"/>
      <c r="F116" s="26"/>
    </row>
    <row r="117" customFormat="false" ht="15.75" hidden="false" customHeight="true" outlineLevel="0" collapsed="false">
      <c r="D117" s="26"/>
      <c r="E117" s="26"/>
      <c r="F117" s="26"/>
    </row>
    <row r="118" customFormat="false" ht="15.75" hidden="false" customHeight="true" outlineLevel="0" collapsed="false">
      <c r="D118" s="26"/>
      <c r="E118" s="26"/>
      <c r="F118" s="26"/>
    </row>
    <row r="119" customFormat="false" ht="15.75" hidden="false" customHeight="true" outlineLevel="0" collapsed="false">
      <c r="D119" s="26"/>
      <c r="E119" s="26"/>
      <c r="F119" s="26"/>
    </row>
    <row r="120" customFormat="false" ht="15.75" hidden="false" customHeight="true" outlineLevel="0" collapsed="false">
      <c r="D120" s="26"/>
      <c r="E120" s="26"/>
      <c r="F120" s="26"/>
    </row>
    <row r="121" customFormat="false" ht="15.75" hidden="false" customHeight="true" outlineLevel="0" collapsed="false">
      <c r="D121" s="26"/>
      <c r="E121" s="26"/>
      <c r="F121" s="26"/>
    </row>
    <row r="122" customFormat="false" ht="15.75" hidden="false" customHeight="true" outlineLevel="0" collapsed="false">
      <c r="D122" s="26"/>
      <c r="E122" s="26"/>
      <c r="F122" s="26"/>
    </row>
    <row r="123" customFormat="false" ht="15.75" hidden="false" customHeight="true" outlineLevel="0" collapsed="false">
      <c r="D123" s="26"/>
      <c r="E123" s="26"/>
      <c r="F123" s="26"/>
    </row>
    <row r="124" customFormat="false" ht="15.75" hidden="false" customHeight="true" outlineLevel="0" collapsed="false">
      <c r="D124" s="26"/>
      <c r="E124" s="26"/>
      <c r="F124" s="26"/>
    </row>
    <row r="125" customFormat="false" ht="15.75" hidden="false" customHeight="true" outlineLevel="0" collapsed="false">
      <c r="D125" s="26"/>
      <c r="E125" s="26"/>
      <c r="F125" s="26"/>
    </row>
    <row r="126" customFormat="false" ht="15.75" hidden="false" customHeight="true" outlineLevel="0" collapsed="false">
      <c r="D126" s="26"/>
      <c r="E126" s="26"/>
      <c r="F126" s="26"/>
    </row>
    <row r="127" customFormat="false" ht="15.75" hidden="false" customHeight="true" outlineLevel="0" collapsed="false">
      <c r="D127" s="26"/>
      <c r="E127" s="26"/>
      <c r="F127" s="26"/>
    </row>
    <row r="128" customFormat="false" ht="15.75" hidden="false" customHeight="true" outlineLevel="0" collapsed="false">
      <c r="D128" s="26"/>
      <c r="E128" s="26"/>
      <c r="F128" s="26"/>
    </row>
    <row r="129" customFormat="false" ht="15.75" hidden="false" customHeight="true" outlineLevel="0" collapsed="false">
      <c r="D129" s="26"/>
      <c r="E129" s="26"/>
      <c r="F129" s="26"/>
    </row>
    <row r="130" customFormat="false" ht="15.75" hidden="false" customHeight="true" outlineLevel="0" collapsed="false">
      <c r="D130" s="26"/>
      <c r="E130" s="26"/>
      <c r="F130" s="26"/>
    </row>
    <row r="131" customFormat="false" ht="15.75" hidden="false" customHeight="true" outlineLevel="0" collapsed="false">
      <c r="D131" s="26"/>
      <c r="E131" s="26"/>
      <c r="F131" s="26"/>
    </row>
    <row r="132" customFormat="false" ht="15.75" hidden="false" customHeight="true" outlineLevel="0" collapsed="false">
      <c r="D132" s="26"/>
      <c r="E132" s="26"/>
      <c r="F132" s="26"/>
    </row>
    <row r="133" customFormat="false" ht="15.75" hidden="false" customHeight="true" outlineLevel="0" collapsed="false">
      <c r="D133" s="26"/>
      <c r="E133" s="26"/>
      <c r="F133" s="26"/>
    </row>
    <row r="134" customFormat="false" ht="15.75" hidden="false" customHeight="true" outlineLevel="0" collapsed="false">
      <c r="D134" s="26"/>
      <c r="E134" s="26"/>
      <c r="F134" s="26"/>
    </row>
    <row r="135" customFormat="false" ht="15.75" hidden="false" customHeight="true" outlineLevel="0" collapsed="false">
      <c r="D135" s="26"/>
      <c r="E135" s="26"/>
      <c r="F135" s="26"/>
    </row>
    <row r="136" customFormat="false" ht="15.75" hidden="false" customHeight="true" outlineLevel="0" collapsed="false">
      <c r="D136" s="26"/>
      <c r="E136" s="26"/>
      <c r="F136" s="26"/>
    </row>
    <row r="137" customFormat="false" ht="15.75" hidden="false" customHeight="true" outlineLevel="0" collapsed="false">
      <c r="D137" s="26"/>
      <c r="E137" s="26"/>
      <c r="F137" s="26"/>
    </row>
    <row r="138" customFormat="false" ht="15.75" hidden="false" customHeight="true" outlineLevel="0" collapsed="false">
      <c r="D138" s="26"/>
      <c r="E138" s="26"/>
      <c r="F138" s="26"/>
    </row>
    <row r="139" customFormat="false" ht="15.75" hidden="false" customHeight="true" outlineLevel="0" collapsed="false">
      <c r="D139" s="26"/>
      <c r="E139" s="26"/>
      <c r="F139" s="26"/>
    </row>
    <row r="140" customFormat="false" ht="15.75" hidden="false" customHeight="true" outlineLevel="0" collapsed="false">
      <c r="D140" s="26"/>
      <c r="E140" s="26"/>
      <c r="F140" s="26"/>
    </row>
    <row r="141" customFormat="false" ht="15.75" hidden="false" customHeight="true" outlineLevel="0" collapsed="false">
      <c r="D141" s="26"/>
      <c r="E141" s="26"/>
      <c r="F141" s="26"/>
    </row>
    <row r="142" customFormat="false" ht="15.75" hidden="false" customHeight="true" outlineLevel="0" collapsed="false">
      <c r="D142" s="26"/>
      <c r="E142" s="26"/>
      <c r="F142" s="26"/>
    </row>
    <row r="143" customFormat="false" ht="15.75" hidden="false" customHeight="true" outlineLevel="0" collapsed="false">
      <c r="D143" s="26"/>
      <c r="E143" s="26"/>
      <c r="F143" s="26"/>
    </row>
    <row r="144" customFormat="false" ht="15.75" hidden="false" customHeight="true" outlineLevel="0" collapsed="false">
      <c r="D144" s="26"/>
      <c r="E144" s="26"/>
      <c r="F144" s="26"/>
    </row>
    <row r="145" customFormat="false" ht="15.75" hidden="false" customHeight="true" outlineLevel="0" collapsed="false">
      <c r="D145" s="26"/>
      <c r="E145" s="26"/>
      <c r="F145" s="26"/>
    </row>
    <row r="146" customFormat="false" ht="15.75" hidden="false" customHeight="true" outlineLevel="0" collapsed="false">
      <c r="D146" s="26"/>
      <c r="E146" s="26"/>
      <c r="F146" s="26"/>
    </row>
    <row r="147" customFormat="false" ht="15.75" hidden="false" customHeight="true" outlineLevel="0" collapsed="false">
      <c r="D147" s="26"/>
      <c r="E147" s="26"/>
      <c r="F147" s="26"/>
    </row>
    <row r="148" customFormat="false" ht="15.75" hidden="false" customHeight="true" outlineLevel="0" collapsed="false">
      <c r="D148" s="26"/>
      <c r="E148" s="26"/>
      <c r="F148" s="26"/>
    </row>
    <row r="149" customFormat="false" ht="15.75" hidden="false" customHeight="true" outlineLevel="0" collapsed="false">
      <c r="D149" s="26"/>
      <c r="E149" s="26"/>
      <c r="F149" s="26"/>
    </row>
    <row r="150" customFormat="false" ht="15.75" hidden="false" customHeight="true" outlineLevel="0" collapsed="false">
      <c r="D150" s="26"/>
      <c r="E150" s="26"/>
      <c r="F150" s="26"/>
    </row>
    <row r="151" customFormat="false" ht="15.75" hidden="false" customHeight="true" outlineLevel="0" collapsed="false">
      <c r="D151" s="26"/>
      <c r="E151" s="26"/>
      <c r="F151" s="26"/>
    </row>
    <row r="152" customFormat="false" ht="15.75" hidden="false" customHeight="true" outlineLevel="0" collapsed="false">
      <c r="D152" s="26"/>
      <c r="E152" s="26"/>
      <c r="F152" s="26"/>
    </row>
    <row r="153" customFormat="false" ht="15.75" hidden="false" customHeight="true" outlineLevel="0" collapsed="false">
      <c r="D153" s="26"/>
      <c r="E153" s="26"/>
      <c r="F153" s="26"/>
    </row>
    <row r="154" customFormat="false" ht="15.75" hidden="false" customHeight="true" outlineLevel="0" collapsed="false">
      <c r="D154" s="26"/>
      <c r="E154" s="26"/>
      <c r="F154" s="26"/>
    </row>
    <row r="155" customFormat="false" ht="15.75" hidden="false" customHeight="true" outlineLevel="0" collapsed="false">
      <c r="D155" s="26"/>
      <c r="E155" s="26"/>
      <c r="F155" s="26"/>
    </row>
    <row r="156" customFormat="false" ht="15.75" hidden="false" customHeight="true" outlineLevel="0" collapsed="false">
      <c r="D156" s="26"/>
      <c r="E156" s="26"/>
      <c r="F156" s="26"/>
    </row>
    <row r="157" customFormat="false" ht="15.75" hidden="false" customHeight="true" outlineLevel="0" collapsed="false">
      <c r="D157" s="26"/>
      <c r="E157" s="26"/>
      <c r="F157" s="26"/>
    </row>
    <row r="158" customFormat="false" ht="15.75" hidden="false" customHeight="true" outlineLevel="0" collapsed="false">
      <c r="D158" s="26"/>
      <c r="E158" s="26"/>
      <c r="F158" s="26"/>
    </row>
    <row r="159" customFormat="false" ht="15.75" hidden="false" customHeight="true" outlineLevel="0" collapsed="false">
      <c r="D159" s="26"/>
      <c r="E159" s="26"/>
      <c r="F159" s="26"/>
    </row>
    <row r="160" customFormat="false" ht="15.75" hidden="false" customHeight="true" outlineLevel="0" collapsed="false">
      <c r="D160" s="26"/>
      <c r="E160" s="26"/>
      <c r="F160" s="26"/>
    </row>
    <row r="161" customFormat="false" ht="15.75" hidden="false" customHeight="true" outlineLevel="0" collapsed="false">
      <c r="D161" s="26"/>
      <c r="E161" s="26"/>
      <c r="F161" s="26"/>
    </row>
    <row r="162" customFormat="false" ht="15.75" hidden="false" customHeight="true" outlineLevel="0" collapsed="false">
      <c r="D162" s="26"/>
      <c r="E162" s="26"/>
      <c r="F162" s="26"/>
    </row>
    <row r="163" customFormat="false" ht="15.75" hidden="false" customHeight="true" outlineLevel="0" collapsed="false">
      <c r="D163" s="26"/>
      <c r="E163" s="26"/>
      <c r="F163" s="26"/>
    </row>
    <row r="164" customFormat="false" ht="15.75" hidden="false" customHeight="true" outlineLevel="0" collapsed="false">
      <c r="D164" s="26"/>
      <c r="E164" s="26"/>
      <c r="F164" s="26"/>
    </row>
    <row r="165" customFormat="false" ht="15.75" hidden="false" customHeight="true" outlineLevel="0" collapsed="false">
      <c r="D165" s="26"/>
      <c r="E165" s="26"/>
      <c r="F165" s="26"/>
    </row>
    <row r="166" customFormat="false" ht="15.75" hidden="false" customHeight="true" outlineLevel="0" collapsed="false">
      <c r="D166" s="26"/>
      <c r="E166" s="26"/>
      <c r="F166" s="26"/>
    </row>
    <row r="167" customFormat="false" ht="15.75" hidden="false" customHeight="true" outlineLevel="0" collapsed="false">
      <c r="D167" s="26"/>
      <c r="E167" s="26"/>
      <c r="F167" s="26"/>
    </row>
    <row r="168" customFormat="false" ht="15.75" hidden="false" customHeight="true" outlineLevel="0" collapsed="false">
      <c r="D168" s="26"/>
      <c r="E168" s="26"/>
      <c r="F168" s="26"/>
    </row>
    <row r="169" customFormat="false" ht="15.75" hidden="false" customHeight="true" outlineLevel="0" collapsed="false">
      <c r="D169" s="26"/>
      <c r="E169" s="26"/>
      <c r="F169" s="26"/>
    </row>
    <row r="170" customFormat="false" ht="15.75" hidden="false" customHeight="true" outlineLevel="0" collapsed="false">
      <c r="D170" s="26"/>
      <c r="E170" s="26"/>
      <c r="F170" s="26"/>
    </row>
    <row r="171" customFormat="false" ht="15.75" hidden="false" customHeight="true" outlineLevel="0" collapsed="false">
      <c r="D171" s="26"/>
      <c r="E171" s="26"/>
      <c r="F171" s="26"/>
    </row>
    <row r="172" customFormat="false" ht="15.75" hidden="false" customHeight="true" outlineLevel="0" collapsed="false">
      <c r="D172" s="26"/>
      <c r="E172" s="26"/>
      <c r="F172" s="26"/>
    </row>
    <row r="173" customFormat="false" ht="15.75" hidden="false" customHeight="true" outlineLevel="0" collapsed="false">
      <c r="D173" s="26"/>
      <c r="E173" s="26"/>
      <c r="F173" s="26"/>
    </row>
    <row r="174" customFormat="false" ht="15.75" hidden="false" customHeight="true" outlineLevel="0" collapsed="false">
      <c r="D174" s="26"/>
      <c r="E174" s="26"/>
      <c r="F174" s="26"/>
    </row>
    <row r="175" customFormat="false" ht="15.75" hidden="false" customHeight="true" outlineLevel="0" collapsed="false">
      <c r="D175" s="26"/>
      <c r="E175" s="26"/>
      <c r="F175" s="26"/>
    </row>
    <row r="176" customFormat="false" ht="15.75" hidden="false" customHeight="true" outlineLevel="0" collapsed="false">
      <c r="D176" s="26"/>
      <c r="E176" s="26"/>
      <c r="F176" s="26"/>
    </row>
    <row r="177" customFormat="false" ht="15.75" hidden="false" customHeight="true" outlineLevel="0" collapsed="false">
      <c r="D177" s="26"/>
      <c r="E177" s="26"/>
      <c r="F177" s="26"/>
    </row>
    <row r="178" customFormat="false" ht="15.75" hidden="false" customHeight="true" outlineLevel="0" collapsed="false">
      <c r="D178" s="26"/>
      <c r="E178" s="26"/>
      <c r="F178" s="26"/>
    </row>
    <row r="179" customFormat="false" ht="15.75" hidden="false" customHeight="true" outlineLevel="0" collapsed="false">
      <c r="D179" s="26"/>
      <c r="E179" s="26"/>
      <c r="F179" s="26"/>
    </row>
    <row r="180" customFormat="false" ht="15.75" hidden="false" customHeight="true" outlineLevel="0" collapsed="false">
      <c r="D180" s="26"/>
      <c r="E180" s="26"/>
      <c r="F180" s="26"/>
    </row>
    <row r="181" customFormat="false" ht="15.75" hidden="false" customHeight="true" outlineLevel="0" collapsed="false">
      <c r="D181" s="26"/>
      <c r="E181" s="26"/>
      <c r="F181" s="26"/>
    </row>
    <row r="182" customFormat="false" ht="15.75" hidden="false" customHeight="true" outlineLevel="0" collapsed="false">
      <c r="D182" s="26"/>
      <c r="E182" s="26"/>
      <c r="F182" s="26"/>
    </row>
    <row r="183" customFormat="false" ht="15.75" hidden="false" customHeight="true" outlineLevel="0" collapsed="false">
      <c r="D183" s="26"/>
      <c r="E183" s="26"/>
      <c r="F183" s="26"/>
    </row>
    <row r="184" customFormat="false" ht="15.75" hidden="false" customHeight="true" outlineLevel="0" collapsed="false">
      <c r="D184" s="26"/>
      <c r="E184" s="26"/>
      <c r="F184" s="26"/>
    </row>
    <row r="185" customFormat="false" ht="15.75" hidden="false" customHeight="true" outlineLevel="0" collapsed="false">
      <c r="D185" s="26"/>
      <c r="E185" s="26"/>
      <c r="F185" s="26"/>
    </row>
    <row r="186" customFormat="false" ht="15.75" hidden="false" customHeight="true" outlineLevel="0" collapsed="false">
      <c r="D186" s="26"/>
      <c r="E186" s="26"/>
      <c r="F186" s="26"/>
    </row>
    <row r="187" customFormat="false" ht="15.75" hidden="false" customHeight="true" outlineLevel="0" collapsed="false">
      <c r="D187" s="26"/>
      <c r="E187" s="26"/>
      <c r="F187" s="26"/>
    </row>
    <row r="188" customFormat="false" ht="15.75" hidden="false" customHeight="true" outlineLevel="0" collapsed="false">
      <c r="D188" s="26"/>
      <c r="E188" s="26"/>
      <c r="F188" s="26"/>
    </row>
    <row r="189" customFormat="false" ht="15.75" hidden="false" customHeight="true" outlineLevel="0" collapsed="false">
      <c r="D189" s="26"/>
      <c r="E189" s="26"/>
      <c r="F189" s="26"/>
    </row>
    <row r="190" customFormat="false" ht="15.75" hidden="false" customHeight="true" outlineLevel="0" collapsed="false">
      <c r="D190" s="26"/>
      <c r="E190" s="26"/>
      <c r="F190" s="26"/>
    </row>
    <row r="191" customFormat="false" ht="15.75" hidden="false" customHeight="true" outlineLevel="0" collapsed="false">
      <c r="D191" s="26"/>
      <c r="E191" s="26"/>
      <c r="F191" s="26"/>
    </row>
    <row r="192" customFormat="false" ht="15.75" hidden="false" customHeight="true" outlineLevel="0" collapsed="false">
      <c r="D192" s="26"/>
      <c r="E192" s="26"/>
      <c r="F192" s="26"/>
    </row>
    <row r="193" customFormat="false" ht="15.75" hidden="false" customHeight="true" outlineLevel="0" collapsed="false">
      <c r="D193" s="26"/>
      <c r="E193" s="26"/>
      <c r="F193" s="26"/>
    </row>
    <row r="194" customFormat="false" ht="15.75" hidden="false" customHeight="true" outlineLevel="0" collapsed="false">
      <c r="D194" s="26"/>
      <c r="E194" s="26"/>
      <c r="F194" s="26"/>
    </row>
    <row r="195" customFormat="false" ht="15.75" hidden="false" customHeight="true" outlineLevel="0" collapsed="false">
      <c r="D195" s="26"/>
      <c r="E195" s="26"/>
      <c r="F195" s="26"/>
    </row>
    <row r="196" customFormat="false" ht="15.75" hidden="false" customHeight="true" outlineLevel="0" collapsed="false">
      <c r="D196" s="26"/>
      <c r="E196" s="26"/>
      <c r="F196" s="26"/>
    </row>
    <row r="197" customFormat="false" ht="15.75" hidden="false" customHeight="true" outlineLevel="0" collapsed="false">
      <c r="D197" s="26"/>
      <c r="E197" s="26"/>
      <c r="F197" s="26"/>
    </row>
    <row r="198" customFormat="false" ht="15.75" hidden="false" customHeight="true" outlineLevel="0" collapsed="false">
      <c r="D198" s="26"/>
      <c r="E198" s="26"/>
      <c r="F198" s="26"/>
    </row>
    <row r="199" customFormat="false" ht="15.75" hidden="false" customHeight="true" outlineLevel="0" collapsed="false">
      <c r="D199" s="26"/>
      <c r="E199" s="26"/>
      <c r="F199" s="26"/>
    </row>
    <row r="200" customFormat="false" ht="15.75" hidden="false" customHeight="true" outlineLevel="0" collapsed="false">
      <c r="D200" s="26"/>
      <c r="E200" s="26"/>
      <c r="F200" s="26"/>
    </row>
    <row r="201" customFormat="false" ht="15.75" hidden="false" customHeight="true" outlineLevel="0" collapsed="false">
      <c r="D201" s="26"/>
      <c r="E201" s="26"/>
      <c r="F201" s="26"/>
    </row>
    <row r="202" customFormat="false" ht="15.75" hidden="false" customHeight="true" outlineLevel="0" collapsed="false">
      <c r="D202" s="26"/>
      <c r="E202" s="26"/>
      <c r="F202" s="26"/>
    </row>
    <row r="203" customFormat="false" ht="15.75" hidden="false" customHeight="true" outlineLevel="0" collapsed="false">
      <c r="D203" s="26"/>
      <c r="E203" s="26"/>
      <c r="F203" s="26"/>
    </row>
    <row r="204" customFormat="false" ht="15.75" hidden="false" customHeight="true" outlineLevel="0" collapsed="false">
      <c r="D204" s="26"/>
      <c r="E204" s="26"/>
      <c r="F204" s="26"/>
    </row>
    <row r="205" customFormat="false" ht="15.75" hidden="false" customHeight="true" outlineLevel="0" collapsed="false">
      <c r="D205" s="26"/>
      <c r="E205" s="26"/>
      <c r="F205" s="26"/>
    </row>
    <row r="206" customFormat="false" ht="15.75" hidden="false" customHeight="true" outlineLevel="0" collapsed="false">
      <c r="D206" s="26"/>
      <c r="E206" s="26"/>
      <c r="F206" s="26"/>
    </row>
    <row r="207" customFormat="false" ht="15.75" hidden="false" customHeight="true" outlineLevel="0" collapsed="false">
      <c r="D207" s="26"/>
      <c r="E207" s="26"/>
      <c r="F207" s="26"/>
    </row>
    <row r="208" customFormat="false" ht="15.75" hidden="false" customHeight="true" outlineLevel="0" collapsed="false">
      <c r="D208" s="26"/>
      <c r="E208" s="26"/>
      <c r="F208" s="26"/>
    </row>
    <row r="209" customFormat="false" ht="15.75" hidden="false" customHeight="true" outlineLevel="0" collapsed="false">
      <c r="D209" s="26"/>
      <c r="E209" s="26"/>
      <c r="F209" s="26"/>
    </row>
    <row r="210" customFormat="false" ht="15.75" hidden="false" customHeight="true" outlineLevel="0" collapsed="false">
      <c r="D210" s="26"/>
      <c r="E210" s="26"/>
      <c r="F210" s="26"/>
    </row>
    <row r="211" customFormat="false" ht="15.75" hidden="false" customHeight="true" outlineLevel="0" collapsed="false">
      <c r="D211" s="26"/>
      <c r="E211" s="26"/>
      <c r="F211" s="26"/>
    </row>
    <row r="212" customFormat="false" ht="15.75" hidden="false" customHeight="true" outlineLevel="0" collapsed="false">
      <c r="D212" s="26"/>
      <c r="E212" s="26"/>
      <c r="F212" s="26"/>
    </row>
    <row r="213" customFormat="false" ht="15.75" hidden="false" customHeight="true" outlineLevel="0" collapsed="false">
      <c r="D213" s="26"/>
      <c r="E213" s="26"/>
      <c r="F213" s="26"/>
    </row>
    <row r="214" customFormat="false" ht="15.75" hidden="false" customHeight="true" outlineLevel="0" collapsed="false">
      <c r="D214" s="26"/>
      <c r="E214" s="26"/>
      <c r="F214" s="26"/>
    </row>
    <row r="215" customFormat="false" ht="15.75" hidden="false" customHeight="true" outlineLevel="0" collapsed="false">
      <c r="D215" s="26"/>
      <c r="E215" s="26"/>
      <c r="F215" s="26"/>
    </row>
    <row r="216" customFormat="false" ht="15.75" hidden="false" customHeight="true" outlineLevel="0" collapsed="false">
      <c r="D216" s="26"/>
      <c r="E216" s="26"/>
      <c r="F216" s="26"/>
    </row>
    <row r="217" customFormat="false" ht="15.75" hidden="false" customHeight="true" outlineLevel="0" collapsed="false">
      <c r="D217" s="26"/>
      <c r="E217" s="26"/>
      <c r="F217" s="26"/>
    </row>
    <row r="218" customFormat="false" ht="15.75" hidden="false" customHeight="true" outlineLevel="0" collapsed="false">
      <c r="D218" s="26"/>
      <c r="E218" s="26"/>
      <c r="F218" s="26"/>
    </row>
    <row r="219" customFormat="false" ht="15.75" hidden="false" customHeight="true" outlineLevel="0" collapsed="false">
      <c r="D219" s="26"/>
      <c r="E219" s="26"/>
      <c r="F219" s="26"/>
    </row>
    <row r="220" customFormat="false" ht="15.75" hidden="false" customHeight="true" outlineLevel="0" collapsed="false">
      <c r="D220" s="26"/>
      <c r="E220" s="26"/>
      <c r="F220" s="26"/>
    </row>
    <row r="221" customFormat="false" ht="15.75" hidden="false" customHeight="true" outlineLevel="0" collapsed="false">
      <c r="D221" s="26"/>
      <c r="E221" s="26"/>
      <c r="F221" s="26"/>
    </row>
    <row r="222" customFormat="false" ht="15.75" hidden="false" customHeight="true" outlineLevel="0" collapsed="false">
      <c r="D222" s="26"/>
      <c r="E222" s="26"/>
      <c r="F222" s="26"/>
    </row>
    <row r="223" customFormat="false" ht="15.75" hidden="false" customHeight="true" outlineLevel="0" collapsed="false">
      <c r="D223" s="26"/>
      <c r="E223" s="26"/>
      <c r="F223" s="26"/>
    </row>
    <row r="224" customFormat="false" ht="15.75" hidden="false" customHeight="true" outlineLevel="0" collapsed="false">
      <c r="D224" s="26"/>
      <c r="E224" s="26"/>
      <c r="F224" s="26"/>
    </row>
    <row r="225" customFormat="false" ht="15.75" hidden="false" customHeight="true" outlineLevel="0" collapsed="false">
      <c r="D225" s="26"/>
      <c r="E225" s="26"/>
      <c r="F225" s="26"/>
    </row>
    <row r="226" customFormat="false" ht="15.75" hidden="false" customHeight="true" outlineLevel="0" collapsed="false">
      <c r="D226" s="26"/>
      <c r="E226" s="26"/>
      <c r="F226" s="26"/>
    </row>
    <row r="227" customFormat="false" ht="15.75" hidden="false" customHeight="true" outlineLevel="0" collapsed="false">
      <c r="D227" s="26"/>
      <c r="E227" s="26"/>
      <c r="F227" s="26"/>
    </row>
    <row r="228" customFormat="false" ht="15.75" hidden="false" customHeight="true" outlineLevel="0" collapsed="false">
      <c r="D228" s="26"/>
      <c r="E228" s="26"/>
      <c r="F228" s="26"/>
    </row>
    <row r="229" customFormat="false" ht="15.75" hidden="false" customHeight="true" outlineLevel="0" collapsed="false">
      <c r="D229" s="26"/>
      <c r="E229" s="26"/>
      <c r="F229" s="26"/>
    </row>
    <row r="230" customFormat="false" ht="15.75" hidden="false" customHeight="true" outlineLevel="0" collapsed="false">
      <c r="D230" s="26"/>
      <c r="E230" s="26"/>
      <c r="F230" s="26"/>
    </row>
    <row r="231" customFormat="false" ht="15.75" hidden="false" customHeight="true" outlineLevel="0" collapsed="false">
      <c r="D231" s="26"/>
      <c r="E231" s="26"/>
      <c r="F231" s="26"/>
    </row>
    <row r="232" customFormat="false" ht="15.75" hidden="false" customHeight="true" outlineLevel="0" collapsed="false">
      <c r="D232" s="26"/>
      <c r="E232" s="26"/>
      <c r="F232" s="26"/>
    </row>
    <row r="233" customFormat="false" ht="15.75" hidden="false" customHeight="true" outlineLevel="0" collapsed="false">
      <c r="D233" s="26"/>
      <c r="E233" s="26"/>
      <c r="F233" s="26"/>
    </row>
    <row r="234" customFormat="false" ht="15.75" hidden="false" customHeight="true" outlineLevel="0" collapsed="false">
      <c r="D234" s="26"/>
      <c r="E234" s="26"/>
      <c r="F234" s="26"/>
    </row>
    <row r="235" customFormat="false" ht="15.75" hidden="false" customHeight="true" outlineLevel="0" collapsed="false">
      <c r="D235" s="26"/>
      <c r="E235" s="26"/>
      <c r="F235" s="26"/>
    </row>
    <row r="236" customFormat="false" ht="15.75" hidden="false" customHeight="true" outlineLevel="0" collapsed="false">
      <c r="D236" s="26"/>
      <c r="E236" s="26"/>
      <c r="F236" s="26"/>
    </row>
    <row r="237" customFormat="false" ht="15.75" hidden="false" customHeight="true" outlineLevel="0" collapsed="false">
      <c r="D237" s="26"/>
      <c r="E237" s="26"/>
      <c r="F237" s="26"/>
    </row>
    <row r="238" customFormat="false" ht="15.75" hidden="false" customHeight="true" outlineLevel="0" collapsed="false">
      <c r="D238" s="26"/>
      <c r="E238" s="26"/>
      <c r="F238" s="26"/>
    </row>
    <row r="239" customFormat="false" ht="15.75" hidden="false" customHeight="true" outlineLevel="0" collapsed="false">
      <c r="D239" s="26"/>
      <c r="E239" s="26"/>
      <c r="F239" s="26"/>
    </row>
    <row r="240" customFormat="false" ht="15.75" hidden="false" customHeight="true" outlineLevel="0" collapsed="false">
      <c r="D240" s="26"/>
      <c r="E240" s="26"/>
      <c r="F240" s="26"/>
    </row>
    <row r="241" customFormat="false" ht="15.75" hidden="false" customHeight="true" outlineLevel="0" collapsed="false">
      <c r="D241" s="26"/>
      <c r="E241" s="26"/>
      <c r="F241" s="26"/>
    </row>
    <row r="242" customFormat="false" ht="15.75" hidden="false" customHeight="true" outlineLevel="0" collapsed="false">
      <c r="D242" s="26"/>
      <c r="E242" s="26"/>
      <c r="F242" s="26"/>
    </row>
    <row r="243" customFormat="false" ht="15.75" hidden="false" customHeight="true" outlineLevel="0" collapsed="false">
      <c r="D243" s="26"/>
      <c r="E243" s="26"/>
      <c r="F243" s="26"/>
    </row>
    <row r="244" customFormat="false" ht="15.75" hidden="false" customHeight="true" outlineLevel="0" collapsed="false">
      <c r="D244" s="26"/>
      <c r="E244" s="26"/>
      <c r="F244" s="26"/>
    </row>
    <row r="245" customFormat="false" ht="15.75" hidden="false" customHeight="true" outlineLevel="0" collapsed="false">
      <c r="D245" s="26"/>
      <c r="E245" s="26"/>
      <c r="F245" s="26"/>
    </row>
    <row r="246" customFormat="false" ht="15.75" hidden="false" customHeight="true" outlineLevel="0" collapsed="false">
      <c r="D246" s="26"/>
      <c r="E246" s="26"/>
      <c r="F246" s="26"/>
    </row>
    <row r="247" customFormat="false" ht="15.75" hidden="false" customHeight="true" outlineLevel="0" collapsed="false">
      <c r="D247" s="26"/>
      <c r="E247" s="26"/>
      <c r="F247" s="26"/>
    </row>
    <row r="248" customFormat="false" ht="15.75" hidden="false" customHeight="true" outlineLevel="0" collapsed="false">
      <c r="D248" s="26"/>
      <c r="E248" s="26"/>
      <c r="F248" s="26"/>
    </row>
    <row r="249" customFormat="false" ht="15.75" hidden="false" customHeight="true" outlineLevel="0" collapsed="false">
      <c r="D249" s="26"/>
      <c r="E249" s="26"/>
      <c r="F249" s="26"/>
    </row>
    <row r="250" customFormat="false" ht="15.75" hidden="false" customHeight="true" outlineLevel="0" collapsed="false">
      <c r="D250" s="26"/>
      <c r="E250" s="26"/>
      <c r="F250" s="26"/>
    </row>
    <row r="251" customFormat="false" ht="15.75" hidden="false" customHeight="true" outlineLevel="0" collapsed="false">
      <c r="D251" s="26"/>
      <c r="E251" s="26"/>
      <c r="F251" s="26"/>
    </row>
    <row r="252" customFormat="false" ht="15.75" hidden="false" customHeight="true" outlineLevel="0" collapsed="false">
      <c r="D252" s="26"/>
      <c r="E252" s="26"/>
      <c r="F252" s="26"/>
    </row>
    <row r="253" customFormat="false" ht="15.75" hidden="false" customHeight="true" outlineLevel="0" collapsed="false">
      <c r="D253" s="26"/>
      <c r="E253" s="26"/>
      <c r="F253" s="26"/>
    </row>
    <row r="254" customFormat="false" ht="15.75" hidden="false" customHeight="true" outlineLevel="0" collapsed="false">
      <c r="D254" s="26"/>
      <c r="E254" s="26"/>
      <c r="F254" s="26"/>
    </row>
    <row r="255" customFormat="false" ht="15.75" hidden="false" customHeight="true" outlineLevel="0" collapsed="false">
      <c r="D255" s="26"/>
      <c r="E255" s="26"/>
      <c r="F255" s="26"/>
    </row>
    <row r="256" customFormat="false" ht="15.75" hidden="false" customHeight="true" outlineLevel="0" collapsed="false">
      <c r="D256" s="26"/>
      <c r="E256" s="26"/>
      <c r="F256" s="26"/>
    </row>
    <row r="257" customFormat="false" ht="15.75" hidden="false" customHeight="true" outlineLevel="0" collapsed="false">
      <c r="D257" s="26"/>
      <c r="E257" s="26"/>
      <c r="F257" s="26"/>
    </row>
    <row r="258" customFormat="false" ht="15.75" hidden="false" customHeight="true" outlineLevel="0" collapsed="false">
      <c r="D258" s="26"/>
      <c r="E258" s="26"/>
      <c r="F258" s="26"/>
    </row>
    <row r="259" customFormat="false" ht="15.75" hidden="false" customHeight="true" outlineLevel="0" collapsed="false">
      <c r="D259" s="26"/>
      <c r="E259" s="26"/>
      <c r="F259" s="26"/>
    </row>
    <row r="260" customFormat="false" ht="15.75" hidden="false" customHeight="true" outlineLevel="0" collapsed="false">
      <c r="D260" s="26"/>
      <c r="E260" s="26"/>
      <c r="F260" s="26"/>
    </row>
    <row r="261" customFormat="false" ht="15.75" hidden="false" customHeight="true" outlineLevel="0" collapsed="false">
      <c r="D261" s="26"/>
      <c r="E261" s="26"/>
      <c r="F261" s="26"/>
    </row>
    <row r="262" customFormat="false" ht="15.75" hidden="false" customHeight="true" outlineLevel="0" collapsed="false">
      <c r="D262" s="26"/>
      <c r="E262" s="26"/>
      <c r="F262" s="26"/>
    </row>
    <row r="263" customFormat="false" ht="15.75" hidden="false" customHeight="true" outlineLevel="0" collapsed="false">
      <c r="D263" s="26"/>
      <c r="E263" s="26"/>
      <c r="F263" s="26"/>
    </row>
    <row r="264" customFormat="false" ht="15.75" hidden="false" customHeight="true" outlineLevel="0" collapsed="false">
      <c r="D264" s="26"/>
      <c r="E264" s="26"/>
      <c r="F264" s="26"/>
    </row>
    <row r="265" customFormat="false" ht="15.75" hidden="false" customHeight="true" outlineLevel="0" collapsed="false">
      <c r="D265" s="26"/>
      <c r="E265" s="26"/>
      <c r="F265" s="26"/>
    </row>
    <row r="266" customFormat="false" ht="15.75" hidden="false" customHeight="true" outlineLevel="0" collapsed="false">
      <c r="D266" s="26"/>
      <c r="E266" s="26"/>
      <c r="F266" s="26"/>
    </row>
    <row r="267" customFormat="false" ht="15.75" hidden="false" customHeight="true" outlineLevel="0" collapsed="false">
      <c r="D267" s="26"/>
      <c r="E267" s="26"/>
      <c r="F267" s="26"/>
    </row>
    <row r="268" customFormat="false" ht="15.75" hidden="false" customHeight="true" outlineLevel="0" collapsed="false">
      <c r="D268" s="26"/>
      <c r="E268" s="26"/>
      <c r="F268" s="26"/>
    </row>
    <row r="269" customFormat="false" ht="15.75" hidden="false" customHeight="true" outlineLevel="0" collapsed="false">
      <c r="D269" s="26"/>
      <c r="E269" s="26"/>
      <c r="F269" s="26"/>
    </row>
    <row r="270" customFormat="false" ht="15.75" hidden="false" customHeight="true" outlineLevel="0" collapsed="false">
      <c r="D270" s="26"/>
      <c r="E270" s="26"/>
      <c r="F270" s="26"/>
    </row>
    <row r="271" customFormat="false" ht="15.75" hidden="false" customHeight="true" outlineLevel="0" collapsed="false">
      <c r="D271" s="26"/>
      <c r="E271" s="26"/>
      <c r="F271" s="26"/>
    </row>
    <row r="272" customFormat="false" ht="15.75" hidden="false" customHeight="true" outlineLevel="0" collapsed="false">
      <c r="D272" s="26"/>
      <c r="E272" s="26"/>
      <c r="F272" s="26"/>
    </row>
    <row r="273" customFormat="false" ht="15.75" hidden="false" customHeight="true" outlineLevel="0" collapsed="false">
      <c r="D273" s="26"/>
      <c r="E273" s="26"/>
      <c r="F273" s="26"/>
    </row>
    <row r="274" customFormat="false" ht="15.75" hidden="false" customHeight="true" outlineLevel="0" collapsed="false">
      <c r="D274" s="26"/>
      <c r="E274" s="26"/>
      <c r="F274" s="26"/>
    </row>
    <row r="275" customFormat="false" ht="15.75" hidden="false" customHeight="true" outlineLevel="0" collapsed="false">
      <c r="D275" s="26"/>
      <c r="E275" s="26"/>
      <c r="F275" s="26"/>
    </row>
    <row r="276" customFormat="false" ht="15.75" hidden="false" customHeight="true" outlineLevel="0" collapsed="false">
      <c r="D276" s="26"/>
      <c r="E276" s="26"/>
      <c r="F276" s="26"/>
    </row>
    <row r="277" customFormat="false" ht="15.75" hidden="false" customHeight="true" outlineLevel="0" collapsed="false">
      <c r="D277" s="26"/>
      <c r="E277" s="26"/>
      <c r="F277" s="26"/>
    </row>
    <row r="278" customFormat="false" ht="15.75" hidden="false" customHeight="true" outlineLevel="0" collapsed="false">
      <c r="D278" s="26"/>
      <c r="E278" s="26"/>
      <c r="F278" s="26"/>
    </row>
    <row r="279" customFormat="false" ht="15.75" hidden="false" customHeight="true" outlineLevel="0" collapsed="false">
      <c r="D279" s="26"/>
      <c r="E279" s="26"/>
      <c r="F279" s="26"/>
    </row>
    <row r="280" customFormat="false" ht="15.75" hidden="false" customHeight="true" outlineLevel="0" collapsed="false">
      <c r="D280" s="26"/>
      <c r="E280" s="26"/>
      <c r="F280" s="26"/>
    </row>
    <row r="281" customFormat="false" ht="15.75" hidden="false" customHeight="true" outlineLevel="0" collapsed="false">
      <c r="D281" s="26"/>
      <c r="E281" s="26"/>
      <c r="F281" s="26"/>
    </row>
    <row r="282" customFormat="false" ht="15.75" hidden="false" customHeight="true" outlineLevel="0" collapsed="false">
      <c r="D282" s="26"/>
      <c r="E282" s="26"/>
      <c r="F282" s="26"/>
    </row>
    <row r="283" customFormat="false" ht="15.75" hidden="false" customHeight="true" outlineLevel="0" collapsed="false">
      <c r="D283" s="26"/>
      <c r="E283" s="26"/>
      <c r="F283" s="26"/>
    </row>
    <row r="284" customFormat="false" ht="15.75" hidden="false" customHeight="true" outlineLevel="0" collapsed="false">
      <c r="D284" s="26"/>
      <c r="E284" s="26"/>
      <c r="F284" s="26"/>
    </row>
    <row r="285" customFormat="false" ht="15.75" hidden="false" customHeight="true" outlineLevel="0" collapsed="false">
      <c r="D285" s="26"/>
      <c r="E285" s="26"/>
      <c r="F285" s="26"/>
    </row>
    <row r="286" customFormat="false" ht="15.75" hidden="false" customHeight="true" outlineLevel="0" collapsed="false">
      <c r="D286" s="26"/>
      <c r="E286" s="26"/>
      <c r="F286" s="26"/>
    </row>
    <row r="287" customFormat="false" ht="15.75" hidden="false" customHeight="true" outlineLevel="0" collapsed="false">
      <c r="D287" s="26"/>
      <c r="E287" s="26"/>
      <c r="F287" s="26"/>
    </row>
    <row r="288" customFormat="false" ht="15.75" hidden="false" customHeight="true" outlineLevel="0" collapsed="false">
      <c r="D288" s="26"/>
      <c r="E288" s="26"/>
      <c r="F288" s="26"/>
    </row>
    <row r="289" customFormat="false" ht="15.75" hidden="false" customHeight="true" outlineLevel="0" collapsed="false">
      <c r="D289" s="26"/>
      <c r="E289" s="26"/>
      <c r="F289" s="26"/>
    </row>
    <row r="290" customFormat="false" ht="15.75" hidden="false" customHeight="true" outlineLevel="0" collapsed="false">
      <c r="D290" s="26"/>
      <c r="E290" s="26"/>
      <c r="F290" s="26"/>
    </row>
    <row r="291" customFormat="false" ht="15.75" hidden="false" customHeight="true" outlineLevel="0" collapsed="false">
      <c r="D291" s="26"/>
      <c r="E291" s="26"/>
      <c r="F291" s="26"/>
    </row>
    <row r="292" customFormat="false" ht="15.75" hidden="false" customHeight="true" outlineLevel="0" collapsed="false">
      <c r="D292" s="26"/>
      <c r="E292" s="26"/>
      <c r="F292" s="26"/>
    </row>
    <row r="293" customFormat="false" ht="15.75" hidden="false" customHeight="true" outlineLevel="0" collapsed="false">
      <c r="D293" s="26"/>
      <c r="E293" s="26"/>
      <c r="F293" s="26"/>
    </row>
    <row r="294" customFormat="false" ht="15.75" hidden="false" customHeight="true" outlineLevel="0" collapsed="false">
      <c r="D294" s="26"/>
      <c r="E294" s="26"/>
      <c r="F294" s="26"/>
    </row>
    <row r="295" customFormat="false" ht="15.75" hidden="false" customHeight="true" outlineLevel="0" collapsed="false">
      <c r="D295" s="26"/>
      <c r="E295" s="26"/>
      <c r="F295" s="26"/>
    </row>
    <row r="296" customFormat="false" ht="15.75" hidden="false" customHeight="true" outlineLevel="0" collapsed="false">
      <c r="D296" s="26"/>
      <c r="E296" s="26"/>
      <c r="F296" s="26"/>
    </row>
    <row r="297" customFormat="false" ht="15.75" hidden="false" customHeight="true" outlineLevel="0" collapsed="false">
      <c r="D297" s="26"/>
      <c r="E297" s="26"/>
      <c r="F297" s="26"/>
    </row>
    <row r="298" customFormat="false" ht="15.75" hidden="false" customHeight="true" outlineLevel="0" collapsed="false">
      <c r="D298" s="26"/>
      <c r="E298" s="26"/>
      <c r="F298" s="26"/>
    </row>
    <row r="299" customFormat="false" ht="15.75" hidden="false" customHeight="true" outlineLevel="0" collapsed="false">
      <c r="D299" s="26"/>
      <c r="E299" s="26"/>
      <c r="F299" s="26"/>
    </row>
    <row r="300" customFormat="false" ht="15.75" hidden="false" customHeight="true" outlineLevel="0" collapsed="false">
      <c r="D300" s="26"/>
      <c r="E300" s="26"/>
      <c r="F300" s="26"/>
    </row>
    <row r="301" customFormat="false" ht="15.75" hidden="false" customHeight="true" outlineLevel="0" collapsed="false">
      <c r="D301" s="26"/>
      <c r="E301" s="26"/>
      <c r="F301" s="26"/>
    </row>
    <row r="302" customFormat="false" ht="15.75" hidden="false" customHeight="true" outlineLevel="0" collapsed="false">
      <c r="D302" s="26"/>
      <c r="E302" s="26"/>
      <c r="F302" s="26"/>
    </row>
    <row r="303" customFormat="false" ht="15.75" hidden="false" customHeight="true" outlineLevel="0" collapsed="false">
      <c r="D303" s="26"/>
      <c r="E303" s="26"/>
      <c r="F303" s="26"/>
    </row>
    <row r="304" customFormat="false" ht="15.75" hidden="false" customHeight="true" outlineLevel="0" collapsed="false">
      <c r="D304" s="26"/>
      <c r="E304" s="26"/>
      <c r="F304" s="26"/>
    </row>
    <row r="305" customFormat="false" ht="15.75" hidden="false" customHeight="true" outlineLevel="0" collapsed="false">
      <c r="D305" s="26"/>
      <c r="E305" s="26"/>
      <c r="F305" s="26"/>
    </row>
    <row r="306" customFormat="false" ht="15.75" hidden="false" customHeight="true" outlineLevel="0" collapsed="false">
      <c r="D306" s="26"/>
      <c r="E306" s="26"/>
      <c r="F306" s="26"/>
    </row>
    <row r="307" customFormat="false" ht="15.75" hidden="false" customHeight="true" outlineLevel="0" collapsed="false">
      <c r="D307" s="26"/>
      <c r="E307" s="26"/>
      <c r="F307" s="26"/>
    </row>
    <row r="308" customFormat="false" ht="15.75" hidden="false" customHeight="true" outlineLevel="0" collapsed="false">
      <c r="D308" s="26"/>
      <c r="E308" s="26"/>
      <c r="F308" s="26"/>
    </row>
    <row r="309" customFormat="false" ht="15.75" hidden="false" customHeight="true" outlineLevel="0" collapsed="false">
      <c r="D309" s="26"/>
      <c r="E309" s="26"/>
      <c r="F309" s="26"/>
    </row>
    <row r="310" customFormat="false" ht="15.75" hidden="false" customHeight="true" outlineLevel="0" collapsed="false">
      <c r="D310" s="26"/>
      <c r="E310" s="26"/>
      <c r="F310" s="26"/>
    </row>
    <row r="311" customFormat="false" ht="15.75" hidden="false" customHeight="true" outlineLevel="0" collapsed="false">
      <c r="D311" s="26"/>
      <c r="E311" s="26"/>
      <c r="F311" s="26"/>
    </row>
    <row r="312" customFormat="false" ht="15.75" hidden="false" customHeight="true" outlineLevel="0" collapsed="false">
      <c r="D312" s="26"/>
      <c r="E312" s="26"/>
      <c r="F312" s="26"/>
    </row>
    <row r="313" customFormat="false" ht="15.75" hidden="false" customHeight="true" outlineLevel="0" collapsed="false">
      <c r="D313" s="26"/>
      <c r="E313" s="26"/>
      <c r="F313" s="26"/>
    </row>
    <row r="314" customFormat="false" ht="15.75" hidden="false" customHeight="true" outlineLevel="0" collapsed="false">
      <c r="D314" s="26"/>
      <c r="E314" s="26"/>
      <c r="F314" s="26"/>
    </row>
    <row r="315" customFormat="false" ht="15.75" hidden="false" customHeight="true" outlineLevel="0" collapsed="false">
      <c r="D315" s="26"/>
      <c r="E315" s="26"/>
      <c r="F315" s="26"/>
    </row>
    <row r="316" customFormat="false" ht="15.75" hidden="false" customHeight="true" outlineLevel="0" collapsed="false">
      <c r="D316" s="26"/>
      <c r="E316" s="26"/>
      <c r="F316" s="26"/>
    </row>
    <row r="317" customFormat="false" ht="15.75" hidden="false" customHeight="true" outlineLevel="0" collapsed="false">
      <c r="D317" s="26"/>
      <c r="E317" s="26"/>
      <c r="F317" s="26"/>
    </row>
    <row r="318" customFormat="false" ht="15.75" hidden="false" customHeight="true" outlineLevel="0" collapsed="false">
      <c r="D318" s="26"/>
      <c r="E318" s="26"/>
      <c r="F318" s="26"/>
    </row>
    <row r="319" customFormat="false" ht="15.75" hidden="false" customHeight="true" outlineLevel="0" collapsed="false">
      <c r="D319" s="26"/>
      <c r="E319" s="26"/>
      <c r="F319" s="26"/>
    </row>
    <row r="320" customFormat="false" ht="15.75" hidden="false" customHeight="true" outlineLevel="0" collapsed="false">
      <c r="D320" s="26"/>
      <c r="E320" s="26"/>
      <c r="F320" s="26"/>
    </row>
    <row r="321" customFormat="false" ht="15.75" hidden="false" customHeight="true" outlineLevel="0" collapsed="false">
      <c r="D321" s="26"/>
      <c r="E321" s="26"/>
      <c r="F321" s="26"/>
    </row>
    <row r="322" customFormat="false" ht="15.75" hidden="false" customHeight="true" outlineLevel="0" collapsed="false">
      <c r="D322" s="26"/>
      <c r="E322" s="26"/>
      <c r="F322" s="26"/>
    </row>
    <row r="323" customFormat="false" ht="15.75" hidden="false" customHeight="true" outlineLevel="0" collapsed="false">
      <c r="D323" s="26"/>
      <c r="E323" s="26"/>
      <c r="F323" s="26"/>
    </row>
    <row r="324" customFormat="false" ht="15.75" hidden="false" customHeight="true" outlineLevel="0" collapsed="false">
      <c r="D324" s="26"/>
      <c r="E324" s="26"/>
      <c r="F324" s="26"/>
    </row>
    <row r="325" customFormat="false" ht="15.75" hidden="false" customHeight="true" outlineLevel="0" collapsed="false">
      <c r="D325" s="26"/>
      <c r="E325" s="26"/>
      <c r="F325" s="26"/>
    </row>
    <row r="326" customFormat="false" ht="15.75" hidden="false" customHeight="true" outlineLevel="0" collapsed="false">
      <c r="D326" s="26"/>
      <c r="E326" s="26"/>
      <c r="F326" s="26"/>
    </row>
    <row r="327" customFormat="false" ht="15.75" hidden="false" customHeight="true" outlineLevel="0" collapsed="false">
      <c r="D327" s="26"/>
      <c r="E327" s="26"/>
      <c r="F327" s="26"/>
    </row>
    <row r="328" customFormat="false" ht="15.75" hidden="false" customHeight="true" outlineLevel="0" collapsed="false">
      <c r="D328" s="26"/>
      <c r="E328" s="26"/>
      <c r="F328" s="26"/>
    </row>
    <row r="329" customFormat="false" ht="15.75" hidden="false" customHeight="true" outlineLevel="0" collapsed="false">
      <c r="D329" s="26"/>
      <c r="E329" s="26"/>
      <c r="F329" s="26"/>
    </row>
    <row r="330" customFormat="false" ht="15.75" hidden="false" customHeight="true" outlineLevel="0" collapsed="false">
      <c r="D330" s="26"/>
      <c r="E330" s="26"/>
      <c r="F330" s="26"/>
    </row>
    <row r="331" customFormat="false" ht="15.75" hidden="false" customHeight="true" outlineLevel="0" collapsed="false">
      <c r="D331" s="26"/>
      <c r="E331" s="26"/>
      <c r="F331" s="26"/>
    </row>
    <row r="332" customFormat="false" ht="15.75" hidden="false" customHeight="true" outlineLevel="0" collapsed="false">
      <c r="D332" s="26"/>
      <c r="E332" s="26"/>
      <c r="F332" s="26"/>
    </row>
    <row r="333" customFormat="false" ht="15.75" hidden="false" customHeight="true" outlineLevel="0" collapsed="false">
      <c r="D333" s="26"/>
      <c r="E333" s="26"/>
      <c r="F333" s="26"/>
    </row>
    <row r="334" customFormat="false" ht="15.75" hidden="false" customHeight="true" outlineLevel="0" collapsed="false">
      <c r="D334" s="26"/>
      <c r="E334" s="26"/>
      <c r="F334" s="26"/>
    </row>
    <row r="335" customFormat="false" ht="15.75" hidden="false" customHeight="true" outlineLevel="0" collapsed="false">
      <c r="D335" s="26"/>
      <c r="E335" s="26"/>
      <c r="F335" s="26"/>
    </row>
    <row r="336" customFormat="false" ht="15.75" hidden="false" customHeight="true" outlineLevel="0" collapsed="false">
      <c r="D336" s="26"/>
      <c r="E336" s="26"/>
      <c r="F336" s="26"/>
    </row>
    <row r="337" customFormat="false" ht="15.75" hidden="false" customHeight="true" outlineLevel="0" collapsed="false">
      <c r="D337" s="26"/>
      <c r="E337" s="26"/>
      <c r="F337" s="26"/>
    </row>
    <row r="338" customFormat="false" ht="15.75" hidden="false" customHeight="true" outlineLevel="0" collapsed="false">
      <c r="D338" s="26"/>
      <c r="E338" s="26"/>
      <c r="F338" s="26"/>
    </row>
    <row r="339" customFormat="false" ht="15.75" hidden="false" customHeight="true" outlineLevel="0" collapsed="false">
      <c r="D339" s="26"/>
      <c r="E339" s="26"/>
      <c r="F339" s="26"/>
    </row>
    <row r="340" customFormat="false" ht="15.75" hidden="false" customHeight="true" outlineLevel="0" collapsed="false">
      <c r="D340" s="26"/>
      <c r="E340" s="26"/>
      <c r="F340" s="26"/>
    </row>
    <row r="341" customFormat="false" ht="15.75" hidden="false" customHeight="true" outlineLevel="0" collapsed="false">
      <c r="D341" s="26"/>
      <c r="E341" s="26"/>
      <c r="F341" s="26"/>
    </row>
    <row r="342" customFormat="false" ht="15.75" hidden="false" customHeight="true" outlineLevel="0" collapsed="false">
      <c r="D342" s="26"/>
      <c r="E342" s="26"/>
      <c r="F342" s="26"/>
    </row>
    <row r="343" customFormat="false" ht="15.75" hidden="false" customHeight="true" outlineLevel="0" collapsed="false">
      <c r="D343" s="26"/>
      <c r="E343" s="26"/>
      <c r="F343" s="26"/>
    </row>
    <row r="344" customFormat="false" ht="15.75" hidden="false" customHeight="true" outlineLevel="0" collapsed="false">
      <c r="D344" s="26"/>
      <c r="E344" s="26"/>
      <c r="F344" s="26"/>
    </row>
    <row r="345" customFormat="false" ht="15.75" hidden="false" customHeight="true" outlineLevel="0" collapsed="false">
      <c r="D345" s="26"/>
      <c r="E345" s="26"/>
      <c r="F345" s="26"/>
    </row>
    <row r="346" customFormat="false" ht="15.75" hidden="false" customHeight="true" outlineLevel="0" collapsed="false">
      <c r="D346" s="26"/>
      <c r="E346" s="26"/>
      <c r="F346" s="26"/>
    </row>
    <row r="347" customFormat="false" ht="15.75" hidden="false" customHeight="true" outlineLevel="0" collapsed="false">
      <c r="D347" s="26"/>
      <c r="E347" s="26"/>
      <c r="F347" s="26"/>
    </row>
    <row r="348" customFormat="false" ht="15.75" hidden="false" customHeight="true" outlineLevel="0" collapsed="false">
      <c r="D348" s="26"/>
      <c r="E348" s="26"/>
      <c r="F348" s="26"/>
    </row>
    <row r="349" customFormat="false" ht="15.75" hidden="false" customHeight="true" outlineLevel="0" collapsed="false">
      <c r="D349" s="26"/>
      <c r="E349" s="26"/>
      <c r="F349" s="26"/>
    </row>
    <row r="350" customFormat="false" ht="15.75" hidden="false" customHeight="true" outlineLevel="0" collapsed="false">
      <c r="D350" s="26"/>
      <c r="E350" s="26"/>
      <c r="F350" s="26"/>
    </row>
    <row r="351" customFormat="false" ht="15.75" hidden="false" customHeight="true" outlineLevel="0" collapsed="false">
      <c r="D351" s="26"/>
      <c r="E351" s="26"/>
      <c r="F351" s="26"/>
    </row>
    <row r="352" customFormat="false" ht="15.75" hidden="false" customHeight="true" outlineLevel="0" collapsed="false">
      <c r="D352" s="26"/>
      <c r="E352" s="26"/>
      <c r="F352" s="26"/>
    </row>
    <row r="353" customFormat="false" ht="15.75" hidden="false" customHeight="true" outlineLevel="0" collapsed="false">
      <c r="D353" s="26"/>
      <c r="E353" s="26"/>
      <c r="F353" s="26"/>
    </row>
    <row r="354" customFormat="false" ht="15.75" hidden="false" customHeight="true" outlineLevel="0" collapsed="false">
      <c r="D354" s="26"/>
      <c r="E354" s="26"/>
      <c r="F354" s="26"/>
    </row>
    <row r="355" customFormat="false" ht="15.75" hidden="false" customHeight="true" outlineLevel="0" collapsed="false">
      <c r="D355" s="26"/>
      <c r="E355" s="26"/>
      <c r="F355" s="26"/>
    </row>
    <row r="356" customFormat="false" ht="15.75" hidden="false" customHeight="true" outlineLevel="0" collapsed="false">
      <c r="D356" s="26"/>
      <c r="E356" s="26"/>
      <c r="F356" s="26"/>
    </row>
    <row r="357" customFormat="false" ht="15.75" hidden="false" customHeight="true" outlineLevel="0" collapsed="false">
      <c r="D357" s="26"/>
      <c r="E357" s="26"/>
      <c r="F357" s="26"/>
    </row>
    <row r="358" customFormat="false" ht="15.75" hidden="false" customHeight="true" outlineLevel="0" collapsed="false">
      <c r="D358" s="26"/>
      <c r="E358" s="26"/>
      <c r="F358" s="26"/>
    </row>
    <row r="359" customFormat="false" ht="15.75" hidden="false" customHeight="true" outlineLevel="0" collapsed="false">
      <c r="D359" s="26"/>
      <c r="E359" s="26"/>
      <c r="F359" s="26"/>
    </row>
    <row r="360" customFormat="false" ht="15.75" hidden="false" customHeight="true" outlineLevel="0" collapsed="false">
      <c r="D360" s="26"/>
      <c r="E360" s="26"/>
      <c r="F360" s="26"/>
    </row>
    <row r="361" customFormat="false" ht="15.75" hidden="false" customHeight="true" outlineLevel="0" collapsed="false">
      <c r="D361" s="26"/>
      <c r="E361" s="26"/>
      <c r="F361" s="26"/>
    </row>
    <row r="362" customFormat="false" ht="15.75" hidden="false" customHeight="true" outlineLevel="0" collapsed="false">
      <c r="D362" s="26"/>
      <c r="E362" s="26"/>
      <c r="F362" s="26"/>
    </row>
    <row r="363" customFormat="false" ht="15.75" hidden="false" customHeight="true" outlineLevel="0" collapsed="false">
      <c r="D363" s="26"/>
      <c r="E363" s="26"/>
      <c r="F363" s="26"/>
    </row>
    <row r="364" customFormat="false" ht="15.75" hidden="false" customHeight="true" outlineLevel="0" collapsed="false">
      <c r="D364" s="26"/>
      <c r="E364" s="26"/>
      <c r="F364" s="26"/>
    </row>
    <row r="365" customFormat="false" ht="15.75" hidden="false" customHeight="true" outlineLevel="0" collapsed="false">
      <c r="D365" s="26"/>
      <c r="E365" s="26"/>
      <c r="F365" s="26"/>
    </row>
    <row r="366" customFormat="false" ht="15.75" hidden="false" customHeight="true" outlineLevel="0" collapsed="false">
      <c r="D366" s="26"/>
      <c r="E366" s="26"/>
      <c r="F366" s="26"/>
    </row>
    <row r="367" customFormat="false" ht="15.75" hidden="false" customHeight="true" outlineLevel="0" collapsed="false">
      <c r="D367" s="26"/>
      <c r="E367" s="26"/>
      <c r="F367" s="26"/>
    </row>
    <row r="368" customFormat="false" ht="15.75" hidden="false" customHeight="true" outlineLevel="0" collapsed="false">
      <c r="D368" s="26"/>
      <c r="E368" s="26"/>
      <c r="F368" s="26"/>
    </row>
    <row r="369" customFormat="false" ht="15.75" hidden="false" customHeight="true" outlineLevel="0" collapsed="false">
      <c r="D369" s="26"/>
      <c r="E369" s="26"/>
      <c r="F369" s="26"/>
    </row>
    <row r="370" customFormat="false" ht="15.75" hidden="false" customHeight="true" outlineLevel="0" collapsed="false">
      <c r="D370" s="26"/>
      <c r="E370" s="26"/>
      <c r="F370" s="26"/>
    </row>
    <row r="371" customFormat="false" ht="15.75" hidden="false" customHeight="true" outlineLevel="0" collapsed="false">
      <c r="D371" s="26"/>
      <c r="E371" s="26"/>
      <c r="F371" s="26"/>
    </row>
    <row r="372" customFormat="false" ht="15.75" hidden="false" customHeight="true" outlineLevel="0" collapsed="false">
      <c r="D372" s="26"/>
      <c r="E372" s="26"/>
      <c r="F372" s="26"/>
    </row>
    <row r="373" customFormat="false" ht="15.75" hidden="false" customHeight="true" outlineLevel="0" collapsed="false">
      <c r="D373" s="26"/>
      <c r="E373" s="26"/>
      <c r="F373" s="26"/>
    </row>
    <row r="374" customFormat="false" ht="15.75" hidden="false" customHeight="true" outlineLevel="0" collapsed="false">
      <c r="D374" s="26"/>
      <c r="E374" s="26"/>
      <c r="F374" s="26"/>
    </row>
    <row r="375" customFormat="false" ht="15.75" hidden="false" customHeight="true" outlineLevel="0" collapsed="false">
      <c r="D375" s="26"/>
      <c r="E375" s="26"/>
      <c r="F375" s="26"/>
    </row>
    <row r="376" customFormat="false" ht="15.75" hidden="false" customHeight="true" outlineLevel="0" collapsed="false">
      <c r="D376" s="26"/>
      <c r="E376" s="26"/>
      <c r="F376" s="26"/>
    </row>
    <row r="377" customFormat="false" ht="15.75" hidden="false" customHeight="true" outlineLevel="0" collapsed="false">
      <c r="D377" s="26"/>
      <c r="E377" s="26"/>
      <c r="F377" s="26"/>
    </row>
    <row r="378" customFormat="false" ht="15.75" hidden="false" customHeight="true" outlineLevel="0" collapsed="false">
      <c r="D378" s="26"/>
      <c r="E378" s="26"/>
      <c r="F378" s="26"/>
    </row>
    <row r="379" customFormat="false" ht="15.75" hidden="false" customHeight="true" outlineLevel="0" collapsed="false">
      <c r="D379" s="26"/>
      <c r="E379" s="26"/>
      <c r="F379" s="26"/>
    </row>
    <row r="380" customFormat="false" ht="15.75" hidden="false" customHeight="true" outlineLevel="0" collapsed="false">
      <c r="D380" s="26"/>
      <c r="E380" s="26"/>
      <c r="F380" s="26"/>
    </row>
    <row r="381" customFormat="false" ht="15.75" hidden="false" customHeight="true" outlineLevel="0" collapsed="false">
      <c r="D381" s="26"/>
      <c r="E381" s="26"/>
      <c r="F381" s="26"/>
    </row>
    <row r="382" customFormat="false" ht="15.75" hidden="false" customHeight="true" outlineLevel="0" collapsed="false">
      <c r="D382" s="26"/>
      <c r="E382" s="26"/>
      <c r="F382" s="26"/>
    </row>
    <row r="383" customFormat="false" ht="15.75" hidden="false" customHeight="true" outlineLevel="0" collapsed="false">
      <c r="D383" s="26"/>
      <c r="E383" s="26"/>
      <c r="F383" s="26"/>
    </row>
    <row r="384" customFormat="false" ht="15.75" hidden="false" customHeight="true" outlineLevel="0" collapsed="false">
      <c r="D384" s="26"/>
      <c r="E384" s="26"/>
      <c r="F384" s="26"/>
    </row>
    <row r="385" customFormat="false" ht="15.75" hidden="false" customHeight="true" outlineLevel="0" collapsed="false">
      <c r="D385" s="26"/>
      <c r="E385" s="26"/>
      <c r="F385" s="26"/>
    </row>
    <row r="386" customFormat="false" ht="15.75" hidden="false" customHeight="true" outlineLevel="0" collapsed="false">
      <c r="D386" s="26"/>
      <c r="E386" s="26"/>
      <c r="F386" s="26"/>
    </row>
    <row r="387" customFormat="false" ht="15.75" hidden="false" customHeight="true" outlineLevel="0" collapsed="false">
      <c r="D387" s="26"/>
      <c r="E387" s="26"/>
      <c r="F387" s="26"/>
    </row>
    <row r="388" customFormat="false" ht="15.75" hidden="false" customHeight="true" outlineLevel="0" collapsed="false">
      <c r="D388" s="26"/>
      <c r="E388" s="26"/>
      <c r="F388" s="26"/>
    </row>
    <row r="389" customFormat="false" ht="15.75" hidden="false" customHeight="true" outlineLevel="0" collapsed="false">
      <c r="D389" s="26"/>
      <c r="E389" s="26"/>
      <c r="F389" s="26"/>
    </row>
    <row r="390" customFormat="false" ht="15.75" hidden="false" customHeight="true" outlineLevel="0" collapsed="false">
      <c r="D390" s="26"/>
      <c r="E390" s="26"/>
      <c r="F390" s="26"/>
    </row>
    <row r="391" customFormat="false" ht="15.75" hidden="false" customHeight="true" outlineLevel="0" collapsed="false">
      <c r="D391" s="26"/>
      <c r="E391" s="26"/>
      <c r="F391" s="26"/>
    </row>
    <row r="392" customFormat="false" ht="15.75" hidden="false" customHeight="true" outlineLevel="0" collapsed="false">
      <c r="D392" s="26"/>
      <c r="E392" s="26"/>
      <c r="F392" s="26"/>
    </row>
    <row r="393" customFormat="false" ht="15.75" hidden="false" customHeight="true" outlineLevel="0" collapsed="false">
      <c r="D393" s="26"/>
      <c r="E393" s="26"/>
      <c r="F393" s="26"/>
    </row>
    <row r="394" customFormat="false" ht="15.75" hidden="false" customHeight="true" outlineLevel="0" collapsed="false">
      <c r="D394" s="26"/>
      <c r="E394" s="26"/>
      <c r="F394" s="26"/>
    </row>
    <row r="395" customFormat="false" ht="15.75" hidden="false" customHeight="true" outlineLevel="0" collapsed="false">
      <c r="D395" s="26"/>
      <c r="E395" s="26"/>
      <c r="F395" s="26"/>
    </row>
    <row r="396" customFormat="false" ht="15.75" hidden="false" customHeight="true" outlineLevel="0" collapsed="false">
      <c r="D396" s="26"/>
      <c r="E396" s="26"/>
      <c r="F396" s="26"/>
    </row>
    <row r="397" customFormat="false" ht="15.75" hidden="false" customHeight="true" outlineLevel="0" collapsed="false">
      <c r="D397" s="26"/>
      <c r="E397" s="26"/>
      <c r="F397" s="26"/>
    </row>
    <row r="398" customFormat="false" ht="15.75" hidden="false" customHeight="true" outlineLevel="0" collapsed="false">
      <c r="D398" s="26"/>
      <c r="E398" s="26"/>
      <c r="F398" s="26"/>
    </row>
    <row r="399" customFormat="false" ht="15.75" hidden="false" customHeight="true" outlineLevel="0" collapsed="false">
      <c r="D399" s="26"/>
      <c r="E399" s="26"/>
      <c r="F399" s="26"/>
    </row>
    <row r="400" customFormat="false" ht="15.75" hidden="false" customHeight="true" outlineLevel="0" collapsed="false">
      <c r="D400" s="26"/>
      <c r="E400" s="26"/>
      <c r="F400" s="26"/>
    </row>
    <row r="401" customFormat="false" ht="15.75" hidden="false" customHeight="true" outlineLevel="0" collapsed="false">
      <c r="D401" s="26"/>
      <c r="E401" s="26"/>
      <c r="F401" s="26"/>
    </row>
    <row r="402" customFormat="false" ht="15.75" hidden="false" customHeight="true" outlineLevel="0" collapsed="false">
      <c r="D402" s="26"/>
      <c r="E402" s="26"/>
      <c r="F402" s="26"/>
    </row>
    <row r="403" customFormat="false" ht="15.75" hidden="false" customHeight="true" outlineLevel="0" collapsed="false">
      <c r="D403" s="26"/>
      <c r="E403" s="26"/>
      <c r="F403" s="26"/>
    </row>
    <row r="404" customFormat="false" ht="15.75" hidden="false" customHeight="true" outlineLevel="0" collapsed="false">
      <c r="D404" s="26"/>
      <c r="E404" s="26"/>
      <c r="F404" s="26"/>
    </row>
    <row r="405" customFormat="false" ht="15.75" hidden="false" customHeight="true" outlineLevel="0" collapsed="false">
      <c r="D405" s="26"/>
      <c r="E405" s="26"/>
      <c r="F405" s="26"/>
    </row>
    <row r="406" customFormat="false" ht="15.75" hidden="false" customHeight="true" outlineLevel="0" collapsed="false">
      <c r="D406" s="26"/>
      <c r="E406" s="26"/>
      <c r="F406" s="26"/>
    </row>
    <row r="407" customFormat="false" ht="15.75" hidden="false" customHeight="true" outlineLevel="0" collapsed="false">
      <c r="D407" s="26"/>
      <c r="E407" s="26"/>
      <c r="F407" s="26"/>
    </row>
    <row r="408" customFormat="false" ht="15.75" hidden="false" customHeight="true" outlineLevel="0" collapsed="false">
      <c r="D408" s="26"/>
      <c r="E408" s="26"/>
      <c r="F408" s="26"/>
    </row>
    <row r="409" customFormat="false" ht="15.75" hidden="false" customHeight="true" outlineLevel="0" collapsed="false">
      <c r="D409" s="26"/>
      <c r="E409" s="26"/>
      <c r="F409" s="26"/>
    </row>
    <row r="410" customFormat="false" ht="15.75" hidden="false" customHeight="true" outlineLevel="0" collapsed="false">
      <c r="D410" s="26"/>
      <c r="E410" s="26"/>
      <c r="F410" s="26"/>
    </row>
    <row r="411" customFormat="false" ht="15.75" hidden="false" customHeight="true" outlineLevel="0" collapsed="false">
      <c r="D411" s="26"/>
      <c r="E411" s="26"/>
      <c r="F411" s="26"/>
    </row>
    <row r="412" customFormat="false" ht="15.75" hidden="false" customHeight="true" outlineLevel="0" collapsed="false">
      <c r="D412" s="26"/>
      <c r="E412" s="26"/>
      <c r="F412" s="26"/>
    </row>
    <row r="413" customFormat="false" ht="15.75" hidden="false" customHeight="true" outlineLevel="0" collapsed="false">
      <c r="D413" s="26"/>
      <c r="E413" s="26"/>
      <c r="F413" s="26"/>
    </row>
    <row r="414" customFormat="false" ht="15.75" hidden="false" customHeight="true" outlineLevel="0" collapsed="false">
      <c r="D414" s="26"/>
      <c r="E414" s="26"/>
      <c r="F414" s="26"/>
    </row>
    <row r="415" customFormat="false" ht="15.75" hidden="false" customHeight="true" outlineLevel="0" collapsed="false">
      <c r="D415" s="26"/>
      <c r="E415" s="26"/>
      <c r="F415" s="26"/>
    </row>
    <row r="416" customFormat="false" ht="15.75" hidden="false" customHeight="true" outlineLevel="0" collapsed="false">
      <c r="D416" s="26"/>
      <c r="E416" s="26"/>
      <c r="F416" s="26"/>
    </row>
    <row r="417" customFormat="false" ht="15.75" hidden="false" customHeight="true" outlineLevel="0" collapsed="false">
      <c r="D417" s="26"/>
      <c r="E417" s="26"/>
      <c r="F417" s="26"/>
    </row>
    <row r="418" customFormat="false" ht="15.75" hidden="false" customHeight="true" outlineLevel="0" collapsed="false">
      <c r="D418" s="26"/>
      <c r="E418" s="26"/>
      <c r="F418" s="26"/>
    </row>
    <row r="419" customFormat="false" ht="15.75" hidden="false" customHeight="true" outlineLevel="0" collapsed="false">
      <c r="D419" s="26"/>
      <c r="E419" s="26"/>
      <c r="F419" s="26"/>
    </row>
    <row r="420" customFormat="false" ht="15.75" hidden="false" customHeight="true" outlineLevel="0" collapsed="false">
      <c r="D420" s="26"/>
      <c r="E420" s="26"/>
      <c r="F420" s="26"/>
    </row>
    <row r="421" customFormat="false" ht="15.75" hidden="false" customHeight="true" outlineLevel="0" collapsed="false">
      <c r="D421" s="26"/>
      <c r="E421" s="26"/>
      <c r="F421" s="26"/>
    </row>
    <row r="422" customFormat="false" ht="15.75" hidden="false" customHeight="true" outlineLevel="0" collapsed="false">
      <c r="D422" s="26"/>
      <c r="E422" s="26"/>
      <c r="F422" s="26"/>
    </row>
    <row r="423" customFormat="false" ht="15.75" hidden="false" customHeight="true" outlineLevel="0" collapsed="false">
      <c r="D423" s="26"/>
      <c r="E423" s="26"/>
      <c r="F423" s="26"/>
    </row>
    <row r="424" customFormat="false" ht="15.75" hidden="false" customHeight="true" outlineLevel="0" collapsed="false">
      <c r="D424" s="26"/>
      <c r="E424" s="26"/>
      <c r="F424" s="26"/>
    </row>
    <row r="425" customFormat="false" ht="15.75" hidden="false" customHeight="true" outlineLevel="0" collapsed="false">
      <c r="D425" s="26"/>
      <c r="E425" s="26"/>
      <c r="F425" s="26"/>
    </row>
    <row r="426" customFormat="false" ht="15.75" hidden="false" customHeight="true" outlineLevel="0" collapsed="false">
      <c r="D426" s="26"/>
      <c r="E426" s="26"/>
      <c r="F426" s="26"/>
    </row>
    <row r="427" customFormat="false" ht="15.75" hidden="false" customHeight="true" outlineLevel="0" collapsed="false">
      <c r="D427" s="26"/>
      <c r="E427" s="26"/>
      <c r="F427" s="26"/>
    </row>
    <row r="428" customFormat="false" ht="15.75" hidden="false" customHeight="true" outlineLevel="0" collapsed="false">
      <c r="D428" s="26"/>
      <c r="E428" s="26"/>
      <c r="F428" s="26"/>
    </row>
    <row r="429" customFormat="false" ht="15.75" hidden="false" customHeight="true" outlineLevel="0" collapsed="false">
      <c r="D429" s="26"/>
      <c r="E429" s="26"/>
      <c r="F429" s="26"/>
    </row>
    <row r="430" customFormat="false" ht="15.75" hidden="false" customHeight="true" outlineLevel="0" collapsed="false">
      <c r="D430" s="26"/>
      <c r="E430" s="26"/>
      <c r="F430" s="26"/>
    </row>
    <row r="431" customFormat="false" ht="15.75" hidden="false" customHeight="true" outlineLevel="0" collapsed="false">
      <c r="D431" s="26"/>
      <c r="E431" s="26"/>
      <c r="F431" s="26"/>
    </row>
    <row r="432" customFormat="false" ht="15.75" hidden="false" customHeight="true" outlineLevel="0" collapsed="false">
      <c r="D432" s="26"/>
      <c r="E432" s="26"/>
      <c r="F432" s="26"/>
    </row>
    <row r="433" customFormat="false" ht="15.75" hidden="false" customHeight="true" outlineLevel="0" collapsed="false">
      <c r="D433" s="26"/>
      <c r="E433" s="26"/>
      <c r="F433" s="26"/>
    </row>
    <row r="434" customFormat="false" ht="15.75" hidden="false" customHeight="true" outlineLevel="0" collapsed="false">
      <c r="D434" s="26"/>
      <c r="E434" s="26"/>
      <c r="F434" s="26"/>
    </row>
    <row r="435" customFormat="false" ht="15.75" hidden="false" customHeight="true" outlineLevel="0" collapsed="false">
      <c r="D435" s="26"/>
      <c r="E435" s="26"/>
      <c r="F435" s="26"/>
    </row>
    <row r="436" customFormat="false" ht="15.75" hidden="false" customHeight="true" outlineLevel="0" collapsed="false">
      <c r="D436" s="26"/>
      <c r="E436" s="26"/>
      <c r="F436" s="26"/>
    </row>
    <row r="437" customFormat="false" ht="15.75" hidden="false" customHeight="true" outlineLevel="0" collapsed="false">
      <c r="D437" s="26"/>
      <c r="E437" s="26"/>
      <c r="F437" s="26"/>
    </row>
    <row r="438" customFormat="false" ht="15.75" hidden="false" customHeight="true" outlineLevel="0" collapsed="false">
      <c r="D438" s="26"/>
      <c r="E438" s="26"/>
      <c r="F438" s="26"/>
    </row>
    <row r="439" customFormat="false" ht="15.75" hidden="false" customHeight="true" outlineLevel="0" collapsed="false">
      <c r="D439" s="26"/>
      <c r="E439" s="26"/>
      <c r="F439" s="26"/>
    </row>
    <row r="440" customFormat="false" ht="15.75" hidden="false" customHeight="true" outlineLevel="0" collapsed="false">
      <c r="D440" s="26"/>
      <c r="E440" s="26"/>
      <c r="F440" s="26"/>
    </row>
    <row r="441" customFormat="false" ht="15.75" hidden="false" customHeight="true" outlineLevel="0" collapsed="false">
      <c r="D441" s="26"/>
      <c r="E441" s="26"/>
      <c r="F441" s="26"/>
    </row>
    <row r="442" customFormat="false" ht="15.75" hidden="false" customHeight="true" outlineLevel="0" collapsed="false">
      <c r="D442" s="26"/>
      <c r="E442" s="26"/>
      <c r="F442" s="26"/>
    </row>
    <row r="443" customFormat="false" ht="15.75" hidden="false" customHeight="true" outlineLevel="0" collapsed="false">
      <c r="D443" s="26"/>
      <c r="E443" s="26"/>
      <c r="F443" s="26"/>
    </row>
    <row r="444" customFormat="false" ht="15.75" hidden="false" customHeight="true" outlineLevel="0" collapsed="false">
      <c r="D444" s="26"/>
      <c r="E444" s="26"/>
      <c r="F444" s="26"/>
    </row>
    <row r="445" customFormat="false" ht="15.75" hidden="false" customHeight="true" outlineLevel="0" collapsed="false">
      <c r="D445" s="26"/>
      <c r="E445" s="26"/>
      <c r="F445" s="26"/>
    </row>
    <row r="446" customFormat="false" ht="15.75" hidden="false" customHeight="true" outlineLevel="0" collapsed="false">
      <c r="D446" s="26"/>
      <c r="E446" s="26"/>
      <c r="F446" s="26"/>
    </row>
    <row r="447" customFormat="false" ht="15.75" hidden="false" customHeight="true" outlineLevel="0" collapsed="false">
      <c r="D447" s="26"/>
      <c r="E447" s="26"/>
      <c r="F447" s="26"/>
    </row>
    <row r="448" customFormat="false" ht="15.75" hidden="false" customHeight="true" outlineLevel="0" collapsed="false">
      <c r="D448" s="26"/>
      <c r="E448" s="26"/>
      <c r="F448" s="26"/>
    </row>
    <row r="449" customFormat="false" ht="15.75" hidden="false" customHeight="true" outlineLevel="0" collapsed="false">
      <c r="D449" s="26"/>
      <c r="E449" s="26"/>
      <c r="F449" s="26"/>
    </row>
    <row r="450" customFormat="false" ht="15.75" hidden="false" customHeight="true" outlineLevel="0" collapsed="false">
      <c r="D450" s="26"/>
      <c r="E450" s="26"/>
      <c r="F450" s="26"/>
    </row>
    <row r="451" customFormat="false" ht="15.75" hidden="false" customHeight="true" outlineLevel="0" collapsed="false">
      <c r="D451" s="26"/>
      <c r="E451" s="26"/>
      <c r="F451" s="26"/>
    </row>
    <row r="452" customFormat="false" ht="15.75" hidden="false" customHeight="true" outlineLevel="0" collapsed="false">
      <c r="D452" s="26"/>
      <c r="E452" s="26"/>
      <c r="F452" s="26"/>
    </row>
    <row r="453" customFormat="false" ht="15.75" hidden="false" customHeight="true" outlineLevel="0" collapsed="false">
      <c r="D453" s="26"/>
      <c r="E453" s="26"/>
      <c r="F453" s="26"/>
    </row>
    <row r="454" customFormat="false" ht="15.75" hidden="false" customHeight="true" outlineLevel="0" collapsed="false">
      <c r="D454" s="26"/>
      <c r="E454" s="26"/>
      <c r="F454" s="26"/>
    </row>
    <row r="455" customFormat="false" ht="15.75" hidden="false" customHeight="true" outlineLevel="0" collapsed="false">
      <c r="D455" s="26"/>
      <c r="E455" s="26"/>
      <c r="F455" s="26"/>
    </row>
    <row r="456" customFormat="false" ht="15.75" hidden="false" customHeight="true" outlineLevel="0" collapsed="false">
      <c r="D456" s="26"/>
      <c r="E456" s="26"/>
      <c r="F456" s="26"/>
    </row>
    <row r="457" customFormat="false" ht="15.75" hidden="false" customHeight="true" outlineLevel="0" collapsed="false">
      <c r="D457" s="26"/>
      <c r="E457" s="26"/>
      <c r="F457" s="26"/>
    </row>
    <row r="458" customFormat="false" ht="15.75" hidden="false" customHeight="true" outlineLevel="0" collapsed="false">
      <c r="D458" s="26"/>
      <c r="E458" s="26"/>
      <c r="F458" s="26"/>
    </row>
    <row r="459" customFormat="false" ht="15.75" hidden="false" customHeight="true" outlineLevel="0" collapsed="false">
      <c r="D459" s="26"/>
      <c r="E459" s="26"/>
      <c r="F459" s="26"/>
    </row>
    <row r="460" customFormat="false" ht="15.75" hidden="false" customHeight="true" outlineLevel="0" collapsed="false">
      <c r="D460" s="26"/>
      <c r="E460" s="26"/>
      <c r="F460" s="26"/>
    </row>
    <row r="461" customFormat="false" ht="15.75" hidden="false" customHeight="true" outlineLevel="0" collapsed="false">
      <c r="D461" s="26"/>
      <c r="E461" s="26"/>
      <c r="F461" s="26"/>
    </row>
    <row r="462" customFormat="false" ht="15.75" hidden="false" customHeight="true" outlineLevel="0" collapsed="false">
      <c r="D462" s="26"/>
      <c r="E462" s="26"/>
      <c r="F462" s="26"/>
    </row>
    <row r="463" customFormat="false" ht="15.75" hidden="false" customHeight="true" outlineLevel="0" collapsed="false">
      <c r="D463" s="26"/>
      <c r="E463" s="26"/>
      <c r="F463" s="26"/>
    </row>
    <row r="464" customFormat="false" ht="15.75" hidden="false" customHeight="true" outlineLevel="0" collapsed="false">
      <c r="D464" s="26"/>
      <c r="E464" s="26"/>
      <c r="F464" s="26"/>
    </row>
    <row r="465" customFormat="false" ht="15.75" hidden="false" customHeight="true" outlineLevel="0" collapsed="false">
      <c r="D465" s="26"/>
      <c r="E465" s="26"/>
      <c r="F465" s="26"/>
    </row>
    <row r="466" customFormat="false" ht="15.75" hidden="false" customHeight="true" outlineLevel="0" collapsed="false">
      <c r="D466" s="26"/>
      <c r="E466" s="26"/>
      <c r="F466" s="26"/>
    </row>
    <row r="467" customFormat="false" ht="15.75" hidden="false" customHeight="true" outlineLevel="0" collapsed="false">
      <c r="D467" s="26"/>
      <c r="E467" s="26"/>
      <c r="F467" s="26"/>
    </row>
    <row r="468" customFormat="false" ht="15.75" hidden="false" customHeight="true" outlineLevel="0" collapsed="false">
      <c r="D468" s="26"/>
      <c r="E468" s="26"/>
      <c r="F468" s="26"/>
    </row>
    <row r="469" customFormat="false" ht="15.75" hidden="false" customHeight="true" outlineLevel="0" collapsed="false">
      <c r="D469" s="26"/>
      <c r="E469" s="26"/>
      <c r="F469" s="26"/>
    </row>
    <row r="470" customFormat="false" ht="15.75" hidden="false" customHeight="true" outlineLevel="0" collapsed="false">
      <c r="D470" s="26"/>
      <c r="E470" s="26"/>
      <c r="F470" s="26"/>
    </row>
    <row r="471" customFormat="false" ht="15.75" hidden="false" customHeight="true" outlineLevel="0" collapsed="false">
      <c r="D471" s="26"/>
      <c r="E471" s="26"/>
      <c r="F471" s="26"/>
    </row>
    <row r="472" customFormat="false" ht="15.75" hidden="false" customHeight="true" outlineLevel="0" collapsed="false">
      <c r="D472" s="26"/>
      <c r="E472" s="26"/>
      <c r="F472" s="26"/>
    </row>
    <row r="473" customFormat="false" ht="15.75" hidden="false" customHeight="true" outlineLevel="0" collapsed="false">
      <c r="D473" s="26"/>
      <c r="E473" s="26"/>
      <c r="F473" s="26"/>
    </row>
    <row r="474" customFormat="false" ht="15.75" hidden="false" customHeight="true" outlineLevel="0" collapsed="false">
      <c r="D474" s="26"/>
      <c r="E474" s="26"/>
      <c r="F474" s="26"/>
    </row>
    <row r="475" customFormat="false" ht="15.75" hidden="false" customHeight="true" outlineLevel="0" collapsed="false">
      <c r="D475" s="26"/>
      <c r="E475" s="26"/>
      <c r="F475" s="26"/>
    </row>
    <row r="476" customFormat="false" ht="15.75" hidden="false" customHeight="true" outlineLevel="0" collapsed="false">
      <c r="D476" s="26"/>
      <c r="E476" s="26"/>
      <c r="F476" s="26"/>
    </row>
    <row r="477" customFormat="false" ht="15.75" hidden="false" customHeight="true" outlineLevel="0" collapsed="false">
      <c r="D477" s="26"/>
      <c r="E477" s="26"/>
      <c r="F477" s="26"/>
    </row>
    <row r="478" customFormat="false" ht="15.75" hidden="false" customHeight="true" outlineLevel="0" collapsed="false">
      <c r="D478" s="26"/>
      <c r="E478" s="26"/>
      <c r="F478" s="26"/>
    </row>
    <row r="479" customFormat="false" ht="15.75" hidden="false" customHeight="true" outlineLevel="0" collapsed="false">
      <c r="D479" s="26"/>
      <c r="E479" s="26"/>
      <c r="F479" s="26"/>
    </row>
    <row r="480" customFormat="false" ht="15.75" hidden="false" customHeight="true" outlineLevel="0" collapsed="false">
      <c r="D480" s="26"/>
      <c r="E480" s="26"/>
      <c r="F480" s="26"/>
    </row>
    <row r="481" customFormat="false" ht="15.75" hidden="false" customHeight="true" outlineLevel="0" collapsed="false">
      <c r="D481" s="26"/>
      <c r="E481" s="26"/>
      <c r="F481" s="26"/>
    </row>
    <row r="482" customFormat="false" ht="15.75" hidden="false" customHeight="true" outlineLevel="0" collapsed="false">
      <c r="D482" s="26"/>
      <c r="E482" s="26"/>
      <c r="F482" s="26"/>
    </row>
    <row r="483" customFormat="false" ht="15.75" hidden="false" customHeight="true" outlineLevel="0" collapsed="false">
      <c r="D483" s="26"/>
      <c r="E483" s="26"/>
      <c r="F483" s="26"/>
    </row>
    <row r="484" customFormat="false" ht="15.75" hidden="false" customHeight="true" outlineLevel="0" collapsed="false">
      <c r="D484" s="26"/>
      <c r="E484" s="26"/>
      <c r="F484" s="26"/>
    </row>
    <row r="485" customFormat="false" ht="15.75" hidden="false" customHeight="true" outlineLevel="0" collapsed="false">
      <c r="D485" s="26"/>
      <c r="E485" s="26"/>
      <c r="F485" s="26"/>
    </row>
    <row r="486" customFormat="false" ht="15.75" hidden="false" customHeight="true" outlineLevel="0" collapsed="false">
      <c r="D486" s="26"/>
      <c r="E486" s="26"/>
      <c r="F486" s="26"/>
    </row>
    <row r="487" customFormat="false" ht="15.75" hidden="false" customHeight="true" outlineLevel="0" collapsed="false">
      <c r="D487" s="26"/>
      <c r="E487" s="26"/>
      <c r="F487" s="26"/>
    </row>
    <row r="488" customFormat="false" ht="15.75" hidden="false" customHeight="true" outlineLevel="0" collapsed="false">
      <c r="D488" s="26"/>
      <c r="E488" s="26"/>
      <c r="F488" s="26"/>
    </row>
    <row r="489" customFormat="false" ht="15.75" hidden="false" customHeight="true" outlineLevel="0" collapsed="false">
      <c r="D489" s="26"/>
      <c r="E489" s="26"/>
      <c r="F489" s="26"/>
    </row>
    <row r="490" customFormat="false" ht="15.75" hidden="false" customHeight="true" outlineLevel="0" collapsed="false">
      <c r="D490" s="26"/>
      <c r="E490" s="26"/>
      <c r="F490" s="26"/>
    </row>
    <row r="491" customFormat="false" ht="15.75" hidden="false" customHeight="true" outlineLevel="0" collapsed="false">
      <c r="D491" s="26"/>
      <c r="E491" s="26"/>
      <c r="F491" s="26"/>
    </row>
    <row r="492" customFormat="false" ht="15.75" hidden="false" customHeight="true" outlineLevel="0" collapsed="false">
      <c r="D492" s="26"/>
      <c r="E492" s="26"/>
      <c r="F492" s="26"/>
    </row>
    <row r="493" customFormat="false" ht="15.75" hidden="false" customHeight="true" outlineLevel="0" collapsed="false">
      <c r="D493" s="26"/>
      <c r="E493" s="26"/>
      <c r="F493" s="26"/>
    </row>
    <row r="494" customFormat="false" ht="15.75" hidden="false" customHeight="true" outlineLevel="0" collapsed="false">
      <c r="D494" s="26"/>
      <c r="E494" s="26"/>
      <c r="F494" s="26"/>
    </row>
    <row r="495" customFormat="false" ht="15.75" hidden="false" customHeight="true" outlineLevel="0" collapsed="false">
      <c r="D495" s="26"/>
      <c r="E495" s="26"/>
      <c r="F495" s="26"/>
    </row>
    <row r="496" customFormat="false" ht="15.75" hidden="false" customHeight="true" outlineLevel="0" collapsed="false">
      <c r="D496" s="26"/>
      <c r="E496" s="26"/>
      <c r="F496" s="26"/>
    </row>
    <row r="497" customFormat="false" ht="15.75" hidden="false" customHeight="true" outlineLevel="0" collapsed="false">
      <c r="D497" s="26"/>
      <c r="E497" s="26"/>
      <c r="F497" s="26"/>
    </row>
    <row r="498" customFormat="false" ht="15.75" hidden="false" customHeight="true" outlineLevel="0" collapsed="false">
      <c r="D498" s="26"/>
      <c r="E498" s="26"/>
      <c r="F498" s="26"/>
    </row>
    <row r="499" customFormat="false" ht="15.75" hidden="false" customHeight="true" outlineLevel="0" collapsed="false">
      <c r="D499" s="26"/>
      <c r="E499" s="26"/>
      <c r="F499" s="26"/>
    </row>
    <row r="500" customFormat="false" ht="15.75" hidden="false" customHeight="true" outlineLevel="0" collapsed="false">
      <c r="D500" s="26"/>
      <c r="E500" s="26"/>
      <c r="F500" s="26"/>
    </row>
    <row r="501" customFormat="false" ht="15.75" hidden="false" customHeight="true" outlineLevel="0" collapsed="false">
      <c r="D501" s="26"/>
      <c r="E501" s="26"/>
      <c r="F501" s="26"/>
    </row>
    <row r="502" customFormat="false" ht="15.75" hidden="false" customHeight="true" outlineLevel="0" collapsed="false">
      <c r="D502" s="26"/>
      <c r="E502" s="26"/>
      <c r="F502" s="26"/>
    </row>
    <row r="503" customFormat="false" ht="15.75" hidden="false" customHeight="true" outlineLevel="0" collapsed="false">
      <c r="D503" s="26"/>
      <c r="E503" s="26"/>
      <c r="F503" s="26"/>
    </row>
    <row r="504" customFormat="false" ht="15.75" hidden="false" customHeight="true" outlineLevel="0" collapsed="false">
      <c r="D504" s="26"/>
      <c r="E504" s="26"/>
      <c r="F504" s="26"/>
    </row>
    <row r="505" customFormat="false" ht="15.75" hidden="false" customHeight="true" outlineLevel="0" collapsed="false">
      <c r="D505" s="26"/>
      <c r="E505" s="26"/>
      <c r="F505" s="26"/>
    </row>
    <row r="506" customFormat="false" ht="15.75" hidden="false" customHeight="true" outlineLevel="0" collapsed="false">
      <c r="D506" s="26"/>
      <c r="E506" s="26"/>
      <c r="F506" s="26"/>
    </row>
    <row r="507" customFormat="false" ht="15.75" hidden="false" customHeight="true" outlineLevel="0" collapsed="false">
      <c r="D507" s="26"/>
      <c r="E507" s="26"/>
      <c r="F507" s="26"/>
    </row>
    <row r="508" customFormat="false" ht="15.75" hidden="false" customHeight="true" outlineLevel="0" collapsed="false">
      <c r="D508" s="26"/>
      <c r="E508" s="26"/>
      <c r="F508" s="26"/>
    </row>
    <row r="509" customFormat="false" ht="15.75" hidden="false" customHeight="true" outlineLevel="0" collapsed="false">
      <c r="D509" s="26"/>
      <c r="E509" s="26"/>
      <c r="F509" s="26"/>
    </row>
    <row r="510" customFormat="false" ht="15.75" hidden="false" customHeight="true" outlineLevel="0" collapsed="false">
      <c r="D510" s="26"/>
      <c r="E510" s="26"/>
      <c r="F510" s="26"/>
    </row>
    <row r="511" customFormat="false" ht="15.75" hidden="false" customHeight="true" outlineLevel="0" collapsed="false">
      <c r="D511" s="26"/>
      <c r="E511" s="26"/>
      <c r="F511" s="26"/>
    </row>
    <row r="512" customFormat="false" ht="15.75" hidden="false" customHeight="true" outlineLevel="0" collapsed="false">
      <c r="D512" s="26"/>
      <c r="E512" s="26"/>
      <c r="F512" s="26"/>
    </row>
    <row r="513" customFormat="false" ht="15.75" hidden="false" customHeight="true" outlineLevel="0" collapsed="false">
      <c r="D513" s="26"/>
      <c r="E513" s="26"/>
      <c r="F513" s="26"/>
    </row>
    <row r="514" customFormat="false" ht="15.75" hidden="false" customHeight="true" outlineLevel="0" collapsed="false">
      <c r="D514" s="26"/>
      <c r="E514" s="26"/>
      <c r="F514" s="26"/>
    </row>
    <row r="515" customFormat="false" ht="15.75" hidden="false" customHeight="true" outlineLevel="0" collapsed="false">
      <c r="D515" s="26"/>
      <c r="E515" s="26"/>
      <c r="F515" s="26"/>
    </row>
    <row r="516" customFormat="false" ht="15.75" hidden="false" customHeight="true" outlineLevel="0" collapsed="false">
      <c r="D516" s="26"/>
      <c r="E516" s="26"/>
      <c r="F516" s="26"/>
    </row>
    <row r="517" customFormat="false" ht="15.75" hidden="false" customHeight="true" outlineLevel="0" collapsed="false">
      <c r="D517" s="26"/>
      <c r="E517" s="26"/>
      <c r="F517" s="26"/>
    </row>
    <row r="518" customFormat="false" ht="15.75" hidden="false" customHeight="true" outlineLevel="0" collapsed="false">
      <c r="D518" s="26"/>
      <c r="E518" s="26"/>
      <c r="F518" s="26"/>
    </row>
    <row r="519" customFormat="false" ht="15.75" hidden="false" customHeight="true" outlineLevel="0" collapsed="false">
      <c r="D519" s="26"/>
      <c r="E519" s="26"/>
      <c r="F519" s="26"/>
    </row>
    <row r="520" customFormat="false" ht="15.75" hidden="false" customHeight="true" outlineLevel="0" collapsed="false">
      <c r="D520" s="26"/>
      <c r="E520" s="26"/>
      <c r="F520" s="26"/>
    </row>
    <row r="521" customFormat="false" ht="15.75" hidden="false" customHeight="true" outlineLevel="0" collapsed="false">
      <c r="D521" s="26"/>
      <c r="E521" s="26"/>
      <c r="F521" s="26"/>
    </row>
    <row r="522" customFormat="false" ht="15.75" hidden="false" customHeight="true" outlineLevel="0" collapsed="false">
      <c r="D522" s="26"/>
      <c r="E522" s="26"/>
      <c r="F522" s="26"/>
    </row>
    <row r="523" customFormat="false" ht="15.75" hidden="false" customHeight="true" outlineLevel="0" collapsed="false">
      <c r="D523" s="26"/>
      <c r="E523" s="26"/>
      <c r="F523" s="26"/>
    </row>
    <row r="524" customFormat="false" ht="15.75" hidden="false" customHeight="true" outlineLevel="0" collapsed="false">
      <c r="D524" s="26"/>
      <c r="E524" s="26"/>
      <c r="F524" s="26"/>
    </row>
    <row r="525" customFormat="false" ht="15.75" hidden="false" customHeight="true" outlineLevel="0" collapsed="false">
      <c r="D525" s="26"/>
      <c r="E525" s="26"/>
      <c r="F525" s="26"/>
    </row>
    <row r="526" customFormat="false" ht="15.75" hidden="false" customHeight="true" outlineLevel="0" collapsed="false">
      <c r="D526" s="26"/>
      <c r="E526" s="26"/>
      <c r="F526" s="26"/>
    </row>
    <row r="527" customFormat="false" ht="15.75" hidden="false" customHeight="true" outlineLevel="0" collapsed="false">
      <c r="D527" s="26"/>
      <c r="E527" s="26"/>
      <c r="F527" s="26"/>
    </row>
    <row r="528" customFormat="false" ht="15.75" hidden="false" customHeight="true" outlineLevel="0" collapsed="false">
      <c r="D528" s="26"/>
      <c r="E528" s="26"/>
      <c r="F528" s="26"/>
    </row>
    <row r="529" customFormat="false" ht="15.75" hidden="false" customHeight="true" outlineLevel="0" collapsed="false">
      <c r="D529" s="26"/>
      <c r="E529" s="26"/>
      <c r="F529" s="26"/>
    </row>
    <row r="530" customFormat="false" ht="15.75" hidden="false" customHeight="true" outlineLevel="0" collapsed="false">
      <c r="D530" s="26"/>
      <c r="E530" s="26"/>
      <c r="F530" s="26"/>
    </row>
    <row r="531" customFormat="false" ht="15.75" hidden="false" customHeight="true" outlineLevel="0" collapsed="false">
      <c r="D531" s="26"/>
      <c r="E531" s="26"/>
      <c r="F531" s="26"/>
    </row>
    <row r="532" customFormat="false" ht="15.75" hidden="false" customHeight="true" outlineLevel="0" collapsed="false">
      <c r="D532" s="26"/>
      <c r="E532" s="26"/>
      <c r="F532" s="26"/>
    </row>
    <row r="533" customFormat="false" ht="15.75" hidden="false" customHeight="true" outlineLevel="0" collapsed="false">
      <c r="D533" s="26"/>
      <c r="E533" s="26"/>
      <c r="F533" s="26"/>
    </row>
    <row r="534" customFormat="false" ht="15.75" hidden="false" customHeight="true" outlineLevel="0" collapsed="false">
      <c r="D534" s="26"/>
      <c r="E534" s="26"/>
      <c r="F534" s="26"/>
    </row>
    <row r="535" customFormat="false" ht="15.75" hidden="false" customHeight="true" outlineLevel="0" collapsed="false">
      <c r="D535" s="26"/>
      <c r="E535" s="26"/>
      <c r="F535" s="26"/>
    </row>
    <row r="536" customFormat="false" ht="15.75" hidden="false" customHeight="true" outlineLevel="0" collapsed="false">
      <c r="D536" s="26"/>
      <c r="E536" s="26"/>
      <c r="F536" s="26"/>
    </row>
    <row r="537" customFormat="false" ht="15.75" hidden="false" customHeight="true" outlineLevel="0" collapsed="false">
      <c r="D537" s="26"/>
      <c r="E537" s="26"/>
      <c r="F537" s="26"/>
    </row>
    <row r="538" customFormat="false" ht="15.75" hidden="false" customHeight="true" outlineLevel="0" collapsed="false">
      <c r="D538" s="26"/>
      <c r="E538" s="26"/>
      <c r="F538" s="26"/>
    </row>
    <row r="539" customFormat="false" ht="15.75" hidden="false" customHeight="true" outlineLevel="0" collapsed="false">
      <c r="D539" s="26"/>
      <c r="E539" s="26"/>
      <c r="F539" s="26"/>
    </row>
    <row r="540" customFormat="false" ht="15.75" hidden="false" customHeight="true" outlineLevel="0" collapsed="false">
      <c r="D540" s="26"/>
      <c r="E540" s="26"/>
      <c r="F540" s="26"/>
    </row>
    <row r="541" customFormat="false" ht="15.75" hidden="false" customHeight="true" outlineLevel="0" collapsed="false">
      <c r="D541" s="26"/>
      <c r="E541" s="26"/>
      <c r="F541" s="26"/>
    </row>
    <row r="542" customFormat="false" ht="15.75" hidden="false" customHeight="true" outlineLevel="0" collapsed="false">
      <c r="D542" s="26"/>
      <c r="E542" s="26"/>
      <c r="F542" s="26"/>
    </row>
    <row r="543" customFormat="false" ht="15.75" hidden="false" customHeight="true" outlineLevel="0" collapsed="false">
      <c r="D543" s="26"/>
      <c r="E543" s="26"/>
      <c r="F543" s="26"/>
    </row>
    <row r="544" customFormat="false" ht="15.75" hidden="false" customHeight="true" outlineLevel="0" collapsed="false">
      <c r="D544" s="26"/>
      <c r="E544" s="26"/>
      <c r="F544" s="26"/>
    </row>
    <row r="545" customFormat="false" ht="15.75" hidden="false" customHeight="true" outlineLevel="0" collapsed="false">
      <c r="D545" s="26"/>
      <c r="E545" s="26"/>
      <c r="F545" s="26"/>
    </row>
    <row r="546" customFormat="false" ht="15.75" hidden="false" customHeight="true" outlineLevel="0" collapsed="false">
      <c r="D546" s="26"/>
      <c r="E546" s="26"/>
      <c r="F546" s="26"/>
    </row>
    <row r="547" customFormat="false" ht="15.75" hidden="false" customHeight="true" outlineLevel="0" collapsed="false">
      <c r="D547" s="26"/>
      <c r="E547" s="26"/>
      <c r="F547" s="26"/>
    </row>
    <row r="548" customFormat="false" ht="15.75" hidden="false" customHeight="true" outlineLevel="0" collapsed="false">
      <c r="D548" s="26"/>
      <c r="E548" s="26"/>
      <c r="F548" s="26"/>
    </row>
    <row r="549" customFormat="false" ht="15.75" hidden="false" customHeight="true" outlineLevel="0" collapsed="false">
      <c r="D549" s="26"/>
      <c r="E549" s="26"/>
      <c r="F549" s="26"/>
    </row>
    <row r="550" customFormat="false" ht="15.75" hidden="false" customHeight="true" outlineLevel="0" collapsed="false">
      <c r="D550" s="26"/>
      <c r="E550" s="26"/>
      <c r="F550" s="26"/>
    </row>
    <row r="551" customFormat="false" ht="15.75" hidden="false" customHeight="true" outlineLevel="0" collapsed="false">
      <c r="D551" s="26"/>
      <c r="E551" s="26"/>
      <c r="F551" s="26"/>
    </row>
    <row r="552" customFormat="false" ht="15.75" hidden="false" customHeight="true" outlineLevel="0" collapsed="false">
      <c r="D552" s="26"/>
      <c r="E552" s="26"/>
      <c r="F552" s="26"/>
    </row>
    <row r="553" customFormat="false" ht="15.75" hidden="false" customHeight="true" outlineLevel="0" collapsed="false">
      <c r="D553" s="26"/>
      <c r="E553" s="26"/>
      <c r="F553" s="26"/>
    </row>
    <row r="554" customFormat="false" ht="15.75" hidden="false" customHeight="true" outlineLevel="0" collapsed="false">
      <c r="D554" s="26"/>
      <c r="E554" s="26"/>
      <c r="F554" s="26"/>
    </row>
    <row r="555" customFormat="false" ht="15.75" hidden="false" customHeight="true" outlineLevel="0" collapsed="false">
      <c r="D555" s="26"/>
      <c r="E555" s="26"/>
      <c r="F555" s="26"/>
    </row>
    <row r="556" customFormat="false" ht="15.75" hidden="false" customHeight="true" outlineLevel="0" collapsed="false">
      <c r="D556" s="26"/>
      <c r="E556" s="26"/>
      <c r="F556" s="26"/>
    </row>
    <row r="557" customFormat="false" ht="15.75" hidden="false" customHeight="true" outlineLevel="0" collapsed="false">
      <c r="D557" s="26"/>
      <c r="E557" s="26"/>
      <c r="F557" s="26"/>
    </row>
    <row r="558" customFormat="false" ht="15.75" hidden="false" customHeight="true" outlineLevel="0" collapsed="false">
      <c r="D558" s="26"/>
      <c r="E558" s="26"/>
      <c r="F558" s="26"/>
    </row>
    <row r="559" customFormat="false" ht="15.75" hidden="false" customHeight="true" outlineLevel="0" collapsed="false">
      <c r="D559" s="26"/>
      <c r="E559" s="26"/>
      <c r="F559" s="26"/>
    </row>
    <row r="560" customFormat="false" ht="15.75" hidden="false" customHeight="true" outlineLevel="0" collapsed="false">
      <c r="D560" s="26"/>
      <c r="E560" s="26"/>
      <c r="F560" s="26"/>
    </row>
    <row r="561" customFormat="false" ht="15.75" hidden="false" customHeight="true" outlineLevel="0" collapsed="false">
      <c r="D561" s="26"/>
      <c r="E561" s="26"/>
      <c r="F561" s="26"/>
    </row>
    <row r="562" customFormat="false" ht="15.75" hidden="false" customHeight="true" outlineLevel="0" collapsed="false">
      <c r="D562" s="26"/>
      <c r="E562" s="26"/>
      <c r="F562" s="26"/>
    </row>
    <row r="563" customFormat="false" ht="15.75" hidden="false" customHeight="true" outlineLevel="0" collapsed="false">
      <c r="D563" s="26"/>
      <c r="E563" s="26"/>
      <c r="F563" s="26"/>
    </row>
    <row r="564" customFormat="false" ht="15.75" hidden="false" customHeight="true" outlineLevel="0" collapsed="false">
      <c r="D564" s="26"/>
      <c r="E564" s="26"/>
      <c r="F564" s="26"/>
    </row>
    <row r="565" customFormat="false" ht="15.75" hidden="false" customHeight="true" outlineLevel="0" collapsed="false">
      <c r="D565" s="26"/>
      <c r="E565" s="26"/>
      <c r="F565" s="26"/>
    </row>
    <row r="566" customFormat="false" ht="15.75" hidden="false" customHeight="true" outlineLevel="0" collapsed="false">
      <c r="D566" s="26"/>
      <c r="E566" s="26"/>
      <c r="F566" s="26"/>
    </row>
    <row r="567" customFormat="false" ht="15.75" hidden="false" customHeight="true" outlineLevel="0" collapsed="false">
      <c r="D567" s="26"/>
      <c r="E567" s="26"/>
      <c r="F567" s="26"/>
    </row>
    <row r="568" customFormat="false" ht="15.75" hidden="false" customHeight="true" outlineLevel="0" collapsed="false">
      <c r="D568" s="26"/>
      <c r="E568" s="26"/>
      <c r="F568" s="26"/>
    </row>
    <row r="569" customFormat="false" ht="15.75" hidden="false" customHeight="true" outlineLevel="0" collapsed="false">
      <c r="D569" s="26"/>
      <c r="E569" s="26"/>
      <c r="F569" s="26"/>
    </row>
    <row r="570" customFormat="false" ht="15.75" hidden="false" customHeight="true" outlineLevel="0" collapsed="false">
      <c r="D570" s="26"/>
      <c r="E570" s="26"/>
      <c r="F570" s="26"/>
    </row>
    <row r="571" customFormat="false" ht="15.75" hidden="false" customHeight="true" outlineLevel="0" collapsed="false">
      <c r="D571" s="26"/>
      <c r="E571" s="26"/>
      <c r="F571" s="26"/>
    </row>
    <row r="572" customFormat="false" ht="15.75" hidden="false" customHeight="true" outlineLevel="0" collapsed="false">
      <c r="D572" s="26"/>
      <c r="E572" s="26"/>
      <c r="F572" s="26"/>
    </row>
    <row r="573" customFormat="false" ht="15.75" hidden="false" customHeight="true" outlineLevel="0" collapsed="false">
      <c r="D573" s="26"/>
      <c r="E573" s="26"/>
      <c r="F573" s="26"/>
    </row>
    <row r="574" customFormat="false" ht="15.75" hidden="false" customHeight="true" outlineLevel="0" collapsed="false">
      <c r="D574" s="26"/>
      <c r="E574" s="26"/>
      <c r="F574" s="26"/>
    </row>
    <row r="575" customFormat="false" ht="15.75" hidden="false" customHeight="true" outlineLevel="0" collapsed="false">
      <c r="D575" s="26"/>
      <c r="E575" s="26"/>
      <c r="F575" s="26"/>
    </row>
    <row r="576" customFormat="false" ht="15.75" hidden="false" customHeight="true" outlineLevel="0" collapsed="false">
      <c r="D576" s="26"/>
      <c r="E576" s="26"/>
      <c r="F576" s="26"/>
    </row>
    <row r="577" customFormat="false" ht="15.75" hidden="false" customHeight="true" outlineLevel="0" collapsed="false">
      <c r="D577" s="26"/>
      <c r="E577" s="26"/>
      <c r="F577" s="26"/>
    </row>
    <row r="578" customFormat="false" ht="15.75" hidden="false" customHeight="true" outlineLevel="0" collapsed="false">
      <c r="D578" s="26"/>
      <c r="E578" s="26"/>
      <c r="F578" s="26"/>
    </row>
    <row r="579" customFormat="false" ht="15.75" hidden="false" customHeight="true" outlineLevel="0" collapsed="false">
      <c r="D579" s="26"/>
      <c r="E579" s="26"/>
      <c r="F579" s="26"/>
    </row>
    <row r="580" customFormat="false" ht="15.75" hidden="false" customHeight="true" outlineLevel="0" collapsed="false">
      <c r="D580" s="26"/>
      <c r="E580" s="26"/>
      <c r="F580" s="26"/>
    </row>
    <row r="581" customFormat="false" ht="15.75" hidden="false" customHeight="true" outlineLevel="0" collapsed="false">
      <c r="D581" s="26"/>
      <c r="E581" s="26"/>
      <c r="F581" s="26"/>
    </row>
    <row r="582" customFormat="false" ht="15.75" hidden="false" customHeight="true" outlineLevel="0" collapsed="false">
      <c r="D582" s="26"/>
      <c r="E582" s="26"/>
      <c r="F582" s="26"/>
    </row>
    <row r="583" customFormat="false" ht="15.75" hidden="false" customHeight="true" outlineLevel="0" collapsed="false">
      <c r="D583" s="26"/>
      <c r="E583" s="26"/>
      <c r="F583" s="26"/>
    </row>
    <row r="584" customFormat="false" ht="15.75" hidden="false" customHeight="true" outlineLevel="0" collapsed="false">
      <c r="D584" s="26"/>
      <c r="E584" s="26"/>
      <c r="F584" s="26"/>
    </row>
    <row r="585" customFormat="false" ht="15.75" hidden="false" customHeight="true" outlineLevel="0" collapsed="false">
      <c r="D585" s="26"/>
      <c r="E585" s="26"/>
      <c r="F585" s="26"/>
    </row>
    <row r="586" customFormat="false" ht="15.75" hidden="false" customHeight="true" outlineLevel="0" collapsed="false">
      <c r="D586" s="26"/>
      <c r="E586" s="26"/>
      <c r="F586" s="26"/>
    </row>
    <row r="587" customFormat="false" ht="15.75" hidden="false" customHeight="true" outlineLevel="0" collapsed="false">
      <c r="D587" s="26"/>
      <c r="E587" s="26"/>
      <c r="F587" s="26"/>
    </row>
    <row r="588" customFormat="false" ht="15.75" hidden="false" customHeight="true" outlineLevel="0" collapsed="false">
      <c r="D588" s="26"/>
      <c r="E588" s="26"/>
      <c r="F588" s="26"/>
    </row>
    <row r="589" customFormat="false" ht="15.75" hidden="false" customHeight="true" outlineLevel="0" collapsed="false">
      <c r="D589" s="26"/>
      <c r="E589" s="26"/>
      <c r="F589" s="26"/>
    </row>
    <row r="590" customFormat="false" ht="15.75" hidden="false" customHeight="true" outlineLevel="0" collapsed="false">
      <c r="D590" s="26"/>
      <c r="E590" s="26"/>
      <c r="F590" s="26"/>
    </row>
    <row r="591" customFormat="false" ht="15.75" hidden="false" customHeight="true" outlineLevel="0" collapsed="false">
      <c r="D591" s="26"/>
      <c r="E591" s="26"/>
      <c r="F591" s="26"/>
    </row>
    <row r="592" customFormat="false" ht="15.75" hidden="false" customHeight="true" outlineLevel="0" collapsed="false">
      <c r="D592" s="26"/>
      <c r="E592" s="26"/>
      <c r="F592" s="26"/>
    </row>
    <row r="593" customFormat="false" ht="15.75" hidden="false" customHeight="true" outlineLevel="0" collapsed="false">
      <c r="D593" s="26"/>
      <c r="E593" s="26"/>
      <c r="F593" s="26"/>
    </row>
    <row r="594" customFormat="false" ht="15.75" hidden="false" customHeight="true" outlineLevel="0" collapsed="false">
      <c r="D594" s="26"/>
      <c r="E594" s="26"/>
      <c r="F594" s="26"/>
    </row>
    <row r="595" customFormat="false" ht="15.75" hidden="false" customHeight="true" outlineLevel="0" collapsed="false">
      <c r="D595" s="26"/>
      <c r="E595" s="26"/>
      <c r="F595" s="26"/>
    </row>
    <row r="596" customFormat="false" ht="15.75" hidden="false" customHeight="true" outlineLevel="0" collapsed="false">
      <c r="D596" s="26"/>
      <c r="E596" s="26"/>
      <c r="F596" s="26"/>
    </row>
    <row r="597" customFormat="false" ht="15.75" hidden="false" customHeight="true" outlineLevel="0" collapsed="false">
      <c r="D597" s="26"/>
      <c r="E597" s="26"/>
      <c r="F597" s="26"/>
    </row>
    <row r="598" customFormat="false" ht="15.75" hidden="false" customHeight="true" outlineLevel="0" collapsed="false">
      <c r="D598" s="26"/>
      <c r="E598" s="26"/>
      <c r="F598" s="26"/>
    </row>
    <row r="599" customFormat="false" ht="15.75" hidden="false" customHeight="true" outlineLevel="0" collapsed="false">
      <c r="D599" s="26"/>
      <c r="E599" s="26"/>
      <c r="F599" s="26"/>
    </row>
    <row r="600" customFormat="false" ht="15.75" hidden="false" customHeight="true" outlineLevel="0" collapsed="false">
      <c r="D600" s="26"/>
      <c r="E600" s="26"/>
      <c r="F600" s="26"/>
    </row>
    <row r="601" customFormat="false" ht="15.75" hidden="false" customHeight="true" outlineLevel="0" collapsed="false">
      <c r="D601" s="26"/>
      <c r="E601" s="26"/>
      <c r="F601" s="26"/>
    </row>
    <row r="602" customFormat="false" ht="15.75" hidden="false" customHeight="true" outlineLevel="0" collapsed="false">
      <c r="D602" s="26"/>
      <c r="E602" s="26"/>
      <c r="F602" s="26"/>
    </row>
    <row r="603" customFormat="false" ht="15.75" hidden="false" customHeight="true" outlineLevel="0" collapsed="false">
      <c r="D603" s="26"/>
      <c r="E603" s="26"/>
      <c r="F603" s="26"/>
    </row>
    <row r="604" customFormat="false" ht="15.75" hidden="false" customHeight="true" outlineLevel="0" collapsed="false">
      <c r="D604" s="26"/>
      <c r="E604" s="26"/>
      <c r="F604" s="26"/>
    </row>
    <row r="605" customFormat="false" ht="15.75" hidden="false" customHeight="true" outlineLevel="0" collapsed="false">
      <c r="D605" s="26"/>
      <c r="E605" s="26"/>
      <c r="F605" s="26"/>
    </row>
    <row r="606" customFormat="false" ht="15.75" hidden="false" customHeight="true" outlineLevel="0" collapsed="false">
      <c r="D606" s="26"/>
      <c r="E606" s="26"/>
      <c r="F606" s="26"/>
    </row>
    <row r="607" customFormat="false" ht="15.75" hidden="false" customHeight="true" outlineLevel="0" collapsed="false">
      <c r="D607" s="26"/>
      <c r="E607" s="26"/>
      <c r="F607" s="26"/>
    </row>
    <row r="608" customFormat="false" ht="15.75" hidden="false" customHeight="true" outlineLevel="0" collapsed="false">
      <c r="D608" s="26"/>
      <c r="E608" s="26"/>
      <c r="F608" s="26"/>
    </row>
    <row r="609" customFormat="false" ht="15.75" hidden="false" customHeight="true" outlineLevel="0" collapsed="false">
      <c r="D609" s="26"/>
      <c r="E609" s="26"/>
      <c r="F609" s="26"/>
    </row>
    <row r="610" customFormat="false" ht="15.75" hidden="false" customHeight="true" outlineLevel="0" collapsed="false">
      <c r="D610" s="26"/>
      <c r="E610" s="26"/>
      <c r="F610" s="26"/>
    </row>
    <row r="611" customFormat="false" ht="15.75" hidden="false" customHeight="true" outlineLevel="0" collapsed="false">
      <c r="D611" s="26"/>
      <c r="E611" s="26"/>
      <c r="F611" s="26"/>
    </row>
    <row r="612" customFormat="false" ht="15.75" hidden="false" customHeight="true" outlineLevel="0" collapsed="false">
      <c r="D612" s="26"/>
      <c r="E612" s="26"/>
      <c r="F612" s="26"/>
    </row>
    <row r="613" customFormat="false" ht="15.75" hidden="false" customHeight="true" outlineLevel="0" collapsed="false">
      <c r="D613" s="26"/>
      <c r="E613" s="26"/>
      <c r="F613" s="26"/>
    </row>
    <row r="614" customFormat="false" ht="15.75" hidden="false" customHeight="true" outlineLevel="0" collapsed="false">
      <c r="D614" s="26"/>
      <c r="E614" s="26"/>
      <c r="F614" s="26"/>
    </row>
    <row r="615" customFormat="false" ht="15.75" hidden="false" customHeight="true" outlineLevel="0" collapsed="false">
      <c r="D615" s="26"/>
      <c r="E615" s="26"/>
      <c r="F615" s="26"/>
    </row>
    <row r="616" customFormat="false" ht="15.75" hidden="false" customHeight="true" outlineLevel="0" collapsed="false">
      <c r="D616" s="26"/>
      <c r="E616" s="26"/>
      <c r="F616" s="26"/>
    </row>
    <row r="617" customFormat="false" ht="15.75" hidden="false" customHeight="true" outlineLevel="0" collapsed="false">
      <c r="D617" s="26"/>
      <c r="E617" s="26"/>
      <c r="F617" s="26"/>
    </row>
    <row r="618" customFormat="false" ht="15.75" hidden="false" customHeight="true" outlineLevel="0" collapsed="false">
      <c r="D618" s="26"/>
      <c r="E618" s="26"/>
      <c r="F618" s="26"/>
    </row>
    <row r="619" customFormat="false" ht="15.75" hidden="false" customHeight="true" outlineLevel="0" collapsed="false">
      <c r="D619" s="26"/>
      <c r="E619" s="26"/>
      <c r="F619" s="26"/>
    </row>
    <row r="620" customFormat="false" ht="15.75" hidden="false" customHeight="true" outlineLevel="0" collapsed="false">
      <c r="D620" s="26"/>
      <c r="E620" s="26"/>
      <c r="F620" s="26"/>
    </row>
    <row r="621" customFormat="false" ht="15.75" hidden="false" customHeight="true" outlineLevel="0" collapsed="false">
      <c r="D621" s="26"/>
      <c r="E621" s="26"/>
      <c r="F621" s="26"/>
    </row>
    <row r="622" customFormat="false" ht="15.75" hidden="false" customHeight="true" outlineLevel="0" collapsed="false">
      <c r="D622" s="26"/>
      <c r="E622" s="26"/>
      <c r="F622" s="26"/>
    </row>
    <row r="623" customFormat="false" ht="15.75" hidden="false" customHeight="true" outlineLevel="0" collapsed="false">
      <c r="D623" s="26"/>
      <c r="E623" s="26"/>
      <c r="F623" s="26"/>
    </row>
    <row r="624" customFormat="false" ht="15.75" hidden="false" customHeight="true" outlineLevel="0" collapsed="false">
      <c r="D624" s="26"/>
      <c r="E624" s="26"/>
      <c r="F624" s="26"/>
    </row>
    <row r="625" customFormat="false" ht="15.75" hidden="false" customHeight="true" outlineLevel="0" collapsed="false">
      <c r="D625" s="26"/>
      <c r="E625" s="26"/>
      <c r="F625" s="26"/>
    </row>
    <row r="626" customFormat="false" ht="15.75" hidden="false" customHeight="true" outlineLevel="0" collapsed="false">
      <c r="D626" s="26"/>
      <c r="E626" s="26"/>
      <c r="F626" s="26"/>
    </row>
    <row r="627" customFormat="false" ht="15.75" hidden="false" customHeight="true" outlineLevel="0" collapsed="false">
      <c r="D627" s="26"/>
      <c r="E627" s="26"/>
      <c r="F627" s="26"/>
    </row>
    <row r="628" customFormat="false" ht="15.75" hidden="false" customHeight="true" outlineLevel="0" collapsed="false">
      <c r="D628" s="26"/>
      <c r="E628" s="26"/>
      <c r="F628" s="26"/>
    </row>
    <row r="629" customFormat="false" ht="15.75" hidden="false" customHeight="true" outlineLevel="0" collapsed="false">
      <c r="D629" s="26"/>
      <c r="E629" s="26"/>
      <c r="F629" s="26"/>
    </row>
    <row r="630" customFormat="false" ht="15.75" hidden="false" customHeight="true" outlineLevel="0" collapsed="false">
      <c r="D630" s="26"/>
      <c r="E630" s="26"/>
      <c r="F630" s="26"/>
    </row>
    <row r="631" customFormat="false" ht="15.75" hidden="false" customHeight="true" outlineLevel="0" collapsed="false">
      <c r="D631" s="26"/>
      <c r="E631" s="26"/>
      <c r="F631" s="26"/>
    </row>
    <row r="632" customFormat="false" ht="15.75" hidden="false" customHeight="true" outlineLevel="0" collapsed="false">
      <c r="D632" s="26"/>
      <c r="E632" s="26"/>
      <c r="F632" s="26"/>
    </row>
    <row r="633" customFormat="false" ht="15.75" hidden="false" customHeight="true" outlineLevel="0" collapsed="false">
      <c r="D633" s="26"/>
      <c r="E633" s="26"/>
      <c r="F633" s="26"/>
    </row>
    <row r="634" customFormat="false" ht="15.75" hidden="false" customHeight="true" outlineLevel="0" collapsed="false">
      <c r="D634" s="26"/>
      <c r="E634" s="26"/>
      <c r="F634" s="26"/>
    </row>
    <row r="635" customFormat="false" ht="15.75" hidden="false" customHeight="true" outlineLevel="0" collapsed="false">
      <c r="D635" s="26"/>
      <c r="E635" s="26"/>
      <c r="F635" s="26"/>
    </row>
    <row r="636" customFormat="false" ht="15.75" hidden="false" customHeight="true" outlineLevel="0" collapsed="false">
      <c r="D636" s="26"/>
      <c r="E636" s="26"/>
      <c r="F636" s="26"/>
    </row>
    <row r="637" customFormat="false" ht="15.75" hidden="false" customHeight="true" outlineLevel="0" collapsed="false">
      <c r="D637" s="26"/>
      <c r="E637" s="26"/>
      <c r="F637" s="26"/>
    </row>
    <row r="638" customFormat="false" ht="15.75" hidden="false" customHeight="true" outlineLevel="0" collapsed="false">
      <c r="D638" s="26"/>
      <c r="E638" s="26"/>
      <c r="F638" s="26"/>
    </row>
    <row r="639" customFormat="false" ht="15.75" hidden="false" customHeight="true" outlineLevel="0" collapsed="false">
      <c r="D639" s="26"/>
      <c r="E639" s="26"/>
      <c r="F639" s="26"/>
    </row>
    <row r="640" customFormat="false" ht="15.75" hidden="false" customHeight="true" outlineLevel="0" collapsed="false">
      <c r="D640" s="26"/>
      <c r="E640" s="26"/>
      <c r="F640" s="26"/>
    </row>
    <row r="641" customFormat="false" ht="15.75" hidden="false" customHeight="true" outlineLevel="0" collapsed="false">
      <c r="D641" s="26"/>
      <c r="E641" s="26"/>
      <c r="F641" s="26"/>
    </row>
    <row r="642" customFormat="false" ht="15.75" hidden="false" customHeight="true" outlineLevel="0" collapsed="false">
      <c r="D642" s="26"/>
      <c r="E642" s="26"/>
      <c r="F642" s="26"/>
    </row>
    <row r="643" customFormat="false" ht="15.75" hidden="false" customHeight="true" outlineLevel="0" collapsed="false">
      <c r="D643" s="26"/>
      <c r="E643" s="26"/>
      <c r="F643" s="26"/>
    </row>
    <row r="644" customFormat="false" ht="15.75" hidden="false" customHeight="true" outlineLevel="0" collapsed="false">
      <c r="D644" s="26"/>
      <c r="E644" s="26"/>
      <c r="F644" s="26"/>
    </row>
    <row r="645" customFormat="false" ht="15.75" hidden="false" customHeight="true" outlineLevel="0" collapsed="false">
      <c r="D645" s="26"/>
      <c r="E645" s="26"/>
      <c r="F645" s="26"/>
    </row>
    <row r="646" customFormat="false" ht="15.75" hidden="false" customHeight="true" outlineLevel="0" collapsed="false">
      <c r="D646" s="26"/>
      <c r="E646" s="26"/>
      <c r="F646" s="26"/>
    </row>
    <row r="647" customFormat="false" ht="15.75" hidden="false" customHeight="true" outlineLevel="0" collapsed="false">
      <c r="D647" s="26"/>
      <c r="E647" s="26"/>
      <c r="F647" s="26"/>
    </row>
    <row r="648" customFormat="false" ht="15.75" hidden="false" customHeight="true" outlineLevel="0" collapsed="false">
      <c r="D648" s="26"/>
      <c r="E648" s="26"/>
      <c r="F648" s="26"/>
    </row>
    <row r="649" customFormat="false" ht="15.75" hidden="false" customHeight="true" outlineLevel="0" collapsed="false">
      <c r="D649" s="26"/>
      <c r="E649" s="26"/>
      <c r="F649" s="26"/>
    </row>
    <row r="650" customFormat="false" ht="15.75" hidden="false" customHeight="true" outlineLevel="0" collapsed="false">
      <c r="D650" s="26"/>
      <c r="E650" s="26"/>
      <c r="F650" s="26"/>
    </row>
    <row r="651" customFormat="false" ht="15.75" hidden="false" customHeight="true" outlineLevel="0" collapsed="false">
      <c r="D651" s="26"/>
      <c r="E651" s="26"/>
      <c r="F651" s="26"/>
    </row>
    <row r="652" customFormat="false" ht="15.75" hidden="false" customHeight="true" outlineLevel="0" collapsed="false">
      <c r="D652" s="26"/>
      <c r="E652" s="26"/>
      <c r="F652" s="26"/>
    </row>
    <row r="653" customFormat="false" ht="15.75" hidden="false" customHeight="true" outlineLevel="0" collapsed="false">
      <c r="D653" s="26"/>
      <c r="E653" s="26"/>
      <c r="F653" s="26"/>
    </row>
    <row r="654" customFormat="false" ht="15.75" hidden="false" customHeight="true" outlineLevel="0" collapsed="false">
      <c r="D654" s="26"/>
      <c r="E654" s="26"/>
      <c r="F654" s="26"/>
    </row>
    <row r="655" customFormat="false" ht="15.75" hidden="false" customHeight="true" outlineLevel="0" collapsed="false">
      <c r="D655" s="26"/>
      <c r="E655" s="26"/>
      <c r="F655" s="26"/>
    </row>
    <row r="656" customFormat="false" ht="15.75" hidden="false" customHeight="true" outlineLevel="0" collapsed="false">
      <c r="D656" s="26"/>
      <c r="E656" s="26"/>
      <c r="F656" s="26"/>
    </row>
    <row r="657" customFormat="false" ht="15.75" hidden="false" customHeight="true" outlineLevel="0" collapsed="false">
      <c r="D657" s="26"/>
      <c r="E657" s="26"/>
      <c r="F657" s="26"/>
    </row>
    <row r="658" customFormat="false" ht="15.75" hidden="false" customHeight="true" outlineLevel="0" collapsed="false">
      <c r="D658" s="26"/>
      <c r="E658" s="26"/>
      <c r="F658" s="26"/>
    </row>
    <row r="659" customFormat="false" ht="15.75" hidden="false" customHeight="true" outlineLevel="0" collapsed="false">
      <c r="D659" s="26"/>
      <c r="E659" s="26"/>
      <c r="F659" s="26"/>
    </row>
    <row r="660" customFormat="false" ht="15.75" hidden="false" customHeight="true" outlineLevel="0" collapsed="false">
      <c r="D660" s="26"/>
      <c r="E660" s="26"/>
      <c r="F660" s="26"/>
    </row>
    <row r="661" customFormat="false" ht="15.75" hidden="false" customHeight="true" outlineLevel="0" collapsed="false">
      <c r="D661" s="26"/>
      <c r="E661" s="26"/>
      <c r="F661" s="26"/>
    </row>
    <row r="662" customFormat="false" ht="15.75" hidden="false" customHeight="true" outlineLevel="0" collapsed="false">
      <c r="D662" s="26"/>
      <c r="E662" s="26"/>
      <c r="F662" s="26"/>
    </row>
    <row r="663" customFormat="false" ht="15.75" hidden="false" customHeight="true" outlineLevel="0" collapsed="false">
      <c r="D663" s="26"/>
      <c r="E663" s="26"/>
      <c r="F663" s="26"/>
    </row>
    <row r="664" customFormat="false" ht="15.75" hidden="false" customHeight="true" outlineLevel="0" collapsed="false">
      <c r="D664" s="26"/>
      <c r="E664" s="26"/>
      <c r="F664" s="26"/>
    </row>
    <row r="665" customFormat="false" ht="15.75" hidden="false" customHeight="true" outlineLevel="0" collapsed="false">
      <c r="D665" s="26"/>
      <c r="E665" s="26"/>
      <c r="F665" s="26"/>
    </row>
    <row r="666" customFormat="false" ht="15.75" hidden="false" customHeight="true" outlineLevel="0" collapsed="false">
      <c r="D666" s="26"/>
      <c r="E666" s="26"/>
      <c r="F666" s="26"/>
    </row>
    <row r="667" customFormat="false" ht="15.75" hidden="false" customHeight="true" outlineLevel="0" collapsed="false">
      <c r="D667" s="26"/>
      <c r="E667" s="26"/>
      <c r="F667" s="26"/>
    </row>
    <row r="668" customFormat="false" ht="15.75" hidden="false" customHeight="true" outlineLevel="0" collapsed="false">
      <c r="D668" s="26"/>
      <c r="E668" s="26"/>
      <c r="F668" s="26"/>
    </row>
    <row r="669" customFormat="false" ht="15.75" hidden="false" customHeight="true" outlineLevel="0" collapsed="false">
      <c r="D669" s="26"/>
      <c r="E669" s="26"/>
      <c r="F669" s="26"/>
    </row>
    <row r="670" customFormat="false" ht="15.75" hidden="false" customHeight="true" outlineLevel="0" collapsed="false">
      <c r="D670" s="26"/>
      <c r="E670" s="26"/>
      <c r="F670" s="26"/>
    </row>
    <row r="671" customFormat="false" ht="15.75" hidden="false" customHeight="true" outlineLevel="0" collapsed="false">
      <c r="D671" s="26"/>
      <c r="E671" s="26"/>
      <c r="F671" s="26"/>
    </row>
    <row r="672" customFormat="false" ht="15.75" hidden="false" customHeight="true" outlineLevel="0" collapsed="false">
      <c r="D672" s="26"/>
      <c r="E672" s="26"/>
      <c r="F672" s="26"/>
    </row>
    <row r="673" customFormat="false" ht="15.75" hidden="false" customHeight="true" outlineLevel="0" collapsed="false">
      <c r="D673" s="26"/>
      <c r="E673" s="26"/>
      <c r="F673" s="26"/>
    </row>
    <row r="674" customFormat="false" ht="15.75" hidden="false" customHeight="true" outlineLevel="0" collapsed="false">
      <c r="D674" s="26"/>
      <c r="E674" s="26"/>
      <c r="F674" s="26"/>
    </row>
    <row r="675" customFormat="false" ht="15.75" hidden="false" customHeight="true" outlineLevel="0" collapsed="false">
      <c r="D675" s="26"/>
      <c r="E675" s="26"/>
      <c r="F675" s="26"/>
    </row>
    <row r="676" customFormat="false" ht="15.75" hidden="false" customHeight="true" outlineLevel="0" collapsed="false">
      <c r="D676" s="26"/>
      <c r="E676" s="26"/>
      <c r="F676" s="26"/>
    </row>
    <row r="677" customFormat="false" ht="15.75" hidden="false" customHeight="true" outlineLevel="0" collapsed="false">
      <c r="D677" s="26"/>
      <c r="E677" s="26"/>
      <c r="F677" s="26"/>
    </row>
    <row r="678" customFormat="false" ht="15.75" hidden="false" customHeight="true" outlineLevel="0" collapsed="false">
      <c r="D678" s="26"/>
      <c r="E678" s="26"/>
      <c r="F678" s="26"/>
    </row>
    <row r="679" customFormat="false" ht="15.75" hidden="false" customHeight="true" outlineLevel="0" collapsed="false">
      <c r="D679" s="26"/>
      <c r="E679" s="26"/>
      <c r="F679" s="26"/>
    </row>
    <row r="680" customFormat="false" ht="15.75" hidden="false" customHeight="true" outlineLevel="0" collapsed="false">
      <c r="D680" s="26"/>
      <c r="E680" s="26"/>
      <c r="F680" s="26"/>
    </row>
    <row r="681" customFormat="false" ht="15.75" hidden="false" customHeight="true" outlineLevel="0" collapsed="false">
      <c r="D681" s="26"/>
      <c r="E681" s="26"/>
      <c r="F681" s="26"/>
    </row>
    <row r="682" customFormat="false" ht="15.75" hidden="false" customHeight="true" outlineLevel="0" collapsed="false">
      <c r="D682" s="26"/>
      <c r="E682" s="26"/>
      <c r="F682" s="26"/>
    </row>
    <row r="683" customFormat="false" ht="15.75" hidden="false" customHeight="true" outlineLevel="0" collapsed="false">
      <c r="D683" s="26"/>
      <c r="E683" s="26"/>
      <c r="F683" s="26"/>
    </row>
    <row r="684" customFormat="false" ht="15.75" hidden="false" customHeight="true" outlineLevel="0" collapsed="false">
      <c r="D684" s="26"/>
      <c r="E684" s="26"/>
      <c r="F684" s="26"/>
    </row>
    <row r="685" customFormat="false" ht="15.75" hidden="false" customHeight="true" outlineLevel="0" collapsed="false">
      <c r="D685" s="26"/>
      <c r="E685" s="26"/>
      <c r="F685" s="26"/>
    </row>
    <row r="686" customFormat="false" ht="15.75" hidden="false" customHeight="true" outlineLevel="0" collapsed="false">
      <c r="D686" s="26"/>
      <c r="E686" s="26"/>
      <c r="F686" s="26"/>
    </row>
    <row r="687" customFormat="false" ht="15.75" hidden="false" customHeight="true" outlineLevel="0" collapsed="false">
      <c r="D687" s="26"/>
      <c r="E687" s="26"/>
      <c r="F687" s="26"/>
    </row>
    <row r="688" customFormat="false" ht="15.75" hidden="false" customHeight="true" outlineLevel="0" collapsed="false">
      <c r="D688" s="26"/>
      <c r="E688" s="26"/>
      <c r="F688" s="26"/>
    </row>
    <row r="689" customFormat="false" ht="15.75" hidden="false" customHeight="true" outlineLevel="0" collapsed="false">
      <c r="D689" s="26"/>
      <c r="E689" s="26"/>
      <c r="F689" s="26"/>
    </row>
    <row r="690" customFormat="false" ht="15.75" hidden="false" customHeight="true" outlineLevel="0" collapsed="false">
      <c r="D690" s="26"/>
      <c r="E690" s="26"/>
      <c r="F690" s="26"/>
    </row>
    <row r="691" customFormat="false" ht="15.75" hidden="false" customHeight="true" outlineLevel="0" collapsed="false">
      <c r="D691" s="26"/>
      <c r="E691" s="26"/>
      <c r="F691" s="26"/>
    </row>
    <row r="692" customFormat="false" ht="15.75" hidden="false" customHeight="true" outlineLevel="0" collapsed="false">
      <c r="D692" s="26"/>
      <c r="E692" s="26"/>
      <c r="F692" s="26"/>
    </row>
    <row r="693" customFormat="false" ht="15.75" hidden="false" customHeight="true" outlineLevel="0" collapsed="false">
      <c r="D693" s="26"/>
      <c r="E693" s="26"/>
      <c r="F693" s="26"/>
    </row>
    <row r="694" customFormat="false" ht="15.75" hidden="false" customHeight="true" outlineLevel="0" collapsed="false">
      <c r="D694" s="26"/>
      <c r="E694" s="26"/>
      <c r="F694" s="26"/>
    </row>
    <row r="695" customFormat="false" ht="15.75" hidden="false" customHeight="true" outlineLevel="0" collapsed="false">
      <c r="D695" s="26"/>
      <c r="E695" s="26"/>
      <c r="F695" s="26"/>
    </row>
    <row r="696" customFormat="false" ht="15.75" hidden="false" customHeight="true" outlineLevel="0" collapsed="false">
      <c r="D696" s="26"/>
      <c r="E696" s="26"/>
      <c r="F696" s="26"/>
    </row>
    <row r="697" customFormat="false" ht="15.75" hidden="false" customHeight="true" outlineLevel="0" collapsed="false">
      <c r="D697" s="26"/>
      <c r="E697" s="26"/>
      <c r="F697" s="26"/>
    </row>
    <row r="698" customFormat="false" ht="15.75" hidden="false" customHeight="true" outlineLevel="0" collapsed="false">
      <c r="D698" s="26"/>
      <c r="E698" s="26"/>
      <c r="F698" s="26"/>
    </row>
    <row r="699" customFormat="false" ht="15.75" hidden="false" customHeight="true" outlineLevel="0" collapsed="false">
      <c r="D699" s="26"/>
      <c r="E699" s="26"/>
      <c r="F699" s="26"/>
    </row>
    <row r="700" customFormat="false" ht="15.75" hidden="false" customHeight="true" outlineLevel="0" collapsed="false">
      <c r="D700" s="26"/>
      <c r="E700" s="26"/>
      <c r="F700" s="26"/>
    </row>
    <row r="701" customFormat="false" ht="15.75" hidden="false" customHeight="true" outlineLevel="0" collapsed="false">
      <c r="D701" s="26"/>
      <c r="E701" s="26"/>
      <c r="F701" s="26"/>
    </row>
    <row r="702" customFormat="false" ht="15.75" hidden="false" customHeight="true" outlineLevel="0" collapsed="false">
      <c r="D702" s="26"/>
      <c r="E702" s="26"/>
      <c r="F702" s="26"/>
    </row>
    <row r="703" customFormat="false" ht="15.75" hidden="false" customHeight="true" outlineLevel="0" collapsed="false">
      <c r="D703" s="26"/>
      <c r="E703" s="26"/>
      <c r="F703" s="26"/>
    </row>
    <row r="704" customFormat="false" ht="15.75" hidden="false" customHeight="true" outlineLevel="0" collapsed="false">
      <c r="D704" s="26"/>
      <c r="E704" s="26"/>
      <c r="F704" s="26"/>
    </row>
    <row r="705" customFormat="false" ht="15.75" hidden="false" customHeight="true" outlineLevel="0" collapsed="false">
      <c r="D705" s="26"/>
      <c r="E705" s="26"/>
      <c r="F705" s="26"/>
    </row>
    <row r="706" customFormat="false" ht="15.75" hidden="false" customHeight="true" outlineLevel="0" collapsed="false">
      <c r="D706" s="26"/>
      <c r="E706" s="26"/>
      <c r="F706" s="26"/>
    </row>
    <row r="707" customFormat="false" ht="15.75" hidden="false" customHeight="true" outlineLevel="0" collapsed="false">
      <c r="D707" s="26"/>
      <c r="E707" s="26"/>
      <c r="F707" s="26"/>
    </row>
    <row r="708" customFormat="false" ht="15.75" hidden="false" customHeight="true" outlineLevel="0" collapsed="false">
      <c r="D708" s="26"/>
      <c r="E708" s="26"/>
      <c r="F708" s="26"/>
    </row>
    <row r="709" customFormat="false" ht="15.75" hidden="false" customHeight="true" outlineLevel="0" collapsed="false">
      <c r="D709" s="26"/>
      <c r="E709" s="26"/>
      <c r="F709" s="26"/>
    </row>
    <row r="710" customFormat="false" ht="15.75" hidden="false" customHeight="true" outlineLevel="0" collapsed="false">
      <c r="D710" s="26"/>
      <c r="E710" s="26"/>
      <c r="F710" s="26"/>
    </row>
    <row r="711" customFormat="false" ht="15.75" hidden="false" customHeight="true" outlineLevel="0" collapsed="false">
      <c r="D711" s="26"/>
      <c r="E711" s="26"/>
      <c r="F711" s="26"/>
    </row>
    <row r="712" customFormat="false" ht="15.75" hidden="false" customHeight="true" outlineLevel="0" collapsed="false">
      <c r="D712" s="26"/>
      <c r="E712" s="26"/>
      <c r="F712" s="26"/>
    </row>
    <row r="713" customFormat="false" ht="15.75" hidden="false" customHeight="true" outlineLevel="0" collapsed="false">
      <c r="D713" s="26"/>
      <c r="E713" s="26"/>
      <c r="F713" s="26"/>
    </row>
    <row r="714" customFormat="false" ht="15.75" hidden="false" customHeight="true" outlineLevel="0" collapsed="false">
      <c r="D714" s="26"/>
      <c r="E714" s="26"/>
      <c r="F714" s="26"/>
    </row>
    <row r="715" customFormat="false" ht="15.75" hidden="false" customHeight="true" outlineLevel="0" collapsed="false">
      <c r="D715" s="26"/>
      <c r="E715" s="26"/>
      <c r="F715" s="26"/>
    </row>
    <row r="716" customFormat="false" ht="15.75" hidden="false" customHeight="true" outlineLevel="0" collapsed="false">
      <c r="D716" s="26"/>
      <c r="E716" s="26"/>
      <c r="F716" s="26"/>
    </row>
    <row r="717" customFormat="false" ht="15.75" hidden="false" customHeight="true" outlineLevel="0" collapsed="false">
      <c r="D717" s="26"/>
      <c r="E717" s="26"/>
      <c r="F717" s="26"/>
    </row>
    <row r="718" customFormat="false" ht="15.75" hidden="false" customHeight="true" outlineLevel="0" collapsed="false">
      <c r="D718" s="26"/>
      <c r="E718" s="26"/>
      <c r="F718" s="26"/>
    </row>
    <row r="719" customFormat="false" ht="15.75" hidden="false" customHeight="true" outlineLevel="0" collapsed="false">
      <c r="D719" s="26"/>
      <c r="E719" s="26"/>
      <c r="F719" s="26"/>
    </row>
    <row r="720" customFormat="false" ht="15.75" hidden="false" customHeight="true" outlineLevel="0" collapsed="false">
      <c r="D720" s="26"/>
      <c r="E720" s="26"/>
      <c r="F720" s="26"/>
    </row>
    <row r="721" customFormat="false" ht="15.75" hidden="false" customHeight="true" outlineLevel="0" collapsed="false">
      <c r="D721" s="26"/>
      <c r="E721" s="26"/>
      <c r="F721" s="26"/>
    </row>
    <row r="722" customFormat="false" ht="15.75" hidden="false" customHeight="true" outlineLevel="0" collapsed="false">
      <c r="D722" s="26"/>
      <c r="E722" s="26"/>
      <c r="F722" s="26"/>
    </row>
    <row r="723" customFormat="false" ht="15.75" hidden="false" customHeight="true" outlineLevel="0" collapsed="false">
      <c r="D723" s="26"/>
      <c r="E723" s="26"/>
      <c r="F723" s="26"/>
    </row>
    <row r="724" customFormat="false" ht="15.75" hidden="false" customHeight="true" outlineLevel="0" collapsed="false">
      <c r="D724" s="26"/>
      <c r="E724" s="26"/>
      <c r="F724" s="26"/>
    </row>
    <row r="725" customFormat="false" ht="15.75" hidden="false" customHeight="true" outlineLevel="0" collapsed="false">
      <c r="D725" s="26"/>
      <c r="E725" s="26"/>
      <c r="F725" s="26"/>
    </row>
    <row r="726" customFormat="false" ht="15.75" hidden="false" customHeight="true" outlineLevel="0" collapsed="false">
      <c r="D726" s="26"/>
      <c r="E726" s="26"/>
      <c r="F726" s="26"/>
    </row>
    <row r="727" customFormat="false" ht="15.75" hidden="false" customHeight="true" outlineLevel="0" collapsed="false">
      <c r="D727" s="26"/>
      <c r="E727" s="26"/>
      <c r="F727" s="26"/>
    </row>
    <row r="728" customFormat="false" ht="15.75" hidden="false" customHeight="true" outlineLevel="0" collapsed="false">
      <c r="D728" s="26"/>
      <c r="E728" s="26"/>
      <c r="F728" s="26"/>
    </row>
    <row r="729" customFormat="false" ht="15.75" hidden="false" customHeight="true" outlineLevel="0" collapsed="false">
      <c r="D729" s="26"/>
      <c r="E729" s="26"/>
      <c r="F729" s="26"/>
    </row>
    <row r="730" customFormat="false" ht="15.75" hidden="false" customHeight="true" outlineLevel="0" collapsed="false">
      <c r="D730" s="26"/>
      <c r="E730" s="26"/>
      <c r="F730" s="26"/>
    </row>
    <row r="731" customFormat="false" ht="15.75" hidden="false" customHeight="true" outlineLevel="0" collapsed="false">
      <c r="D731" s="26"/>
      <c r="E731" s="26"/>
      <c r="F731" s="26"/>
    </row>
    <row r="732" customFormat="false" ht="15.75" hidden="false" customHeight="true" outlineLevel="0" collapsed="false">
      <c r="D732" s="26"/>
      <c r="E732" s="26"/>
      <c r="F732" s="26"/>
    </row>
    <row r="733" customFormat="false" ht="15.75" hidden="false" customHeight="true" outlineLevel="0" collapsed="false">
      <c r="D733" s="26"/>
      <c r="E733" s="26"/>
      <c r="F733" s="26"/>
    </row>
    <row r="734" customFormat="false" ht="15.75" hidden="false" customHeight="true" outlineLevel="0" collapsed="false">
      <c r="D734" s="26"/>
      <c r="E734" s="26"/>
      <c r="F734" s="26"/>
    </row>
    <row r="735" customFormat="false" ht="15.75" hidden="false" customHeight="true" outlineLevel="0" collapsed="false">
      <c r="D735" s="26"/>
      <c r="E735" s="26"/>
      <c r="F735" s="26"/>
    </row>
    <row r="736" customFormat="false" ht="15.75" hidden="false" customHeight="true" outlineLevel="0" collapsed="false">
      <c r="D736" s="26"/>
      <c r="E736" s="26"/>
      <c r="F736" s="26"/>
    </row>
    <row r="737" customFormat="false" ht="15.75" hidden="false" customHeight="true" outlineLevel="0" collapsed="false">
      <c r="D737" s="26"/>
      <c r="E737" s="26"/>
      <c r="F737" s="26"/>
    </row>
    <row r="738" customFormat="false" ht="15.75" hidden="false" customHeight="true" outlineLevel="0" collapsed="false">
      <c r="D738" s="26"/>
      <c r="E738" s="26"/>
      <c r="F738" s="26"/>
    </row>
    <row r="739" customFormat="false" ht="15.75" hidden="false" customHeight="true" outlineLevel="0" collapsed="false">
      <c r="D739" s="26"/>
      <c r="E739" s="26"/>
      <c r="F739" s="26"/>
    </row>
    <row r="740" customFormat="false" ht="15.75" hidden="false" customHeight="true" outlineLevel="0" collapsed="false">
      <c r="D740" s="26"/>
      <c r="E740" s="26"/>
      <c r="F740" s="26"/>
    </row>
    <row r="741" customFormat="false" ht="15.75" hidden="false" customHeight="true" outlineLevel="0" collapsed="false">
      <c r="D741" s="26"/>
      <c r="E741" s="26"/>
      <c r="F741" s="26"/>
    </row>
    <row r="742" customFormat="false" ht="15.75" hidden="false" customHeight="true" outlineLevel="0" collapsed="false">
      <c r="D742" s="26"/>
      <c r="E742" s="26"/>
      <c r="F742" s="26"/>
    </row>
    <row r="743" customFormat="false" ht="15.75" hidden="false" customHeight="true" outlineLevel="0" collapsed="false">
      <c r="D743" s="26"/>
      <c r="E743" s="26"/>
      <c r="F743" s="26"/>
    </row>
    <row r="744" customFormat="false" ht="15.75" hidden="false" customHeight="true" outlineLevel="0" collapsed="false">
      <c r="D744" s="26"/>
      <c r="E744" s="26"/>
      <c r="F744" s="26"/>
    </row>
    <row r="745" customFormat="false" ht="15.75" hidden="false" customHeight="true" outlineLevel="0" collapsed="false">
      <c r="D745" s="26"/>
      <c r="E745" s="26"/>
      <c r="F745" s="26"/>
    </row>
    <row r="746" customFormat="false" ht="15.75" hidden="false" customHeight="true" outlineLevel="0" collapsed="false">
      <c r="D746" s="26"/>
      <c r="E746" s="26"/>
      <c r="F746" s="26"/>
    </row>
    <row r="747" customFormat="false" ht="15.75" hidden="false" customHeight="true" outlineLevel="0" collapsed="false">
      <c r="D747" s="26"/>
      <c r="E747" s="26"/>
      <c r="F747" s="26"/>
    </row>
    <row r="748" customFormat="false" ht="15.75" hidden="false" customHeight="true" outlineLevel="0" collapsed="false">
      <c r="D748" s="26"/>
      <c r="E748" s="26"/>
      <c r="F748" s="26"/>
    </row>
    <row r="749" customFormat="false" ht="15.75" hidden="false" customHeight="true" outlineLevel="0" collapsed="false">
      <c r="D749" s="26"/>
      <c r="E749" s="26"/>
      <c r="F749" s="26"/>
    </row>
    <row r="750" customFormat="false" ht="15.75" hidden="false" customHeight="true" outlineLevel="0" collapsed="false">
      <c r="D750" s="26"/>
      <c r="E750" s="26"/>
      <c r="F750" s="26"/>
    </row>
    <row r="751" customFormat="false" ht="15.75" hidden="false" customHeight="true" outlineLevel="0" collapsed="false">
      <c r="D751" s="26"/>
      <c r="E751" s="26"/>
      <c r="F751" s="26"/>
    </row>
    <row r="752" customFormat="false" ht="15.75" hidden="false" customHeight="true" outlineLevel="0" collapsed="false">
      <c r="D752" s="26"/>
      <c r="E752" s="26"/>
      <c r="F752" s="26"/>
    </row>
    <row r="753" customFormat="false" ht="15.75" hidden="false" customHeight="true" outlineLevel="0" collapsed="false">
      <c r="D753" s="26"/>
      <c r="E753" s="26"/>
      <c r="F753" s="26"/>
    </row>
    <row r="754" customFormat="false" ht="15.75" hidden="false" customHeight="true" outlineLevel="0" collapsed="false">
      <c r="D754" s="26"/>
      <c r="E754" s="26"/>
      <c r="F754" s="26"/>
    </row>
    <row r="755" customFormat="false" ht="15.75" hidden="false" customHeight="true" outlineLevel="0" collapsed="false">
      <c r="D755" s="26"/>
      <c r="E755" s="26"/>
      <c r="F755" s="26"/>
    </row>
    <row r="756" customFormat="false" ht="15.75" hidden="false" customHeight="true" outlineLevel="0" collapsed="false">
      <c r="D756" s="26"/>
      <c r="E756" s="26"/>
      <c r="F756" s="26"/>
    </row>
    <row r="757" customFormat="false" ht="15.75" hidden="false" customHeight="true" outlineLevel="0" collapsed="false">
      <c r="D757" s="26"/>
      <c r="E757" s="26"/>
      <c r="F757" s="26"/>
    </row>
    <row r="758" customFormat="false" ht="15.75" hidden="false" customHeight="true" outlineLevel="0" collapsed="false">
      <c r="D758" s="26"/>
      <c r="E758" s="26"/>
      <c r="F758" s="26"/>
    </row>
    <row r="759" customFormat="false" ht="15.75" hidden="false" customHeight="true" outlineLevel="0" collapsed="false">
      <c r="D759" s="26"/>
      <c r="E759" s="26"/>
      <c r="F759" s="26"/>
    </row>
    <row r="760" customFormat="false" ht="15.75" hidden="false" customHeight="true" outlineLevel="0" collapsed="false">
      <c r="D760" s="26"/>
      <c r="E760" s="26"/>
      <c r="F760" s="26"/>
    </row>
    <row r="761" customFormat="false" ht="15.75" hidden="false" customHeight="true" outlineLevel="0" collapsed="false">
      <c r="D761" s="26"/>
      <c r="E761" s="26"/>
      <c r="F761" s="26"/>
    </row>
    <row r="762" customFormat="false" ht="15.75" hidden="false" customHeight="true" outlineLevel="0" collapsed="false">
      <c r="D762" s="26"/>
      <c r="E762" s="26"/>
      <c r="F762" s="26"/>
    </row>
    <row r="763" customFormat="false" ht="15.75" hidden="false" customHeight="true" outlineLevel="0" collapsed="false">
      <c r="D763" s="26"/>
      <c r="E763" s="26"/>
      <c r="F763" s="26"/>
    </row>
    <row r="764" customFormat="false" ht="15.75" hidden="false" customHeight="true" outlineLevel="0" collapsed="false">
      <c r="D764" s="26"/>
      <c r="E764" s="26"/>
      <c r="F764" s="26"/>
    </row>
    <row r="765" customFormat="false" ht="15.75" hidden="false" customHeight="true" outlineLevel="0" collapsed="false">
      <c r="D765" s="26"/>
      <c r="E765" s="26"/>
      <c r="F765" s="26"/>
    </row>
    <row r="766" customFormat="false" ht="15.75" hidden="false" customHeight="true" outlineLevel="0" collapsed="false">
      <c r="D766" s="26"/>
      <c r="E766" s="26"/>
      <c r="F766" s="26"/>
    </row>
    <row r="767" customFormat="false" ht="15.75" hidden="false" customHeight="true" outlineLevel="0" collapsed="false">
      <c r="D767" s="26"/>
      <c r="E767" s="26"/>
      <c r="F767" s="26"/>
    </row>
    <row r="768" customFormat="false" ht="15.75" hidden="false" customHeight="true" outlineLevel="0" collapsed="false">
      <c r="D768" s="26"/>
      <c r="E768" s="26"/>
      <c r="F768" s="26"/>
    </row>
    <row r="769" customFormat="false" ht="15.75" hidden="false" customHeight="true" outlineLevel="0" collapsed="false">
      <c r="D769" s="26"/>
      <c r="E769" s="26"/>
      <c r="F769" s="26"/>
    </row>
    <row r="770" customFormat="false" ht="15.75" hidden="false" customHeight="true" outlineLevel="0" collapsed="false">
      <c r="D770" s="26"/>
      <c r="E770" s="26"/>
      <c r="F770" s="26"/>
    </row>
    <row r="771" customFormat="false" ht="15.75" hidden="false" customHeight="true" outlineLevel="0" collapsed="false">
      <c r="D771" s="26"/>
      <c r="E771" s="26"/>
      <c r="F771" s="26"/>
    </row>
    <row r="772" customFormat="false" ht="15.75" hidden="false" customHeight="true" outlineLevel="0" collapsed="false">
      <c r="D772" s="26"/>
      <c r="E772" s="26"/>
      <c r="F772" s="26"/>
    </row>
    <row r="773" customFormat="false" ht="15.75" hidden="false" customHeight="true" outlineLevel="0" collapsed="false">
      <c r="D773" s="26"/>
      <c r="E773" s="26"/>
      <c r="F773" s="26"/>
    </row>
    <row r="774" customFormat="false" ht="15.75" hidden="false" customHeight="true" outlineLevel="0" collapsed="false">
      <c r="D774" s="26"/>
      <c r="E774" s="26"/>
      <c r="F774" s="26"/>
    </row>
    <row r="775" customFormat="false" ht="15.75" hidden="false" customHeight="true" outlineLevel="0" collapsed="false">
      <c r="D775" s="26"/>
      <c r="E775" s="26"/>
      <c r="F775" s="26"/>
    </row>
    <row r="776" customFormat="false" ht="15.75" hidden="false" customHeight="true" outlineLevel="0" collapsed="false">
      <c r="D776" s="26"/>
      <c r="E776" s="26"/>
      <c r="F776" s="26"/>
    </row>
    <row r="777" customFormat="false" ht="15.75" hidden="false" customHeight="true" outlineLevel="0" collapsed="false">
      <c r="D777" s="26"/>
      <c r="E777" s="26"/>
      <c r="F777" s="26"/>
    </row>
    <row r="778" customFormat="false" ht="15.75" hidden="false" customHeight="true" outlineLevel="0" collapsed="false">
      <c r="D778" s="26"/>
      <c r="E778" s="26"/>
      <c r="F778" s="26"/>
    </row>
    <row r="779" customFormat="false" ht="15.75" hidden="false" customHeight="true" outlineLevel="0" collapsed="false">
      <c r="D779" s="26"/>
      <c r="E779" s="26"/>
      <c r="F779" s="26"/>
    </row>
    <row r="780" customFormat="false" ht="15.75" hidden="false" customHeight="true" outlineLevel="0" collapsed="false">
      <c r="D780" s="26"/>
      <c r="E780" s="26"/>
      <c r="F780" s="26"/>
    </row>
    <row r="781" customFormat="false" ht="15.75" hidden="false" customHeight="true" outlineLevel="0" collapsed="false">
      <c r="D781" s="26"/>
      <c r="E781" s="26"/>
      <c r="F781" s="26"/>
    </row>
    <row r="782" customFormat="false" ht="15.75" hidden="false" customHeight="true" outlineLevel="0" collapsed="false">
      <c r="D782" s="26"/>
      <c r="E782" s="26"/>
      <c r="F782" s="26"/>
    </row>
    <row r="783" customFormat="false" ht="15.75" hidden="false" customHeight="true" outlineLevel="0" collapsed="false">
      <c r="D783" s="26"/>
      <c r="E783" s="26"/>
      <c r="F783" s="26"/>
    </row>
    <row r="784" customFormat="false" ht="15.75" hidden="false" customHeight="true" outlineLevel="0" collapsed="false">
      <c r="D784" s="26"/>
      <c r="E784" s="26"/>
      <c r="F784" s="26"/>
    </row>
    <row r="785" customFormat="false" ht="15.75" hidden="false" customHeight="true" outlineLevel="0" collapsed="false">
      <c r="D785" s="26"/>
      <c r="E785" s="26"/>
      <c r="F785" s="26"/>
    </row>
    <row r="786" customFormat="false" ht="15.75" hidden="false" customHeight="true" outlineLevel="0" collapsed="false">
      <c r="D786" s="26"/>
      <c r="E786" s="26"/>
      <c r="F786" s="26"/>
    </row>
    <row r="787" customFormat="false" ht="15.75" hidden="false" customHeight="true" outlineLevel="0" collapsed="false">
      <c r="D787" s="26"/>
      <c r="E787" s="26"/>
      <c r="F787" s="26"/>
    </row>
    <row r="788" customFormat="false" ht="15.75" hidden="false" customHeight="true" outlineLevel="0" collapsed="false">
      <c r="D788" s="26"/>
      <c r="E788" s="26"/>
      <c r="F788" s="26"/>
    </row>
    <row r="789" customFormat="false" ht="15.75" hidden="false" customHeight="true" outlineLevel="0" collapsed="false">
      <c r="D789" s="26"/>
      <c r="E789" s="26"/>
      <c r="F789" s="26"/>
    </row>
    <row r="790" customFormat="false" ht="15.75" hidden="false" customHeight="true" outlineLevel="0" collapsed="false">
      <c r="D790" s="26"/>
      <c r="E790" s="26"/>
      <c r="F790" s="26"/>
    </row>
    <row r="791" customFormat="false" ht="15.75" hidden="false" customHeight="true" outlineLevel="0" collapsed="false">
      <c r="D791" s="26"/>
      <c r="E791" s="26"/>
      <c r="F791" s="26"/>
    </row>
    <row r="792" customFormat="false" ht="15.75" hidden="false" customHeight="true" outlineLevel="0" collapsed="false">
      <c r="D792" s="26"/>
      <c r="E792" s="26"/>
      <c r="F792" s="26"/>
    </row>
    <row r="793" customFormat="false" ht="15.75" hidden="false" customHeight="true" outlineLevel="0" collapsed="false">
      <c r="D793" s="26"/>
      <c r="E793" s="26"/>
      <c r="F793" s="26"/>
    </row>
    <row r="794" customFormat="false" ht="15.75" hidden="false" customHeight="true" outlineLevel="0" collapsed="false">
      <c r="D794" s="26"/>
      <c r="E794" s="26"/>
      <c r="F794" s="26"/>
    </row>
    <row r="795" customFormat="false" ht="15.75" hidden="false" customHeight="true" outlineLevel="0" collapsed="false">
      <c r="D795" s="26"/>
      <c r="E795" s="26"/>
      <c r="F795" s="26"/>
    </row>
    <row r="796" customFormat="false" ht="15.75" hidden="false" customHeight="true" outlineLevel="0" collapsed="false">
      <c r="D796" s="26"/>
      <c r="E796" s="26"/>
      <c r="F796" s="26"/>
    </row>
    <row r="797" customFormat="false" ht="15.75" hidden="false" customHeight="true" outlineLevel="0" collapsed="false">
      <c r="D797" s="26"/>
      <c r="E797" s="26"/>
      <c r="F797" s="26"/>
    </row>
    <row r="798" customFormat="false" ht="15.75" hidden="false" customHeight="true" outlineLevel="0" collapsed="false">
      <c r="D798" s="26"/>
      <c r="E798" s="26"/>
      <c r="F798" s="26"/>
    </row>
    <row r="799" customFormat="false" ht="15.75" hidden="false" customHeight="true" outlineLevel="0" collapsed="false">
      <c r="D799" s="26"/>
      <c r="E799" s="26"/>
      <c r="F799" s="26"/>
    </row>
    <row r="800" customFormat="false" ht="15.75" hidden="false" customHeight="true" outlineLevel="0" collapsed="false">
      <c r="D800" s="26"/>
      <c r="E800" s="26"/>
      <c r="F800" s="26"/>
    </row>
    <row r="801" customFormat="false" ht="15.75" hidden="false" customHeight="true" outlineLevel="0" collapsed="false">
      <c r="D801" s="26"/>
      <c r="E801" s="26"/>
      <c r="F801" s="26"/>
    </row>
    <row r="802" customFormat="false" ht="15.75" hidden="false" customHeight="true" outlineLevel="0" collapsed="false">
      <c r="D802" s="26"/>
      <c r="E802" s="26"/>
      <c r="F802" s="26"/>
    </row>
    <row r="803" customFormat="false" ht="15.75" hidden="false" customHeight="true" outlineLevel="0" collapsed="false">
      <c r="D803" s="26"/>
      <c r="E803" s="26"/>
      <c r="F803" s="26"/>
    </row>
    <row r="804" customFormat="false" ht="15.75" hidden="false" customHeight="true" outlineLevel="0" collapsed="false">
      <c r="D804" s="26"/>
      <c r="E804" s="26"/>
      <c r="F804" s="26"/>
    </row>
    <row r="805" customFormat="false" ht="15.75" hidden="false" customHeight="true" outlineLevel="0" collapsed="false">
      <c r="D805" s="26"/>
      <c r="E805" s="26"/>
      <c r="F805" s="26"/>
    </row>
    <row r="806" customFormat="false" ht="15.75" hidden="false" customHeight="true" outlineLevel="0" collapsed="false">
      <c r="D806" s="26"/>
      <c r="E806" s="26"/>
      <c r="F806" s="26"/>
    </row>
    <row r="807" customFormat="false" ht="15.75" hidden="false" customHeight="true" outlineLevel="0" collapsed="false">
      <c r="D807" s="26"/>
      <c r="E807" s="26"/>
      <c r="F807" s="26"/>
    </row>
    <row r="808" customFormat="false" ht="15.75" hidden="false" customHeight="true" outlineLevel="0" collapsed="false">
      <c r="D808" s="26"/>
      <c r="E808" s="26"/>
      <c r="F808" s="26"/>
    </row>
    <row r="809" customFormat="false" ht="15.75" hidden="false" customHeight="true" outlineLevel="0" collapsed="false">
      <c r="D809" s="26"/>
      <c r="E809" s="26"/>
      <c r="F809" s="26"/>
    </row>
    <row r="810" customFormat="false" ht="15.75" hidden="false" customHeight="true" outlineLevel="0" collapsed="false">
      <c r="D810" s="26"/>
      <c r="E810" s="26"/>
      <c r="F810" s="26"/>
    </row>
    <row r="811" customFormat="false" ht="15.75" hidden="false" customHeight="true" outlineLevel="0" collapsed="false">
      <c r="D811" s="26"/>
      <c r="E811" s="26"/>
      <c r="F811" s="26"/>
    </row>
    <row r="812" customFormat="false" ht="15.75" hidden="false" customHeight="true" outlineLevel="0" collapsed="false">
      <c r="D812" s="26"/>
      <c r="E812" s="26"/>
      <c r="F812" s="26"/>
    </row>
    <row r="813" customFormat="false" ht="15.75" hidden="false" customHeight="true" outlineLevel="0" collapsed="false">
      <c r="D813" s="26"/>
      <c r="E813" s="26"/>
      <c r="F813" s="26"/>
    </row>
    <row r="814" customFormat="false" ht="15.75" hidden="false" customHeight="true" outlineLevel="0" collapsed="false">
      <c r="D814" s="26"/>
      <c r="E814" s="26"/>
      <c r="F814" s="26"/>
    </row>
    <row r="815" customFormat="false" ht="15.75" hidden="false" customHeight="true" outlineLevel="0" collapsed="false">
      <c r="D815" s="26"/>
      <c r="E815" s="26"/>
      <c r="F815" s="26"/>
    </row>
    <row r="816" customFormat="false" ht="15.75" hidden="false" customHeight="true" outlineLevel="0" collapsed="false">
      <c r="D816" s="26"/>
      <c r="E816" s="26"/>
      <c r="F816" s="26"/>
    </row>
    <row r="817" customFormat="false" ht="15.75" hidden="false" customHeight="true" outlineLevel="0" collapsed="false">
      <c r="D817" s="26"/>
      <c r="E817" s="26"/>
      <c r="F817" s="26"/>
    </row>
    <row r="818" customFormat="false" ht="15.75" hidden="false" customHeight="true" outlineLevel="0" collapsed="false">
      <c r="D818" s="26"/>
      <c r="E818" s="26"/>
      <c r="F818" s="26"/>
    </row>
    <row r="819" customFormat="false" ht="15.75" hidden="false" customHeight="true" outlineLevel="0" collapsed="false">
      <c r="D819" s="26"/>
      <c r="E819" s="26"/>
      <c r="F819" s="26"/>
    </row>
    <row r="820" customFormat="false" ht="15.75" hidden="false" customHeight="true" outlineLevel="0" collapsed="false">
      <c r="D820" s="26"/>
      <c r="E820" s="26"/>
      <c r="F820" s="26"/>
    </row>
    <row r="821" customFormat="false" ht="15.75" hidden="false" customHeight="true" outlineLevel="0" collapsed="false">
      <c r="D821" s="26"/>
      <c r="E821" s="26"/>
      <c r="F821" s="26"/>
    </row>
    <row r="822" customFormat="false" ht="15.75" hidden="false" customHeight="true" outlineLevel="0" collapsed="false">
      <c r="D822" s="26"/>
      <c r="E822" s="26"/>
      <c r="F822" s="26"/>
    </row>
    <row r="823" customFormat="false" ht="15.75" hidden="false" customHeight="true" outlineLevel="0" collapsed="false">
      <c r="D823" s="26"/>
      <c r="E823" s="26"/>
      <c r="F823" s="26"/>
    </row>
    <row r="824" customFormat="false" ht="15.75" hidden="false" customHeight="true" outlineLevel="0" collapsed="false">
      <c r="D824" s="26"/>
      <c r="E824" s="26"/>
      <c r="F824" s="26"/>
    </row>
    <row r="825" customFormat="false" ht="15.75" hidden="false" customHeight="true" outlineLevel="0" collapsed="false">
      <c r="D825" s="26"/>
      <c r="E825" s="26"/>
      <c r="F825" s="26"/>
    </row>
    <row r="826" customFormat="false" ht="15.75" hidden="false" customHeight="true" outlineLevel="0" collapsed="false">
      <c r="D826" s="26"/>
      <c r="E826" s="26"/>
      <c r="F826" s="26"/>
    </row>
    <row r="827" customFormat="false" ht="15.75" hidden="false" customHeight="true" outlineLevel="0" collapsed="false">
      <c r="D827" s="26"/>
      <c r="E827" s="26"/>
      <c r="F827" s="26"/>
    </row>
    <row r="828" customFormat="false" ht="15.75" hidden="false" customHeight="true" outlineLevel="0" collapsed="false">
      <c r="D828" s="26"/>
      <c r="E828" s="26"/>
      <c r="F828" s="26"/>
    </row>
    <row r="829" customFormat="false" ht="15.75" hidden="false" customHeight="true" outlineLevel="0" collapsed="false">
      <c r="D829" s="26"/>
      <c r="E829" s="26"/>
      <c r="F829" s="26"/>
    </row>
    <row r="830" customFormat="false" ht="15.75" hidden="false" customHeight="true" outlineLevel="0" collapsed="false">
      <c r="D830" s="26"/>
      <c r="E830" s="26"/>
      <c r="F830" s="26"/>
    </row>
    <row r="831" customFormat="false" ht="15.75" hidden="false" customHeight="true" outlineLevel="0" collapsed="false">
      <c r="D831" s="26"/>
      <c r="E831" s="26"/>
      <c r="F831" s="26"/>
    </row>
    <row r="832" customFormat="false" ht="15.75" hidden="false" customHeight="true" outlineLevel="0" collapsed="false">
      <c r="D832" s="26"/>
      <c r="E832" s="26"/>
      <c r="F832" s="26"/>
    </row>
    <row r="833" customFormat="false" ht="15.75" hidden="false" customHeight="true" outlineLevel="0" collapsed="false">
      <c r="D833" s="26"/>
      <c r="E833" s="26"/>
      <c r="F833" s="26"/>
    </row>
    <row r="834" customFormat="false" ht="15.75" hidden="false" customHeight="true" outlineLevel="0" collapsed="false">
      <c r="D834" s="26"/>
      <c r="E834" s="26"/>
      <c r="F834" s="26"/>
    </row>
    <row r="835" customFormat="false" ht="15.75" hidden="false" customHeight="true" outlineLevel="0" collapsed="false">
      <c r="D835" s="26"/>
      <c r="E835" s="26"/>
      <c r="F835" s="26"/>
    </row>
    <row r="836" customFormat="false" ht="15.75" hidden="false" customHeight="true" outlineLevel="0" collapsed="false">
      <c r="D836" s="26"/>
      <c r="E836" s="26"/>
      <c r="F836" s="26"/>
    </row>
    <row r="837" customFormat="false" ht="15.75" hidden="false" customHeight="true" outlineLevel="0" collapsed="false">
      <c r="D837" s="26"/>
      <c r="E837" s="26"/>
      <c r="F837" s="26"/>
    </row>
    <row r="838" customFormat="false" ht="15.75" hidden="false" customHeight="true" outlineLevel="0" collapsed="false">
      <c r="D838" s="26"/>
      <c r="E838" s="26"/>
      <c r="F838" s="26"/>
    </row>
    <row r="839" customFormat="false" ht="15.75" hidden="false" customHeight="true" outlineLevel="0" collapsed="false">
      <c r="D839" s="26"/>
      <c r="E839" s="26"/>
      <c r="F839" s="26"/>
    </row>
    <row r="840" customFormat="false" ht="15.75" hidden="false" customHeight="true" outlineLevel="0" collapsed="false">
      <c r="D840" s="26"/>
      <c r="E840" s="26"/>
      <c r="F840" s="26"/>
    </row>
    <row r="841" customFormat="false" ht="15.75" hidden="false" customHeight="true" outlineLevel="0" collapsed="false">
      <c r="D841" s="26"/>
      <c r="E841" s="26"/>
      <c r="F841" s="26"/>
    </row>
    <row r="842" customFormat="false" ht="15.75" hidden="false" customHeight="true" outlineLevel="0" collapsed="false">
      <c r="D842" s="26"/>
      <c r="E842" s="26"/>
      <c r="F842" s="26"/>
    </row>
    <row r="843" customFormat="false" ht="15.75" hidden="false" customHeight="true" outlineLevel="0" collapsed="false">
      <c r="D843" s="26"/>
      <c r="E843" s="26"/>
      <c r="F843" s="26"/>
    </row>
    <row r="844" customFormat="false" ht="15.75" hidden="false" customHeight="true" outlineLevel="0" collapsed="false">
      <c r="D844" s="26"/>
      <c r="E844" s="26"/>
      <c r="F844" s="26"/>
    </row>
    <row r="845" customFormat="false" ht="15.75" hidden="false" customHeight="true" outlineLevel="0" collapsed="false">
      <c r="D845" s="26"/>
      <c r="E845" s="26"/>
      <c r="F845" s="26"/>
    </row>
    <row r="846" customFormat="false" ht="15.75" hidden="false" customHeight="true" outlineLevel="0" collapsed="false">
      <c r="D846" s="26"/>
      <c r="E846" s="26"/>
      <c r="F846" s="26"/>
    </row>
    <row r="847" customFormat="false" ht="15.75" hidden="false" customHeight="true" outlineLevel="0" collapsed="false">
      <c r="D847" s="26"/>
      <c r="E847" s="26"/>
      <c r="F847" s="26"/>
    </row>
    <row r="848" customFormat="false" ht="15.75" hidden="false" customHeight="true" outlineLevel="0" collapsed="false">
      <c r="D848" s="26"/>
      <c r="E848" s="26"/>
      <c r="F848" s="26"/>
    </row>
    <row r="849" customFormat="false" ht="15.75" hidden="false" customHeight="true" outlineLevel="0" collapsed="false">
      <c r="D849" s="26"/>
      <c r="E849" s="26"/>
      <c r="F849" s="26"/>
    </row>
    <row r="850" customFormat="false" ht="15.75" hidden="false" customHeight="true" outlineLevel="0" collapsed="false">
      <c r="D850" s="26"/>
      <c r="E850" s="26"/>
      <c r="F850" s="26"/>
    </row>
    <row r="851" customFormat="false" ht="15.75" hidden="false" customHeight="true" outlineLevel="0" collapsed="false">
      <c r="D851" s="26"/>
      <c r="E851" s="26"/>
      <c r="F851" s="26"/>
    </row>
    <row r="852" customFormat="false" ht="15.75" hidden="false" customHeight="true" outlineLevel="0" collapsed="false">
      <c r="D852" s="26"/>
      <c r="E852" s="26"/>
      <c r="F852" s="26"/>
    </row>
    <row r="853" customFormat="false" ht="15.75" hidden="false" customHeight="true" outlineLevel="0" collapsed="false">
      <c r="D853" s="26"/>
      <c r="E853" s="26"/>
      <c r="F853" s="26"/>
    </row>
    <row r="854" customFormat="false" ht="15.75" hidden="false" customHeight="true" outlineLevel="0" collapsed="false">
      <c r="D854" s="26"/>
      <c r="E854" s="26"/>
      <c r="F854" s="26"/>
    </row>
    <row r="855" customFormat="false" ht="15.75" hidden="false" customHeight="true" outlineLevel="0" collapsed="false">
      <c r="D855" s="26"/>
      <c r="E855" s="26"/>
      <c r="F855" s="26"/>
    </row>
    <row r="856" customFormat="false" ht="15.75" hidden="false" customHeight="true" outlineLevel="0" collapsed="false">
      <c r="D856" s="26"/>
      <c r="E856" s="26"/>
      <c r="F856" s="26"/>
    </row>
    <row r="857" customFormat="false" ht="15.75" hidden="false" customHeight="true" outlineLevel="0" collapsed="false">
      <c r="D857" s="26"/>
      <c r="E857" s="26"/>
      <c r="F857" s="26"/>
    </row>
    <row r="858" customFormat="false" ht="15.75" hidden="false" customHeight="true" outlineLevel="0" collapsed="false">
      <c r="D858" s="26"/>
      <c r="E858" s="26"/>
      <c r="F858" s="26"/>
    </row>
    <row r="859" customFormat="false" ht="15.75" hidden="false" customHeight="true" outlineLevel="0" collapsed="false">
      <c r="D859" s="26"/>
      <c r="E859" s="26"/>
      <c r="F859" s="26"/>
    </row>
    <row r="860" customFormat="false" ht="15.75" hidden="false" customHeight="true" outlineLevel="0" collapsed="false">
      <c r="D860" s="26"/>
      <c r="E860" s="26"/>
      <c r="F860" s="26"/>
    </row>
    <row r="861" customFormat="false" ht="15.75" hidden="false" customHeight="true" outlineLevel="0" collapsed="false">
      <c r="D861" s="26"/>
      <c r="E861" s="26"/>
      <c r="F861" s="26"/>
    </row>
    <row r="862" customFormat="false" ht="15.75" hidden="false" customHeight="true" outlineLevel="0" collapsed="false">
      <c r="D862" s="26"/>
      <c r="E862" s="26"/>
      <c r="F862" s="26"/>
    </row>
    <row r="863" customFormat="false" ht="15.75" hidden="false" customHeight="true" outlineLevel="0" collapsed="false">
      <c r="D863" s="26"/>
      <c r="E863" s="26"/>
      <c r="F863" s="26"/>
    </row>
    <row r="864" customFormat="false" ht="15.75" hidden="false" customHeight="true" outlineLevel="0" collapsed="false">
      <c r="D864" s="26"/>
      <c r="E864" s="26"/>
      <c r="F864" s="26"/>
    </row>
    <row r="865" customFormat="false" ht="15.75" hidden="false" customHeight="true" outlineLevel="0" collapsed="false">
      <c r="D865" s="26"/>
      <c r="E865" s="26"/>
      <c r="F865" s="26"/>
    </row>
    <row r="866" customFormat="false" ht="15.75" hidden="false" customHeight="true" outlineLevel="0" collapsed="false">
      <c r="D866" s="26"/>
      <c r="E866" s="26"/>
      <c r="F866" s="26"/>
    </row>
    <row r="867" customFormat="false" ht="15.75" hidden="false" customHeight="true" outlineLevel="0" collapsed="false">
      <c r="D867" s="26"/>
      <c r="E867" s="26"/>
      <c r="F867" s="26"/>
    </row>
    <row r="868" customFormat="false" ht="15.75" hidden="false" customHeight="true" outlineLevel="0" collapsed="false">
      <c r="D868" s="26"/>
      <c r="E868" s="26"/>
      <c r="F868" s="26"/>
    </row>
    <row r="869" customFormat="false" ht="15.75" hidden="false" customHeight="true" outlineLevel="0" collapsed="false">
      <c r="D869" s="26"/>
      <c r="E869" s="26"/>
      <c r="F869" s="26"/>
    </row>
    <row r="870" customFormat="false" ht="15.75" hidden="false" customHeight="true" outlineLevel="0" collapsed="false">
      <c r="D870" s="26"/>
      <c r="E870" s="26"/>
      <c r="F870" s="26"/>
    </row>
    <row r="871" customFormat="false" ht="15.75" hidden="false" customHeight="true" outlineLevel="0" collapsed="false">
      <c r="D871" s="26"/>
      <c r="E871" s="26"/>
      <c r="F871" s="26"/>
    </row>
    <row r="872" customFormat="false" ht="15.75" hidden="false" customHeight="true" outlineLevel="0" collapsed="false">
      <c r="D872" s="26"/>
      <c r="E872" s="26"/>
      <c r="F872" s="26"/>
    </row>
    <row r="873" customFormat="false" ht="15.75" hidden="false" customHeight="true" outlineLevel="0" collapsed="false">
      <c r="D873" s="26"/>
      <c r="E873" s="26"/>
      <c r="F873" s="26"/>
    </row>
    <row r="874" customFormat="false" ht="15.75" hidden="false" customHeight="true" outlineLevel="0" collapsed="false">
      <c r="D874" s="26"/>
      <c r="E874" s="26"/>
      <c r="F874" s="26"/>
    </row>
    <row r="875" customFormat="false" ht="15.75" hidden="false" customHeight="true" outlineLevel="0" collapsed="false">
      <c r="D875" s="26"/>
      <c r="E875" s="26"/>
      <c r="F875" s="26"/>
    </row>
    <row r="876" customFormat="false" ht="15.75" hidden="false" customHeight="true" outlineLevel="0" collapsed="false">
      <c r="D876" s="26"/>
      <c r="E876" s="26"/>
      <c r="F876" s="26"/>
    </row>
    <row r="877" customFormat="false" ht="15.75" hidden="false" customHeight="true" outlineLevel="0" collapsed="false">
      <c r="D877" s="26"/>
      <c r="E877" s="26"/>
      <c r="F877" s="26"/>
    </row>
    <row r="878" customFormat="false" ht="15.75" hidden="false" customHeight="true" outlineLevel="0" collapsed="false">
      <c r="D878" s="26"/>
      <c r="E878" s="26"/>
      <c r="F878" s="26"/>
    </row>
    <row r="879" customFormat="false" ht="15.75" hidden="false" customHeight="true" outlineLevel="0" collapsed="false">
      <c r="D879" s="26"/>
      <c r="E879" s="26"/>
      <c r="F879" s="26"/>
    </row>
    <row r="880" customFormat="false" ht="15.75" hidden="false" customHeight="true" outlineLevel="0" collapsed="false">
      <c r="D880" s="26"/>
      <c r="E880" s="26"/>
      <c r="F880" s="26"/>
    </row>
    <row r="881" customFormat="false" ht="15.75" hidden="false" customHeight="true" outlineLevel="0" collapsed="false">
      <c r="D881" s="26"/>
      <c r="E881" s="26"/>
      <c r="F881" s="26"/>
    </row>
    <row r="882" customFormat="false" ht="15.75" hidden="false" customHeight="true" outlineLevel="0" collapsed="false">
      <c r="D882" s="26"/>
      <c r="E882" s="26"/>
      <c r="F882" s="26"/>
    </row>
    <row r="883" customFormat="false" ht="15.75" hidden="false" customHeight="true" outlineLevel="0" collapsed="false">
      <c r="D883" s="26"/>
      <c r="E883" s="26"/>
      <c r="F883" s="26"/>
    </row>
    <row r="884" customFormat="false" ht="15.75" hidden="false" customHeight="true" outlineLevel="0" collapsed="false">
      <c r="D884" s="26"/>
      <c r="E884" s="26"/>
      <c r="F884" s="26"/>
    </row>
    <row r="885" customFormat="false" ht="15.75" hidden="false" customHeight="true" outlineLevel="0" collapsed="false">
      <c r="D885" s="26"/>
      <c r="E885" s="26"/>
      <c r="F885" s="26"/>
    </row>
    <row r="886" customFormat="false" ht="15.75" hidden="false" customHeight="true" outlineLevel="0" collapsed="false">
      <c r="D886" s="26"/>
      <c r="E886" s="26"/>
      <c r="F886" s="26"/>
    </row>
    <row r="887" customFormat="false" ht="15.75" hidden="false" customHeight="true" outlineLevel="0" collapsed="false">
      <c r="D887" s="26"/>
      <c r="E887" s="26"/>
      <c r="F887" s="26"/>
    </row>
    <row r="888" customFormat="false" ht="15.75" hidden="false" customHeight="true" outlineLevel="0" collapsed="false">
      <c r="D888" s="26"/>
      <c r="E888" s="26"/>
      <c r="F888" s="26"/>
    </row>
    <row r="889" customFormat="false" ht="15.75" hidden="false" customHeight="true" outlineLevel="0" collapsed="false">
      <c r="D889" s="26"/>
      <c r="E889" s="26"/>
      <c r="F889" s="26"/>
    </row>
    <row r="890" customFormat="false" ht="15.75" hidden="false" customHeight="true" outlineLevel="0" collapsed="false">
      <c r="D890" s="26"/>
      <c r="E890" s="26"/>
      <c r="F890" s="26"/>
    </row>
    <row r="891" customFormat="false" ht="15.75" hidden="false" customHeight="true" outlineLevel="0" collapsed="false">
      <c r="D891" s="26"/>
      <c r="E891" s="26"/>
      <c r="F891" s="26"/>
    </row>
    <row r="892" customFormat="false" ht="15.75" hidden="false" customHeight="true" outlineLevel="0" collapsed="false">
      <c r="D892" s="26"/>
      <c r="E892" s="26"/>
      <c r="F892" s="26"/>
    </row>
    <row r="893" customFormat="false" ht="15.75" hidden="false" customHeight="true" outlineLevel="0" collapsed="false">
      <c r="D893" s="26"/>
      <c r="E893" s="26"/>
      <c r="F893" s="26"/>
    </row>
    <row r="894" customFormat="false" ht="15.75" hidden="false" customHeight="true" outlineLevel="0" collapsed="false">
      <c r="D894" s="26"/>
      <c r="E894" s="26"/>
      <c r="F894" s="26"/>
    </row>
    <row r="895" customFormat="false" ht="15.75" hidden="false" customHeight="true" outlineLevel="0" collapsed="false">
      <c r="D895" s="26"/>
      <c r="E895" s="26"/>
      <c r="F895" s="26"/>
    </row>
    <row r="896" customFormat="false" ht="15.75" hidden="false" customHeight="true" outlineLevel="0" collapsed="false">
      <c r="D896" s="26"/>
      <c r="E896" s="26"/>
      <c r="F896" s="26"/>
    </row>
    <row r="897" customFormat="false" ht="15.75" hidden="false" customHeight="true" outlineLevel="0" collapsed="false">
      <c r="D897" s="26"/>
      <c r="E897" s="26"/>
      <c r="F897" s="26"/>
    </row>
    <row r="898" customFormat="false" ht="15.75" hidden="false" customHeight="true" outlineLevel="0" collapsed="false">
      <c r="D898" s="26"/>
      <c r="E898" s="26"/>
      <c r="F898" s="26"/>
    </row>
    <row r="899" customFormat="false" ht="15.75" hidden="false" customHeight="true" outlineLevel="0" collapsed="false">
      <c r="D899" s="26"/>
      <c r="E899" s="26"/>
      <c r="F899" s="26"/>
    </row>
    <row r="900" customFormat="false" ht="15.75" hidden="false" customHeight="true" outlineLevel="0" collapsed="false">
      <c r="D900" s="26"/>
      <c r="E900" s="26"/>
      <c r="F900" s="26"/>
    </row>
    <row r="901" customFormat="false" ht="15.75" hidden="false" customHeight="true" outlineLevel="0" collapsed="false">
      <c r="D901" s="26"/>
      <c r="E901" s="26"/>
      <c r="F901" s="26"/>
    </row>
    <row r="902" customFormat="false" ht="15.75" hidden="false" customHeight="true" outlineLevel="0" collapsed="false">
      <c r="D902" s="26"/>
      <c r="E902" s="26"/>
      <c r="F902" s="26"/>
    </row>
    <row r="903" customFormat="false" ht="15.75" hidden="false" customHeight="true" outlineLevel="0" collapsed="false">
      <c r="D903" s="26"/>
      <c r="E903" s="26"/>
      <c r="F903" s="26"/>
    </row>
    <row r="904" customFormat="false" ht="15.75" hidden="false" customHeight="true" outlineLevel="0" collapsed="false">
      <c r="D904" s="26"/>
      <c r="E904" s="26"/>
      <c r="F904" s="26"/>
    </row>
    <row r="905" customFormat="false" ht="15.75" hidden="false" customHeight="true" outlineLevel="0" collapsed="false">
      <c r="D905" s="26"/>
      <c r="E905" s="26"/>
      <c r="F905" s="26"/>
    </row>
    <row r="906" customFormat="false" ht="15.75" hidden="false" customHeight="true" outlineLevel="0" collapsed="false">
      <c r="D906" s="26"/>
      <c r="E906" s="26"/>
      <c r="F906" s="26"/>
    </row>
    <row r="907" customFormat="false" ht="15.75" hidden="false" customHeight="true" outlineLevel="0" collapsed="false">
      <c r="D907" s="26"/>
      <c r="E907" s="26"/>
      <c r="F907" s="26"/>
    </row>
    <row r="908" customFormat="false" ht="15.75" hidden="false" customHeight="true" outlineLevel="0" collapsed="false">
      <c r="D908" s="26"/>
      <c r="E908" s="26"/>
      <c r="F908" s="26"/>
    </row>
    <row r="909" customFormat="false" ht="15.75" hidden="false" customHeight="true" outlineLevel="0" collapsed="false">
      <c r="D909" s="26"/>
      <c r="E909" s="26"/>
      <c r="F909" s="26"/>
    </row>
    <row r="910" customFormat="false" ht="15.75" hidden="false" customHeight="true" outlineLevel="0" collapsed="false">
      <c r="D910" s="26"/>
      <c r="E910" s="26"/>
      <c r="F910" s="26"/>
    </row>
    <row r="911" customFormat="false" ht="15.75" hidden="false" customHeight="true" outlineLevel="0" collapsed="false">
      <c r="D911" s="26"/>
      <c r="E911" s="26"/>
      <c r="F911" s="26"/>
    </row>
    <row r="912" customFormat="false" ht="15.75" hidden="false" customHeight="true" outlineLevel="0" collapsed="false">
      <c r="D912" s="26"/>
      <c r="E912" s="26"/>
      <c r="F912" s="26"/>
    </row>
    <row r="913" customFormat="false" ht="15.75" hidden="false" customHeight="true" outlineLevel="0" collapsed="false">
      <c r="D913" s="26"/>
      <c r="E913" s="26"/>
      <c r="F913" s="26"/>
    </row>
    <row r="914" customFormat="false" ht="15.75" hidden="false" customHeight="true" outlineLevel="0" collapsed="false">
      <c r="D914" s="26"/>
      <c r="E914" s="26"/>
      <c r="F914" s="26"/>
    </row>
    <row r="915" customFormat="false" ht="15.75" hidden="false" customHeight="true" outlineLevel="0" collapsed="false">
      <c r="D915" s="26"/>
      <c r="E915" s="26"/>
      <c r="F915" s="26"/>
    </row>
    <row r="916" customFormat="false" ht="15.75" hidden="false" customHeight="true" outlineLevel="0" collapsed="false">
      <c r="D916" s="26"/>
      <c r="E916" s="26"/>
      <c r="F916" s="26"/>
    </row>
    <row r="917" customFormat="false" ht="15.75" hidden="false" customHeight="true" outlineLevel="0" collapsed="false">
      <c r="D917" s="26"/>
      <c r="E917" s="26"/>
      <c r="F917" s="26"/>
    </row>
    <row r="918" customFormat="false" ht="15.75" hidden="false" customHeight="true" outlineLevel="0" collapsed="false">
      <c r="D918" s="26"/>
      <c r="E918" s="26"/>
      <c r="F918" s="26"/>
    </row>
    <row r="919" customFormat="false" ht="15.75" hidden="false" customHeight="true" outlineLevel="0" collapsed="false">
      <c r="D919" s="26"/>
      <c r="E919" s="26"/>
      <c r="F919" s="26"/>
    </row>
    <row r="920" customFormat="false" ht="15.75" hidden="false" customHeight="true" outlineLevel="0" collapsed="false">
      <c r="D920" s="26"/>
      <c r="E920" s="26"/>
      <c r="F920" s="26"/>
    </row>
    <row r="921" customFormat="false" ht="15.75" hidden="false" customHeight="true" outlineLevel="0" collapsed="false">
      <c r="D921" s="26"/>
      <c r="E921" s="26"/>
      <c r="F921" s="26"/>
    </row>
    <row r="922" customFormat="false" ht="15.75" hidden="false" customHeight="true" outlineLevel="0" collapsed="false">
      <c r="D922" s="26"/>
      <c r="E922" s="26"/>
      <c r="F922" s="26"/>
    </row>
    <row r="923" customFormat="false" ht="15.75" hidden="false" customHeight="true" outlineLevel="0" collapsed="false">
      <c r="D923" s="26"/>
      <c r="E923" s="26"/>
      <c r="F923" s="26"/>
    </row>
    <row r="924" customFormat="false" ht="15.75" hidden="false" customHeight="true" outlineLevel="0" collapsed="false">
      <c r="D924" s="26"/>
      <c r="E924" s="26"/>
      <c r="F924" s="26"/>
    </row>
    <row r="925" customFormat="false" ht="15.75" hidden="false" customHeight="true" outlineLevel="0" collapsed="false">
      <c r="D925" s="26"/>
      <c r="E925" s="26"/>
      <c r="F925" s="26"/>
    </row>
    <row r="926" customFormat="false" ht="15.75" hidden="false" customHeight="true" outlineLevel="0" collapsed="false">
      <c r="D926" s="26"/>
      <c r="E926" s="26"/>
      <c r="F926" s="26"/>
    </row>
    <row r="927" customFormat="false" ht="15.75" hidden="false" customHeight="true" outlineLevel="0" collapsed="false">
      <c r="D927" s="26"/>
      <c r="E927" s="26"/>
      <c r="F927" s="26"/>
    </row>
    <row r="928" customFormat="false" ht="15.75" hidden="false" customHeight="true" outlineLevel="0" collapsed="false">
      <c r="D928" s="26"/>
      <c r="E928" s="26"/>
      <c r="F928" s="26"/>
    </row>
    <row r="929" customFormat="false" ht="15.75" hidden="false" customHeight="true" outlineLevel="0" collapsed="false">
      <c r="D929" s="26"/>
      <c r="E929" s="26"/>
      <c r="F929" s="26"/>
    </row>
    <row r="930" customFormat="false" ht="15.75" hidden="false" customHeight="true" outlineLevel="0" collapsed="false">
      <c r="D930" s="26"/>
      <c r="E930" s="26"/>
      <c r="F930" s="26"/>
    </row>
    <row r="931" customFormat="false" ht="15.75" hidden="false" customHeight="true" outlineLevel="0" collapsed="false">
      <c r="D931" s="26"/>
      <c r="E931" s="26"/>
      <c r="F931" s="26"/>
    </row>
    <row r="932" customFormat="false" ht="15.75" hidden="false" customHeight="true" outlineLevel="0" collapsed="false">
      <c r="D932" s="26"/>
      <c r="E932" s="26"/>
      <c r="F932" s="26"/>
    </row>
    <row r="933" customFormat="false" ht="15.75" hidden="false" customHeight="true" outlineLevel="0" collapsed="false">
      <c r="D933" s="26"/>
      <c r="E933" s="26"/>
      <c r="F933" s="26"/>
    </row>
    <row r="934" customFormat="false" ht="15.75" hidden="false" customHeight="true" outlineLevel="0" collapsed="false">
      <c r="D934" s="26"/>
      <c r="E934" s="26"/>
      <c r="F934" s="26"/>
    </row>
    <row r="935" customFormat="false" ht="15.75" hidden="false" customHeight="true" outlineLevel="0" collapsed="false">
      <c r="D935" s="26"/>
      <c r="E935" s="26"/>
      <c r="F935" s="26"/>
    </row>
    <row r="936" customFormat="false" ht="15.75" hidden="false" customHeight="true" outlineLevel="0" collapsed="false">
      <c r="D936" s="26"/>
      <c r="E936" s="26"/>
      <c r="F936" s="26"/>
    </row>
    <row r="937" customFormat="false" ht="15.75" hidden="false" customHeight="true" outlineLevel="0" collapsed="false">
      <c r="D937" s="26"/>
      <c r="E937" s="26"/>
      <c r="F937" s="26"/>
    </row>
    <row r="938" customFormat="false" ht="15.75" hidden="false" customHeight="true" outlineLevel="0" collapsed="false">
      <c r="D938" s="26"/>
      <c r="E938" s="26"/>
      <c r="F938" s="26"/>
    </row>
    <row r="939" customFormat="false" ht="15.75" hidden="false" customHeight="true" outlineLevel="0" collapsed="false">
      <c r="D939" s="26"/>
      <c r="E939" s="26"/>
      <c r="F939" s="26"/>
    </row>
    <row r="940" customFormat="false" ht="15.75" hidden="false" customHeight="true" outlineLevel="0" collapsed="false">
      <c r="D940" s="26"/>
      <c r="E940" s="26"/>
      <c r="F940" s="26"/>
    </row>
    <row r="941" customFormat="false" ht="15.75" hidden="false" customHeight="true" outlineLevel="0" collapsed="false">
      <c r="D941" s="26"/>
      <c r="E941" s="26"/>
      <c r="F941" s="26"/>
    </row>
    <row r="942" customFormat="false" ht="15.75" hidden="false" customHeight="true" outlineLevel="0" collapsed="false">
      <c r="D942" s="26"/>
      <c r="E942" s="26"/>
      <c r="F942" s="26"/>
    </row>
    <row r="943" customFormat="false" ht="15.75" hidden="false" customHeight="true" outlineLevel="0" collapsed="false">
      <c r="D943" s="26"/>
      <c r="E943" s="26"/>
      <c r="F943" s="26"/>
    </row>
    <row r="944" customFormat="false" ht="15.75" hidden="false" customHeight="true" outlineLevel="0" collapsed="false">
      <c r="D944" s="26"/>
      <c r="E944" s="26"/>
      <c r="F944" s="26"/>
    </row>
    <row r="945" customFormat="false" ht="15.75" hidden="false" customHeight="true" outlineLevel="0" collapsed="false">
      <c r="D945" s="26"/>
      <c r="E945" s="26"/>
      <c r="F945" s="26"/>
    </row>
    <row r="946" customFormat="false" ht="15.75" hidden="false" customHeight="true" outlineLevel="0" collapsed="false">
      <c r="D946" s="26"/>
      <c r="E946" s="26"/>
      <c r="F946" s="26"/>
    </row>
    <row r="947" customFormat="false" ht="15.75" hidden="false" customHeight="true" outlineLevel="0" collapsed="false">
      <c r="D947" s="26"/>
      <c r="E947" s="26"/>
      <c r="F947" s="26"/>
    </row>
    <row r="948" customFormat="false" ht="15.75" hidden="false" customHeight="true" outlineLevel="0" collapsed="false">
      <c r="D948" s="26"/>
      <c r="E948" s="26"/>
      <c r="F948" s="26"/>
    </row>
    <row r="949" customFormat="false" ht="15.75" hidden="false" customHeight="true" outlineLevel="0" collapsed="false">
      <c r="D949" s="26"/>
      <c r="E949" s="26"/>
      <c r="F949" s="26"/>
    </row>
    <row r="950" customFormat="false" ht="15.75" hidden="false" customHeight="true" outlineLevel="0" collapsed="false">
      <c r="D950" s="26"/>
      <c r="E950" s="26"/>
      <c r="F950" s="26"/>
    </row>
    <row r="951" customFormat="false" ht="15.75" hidden="false" customHeight="true" outlineLevel="0" collapsed="false">
      <c r="D951" s="26"/>
      <c r="E951" s="26"/>
      <c r="F951" s="26"/>
    </row>
    <row r="952" customFormat="false" ht="15.75" hidden="false" customHeight="true" outlineLevel="0" collapsed="false">
      <c r="D952" s="26"/>
      <c r="E952" s="26"/>
      <c r="F952" s="26"/>
    </row>
    <row r="953" customFormat="false" ht="15.75" hidden="false" customHeight="true" outlineLevel="0" collapsed="false">
      <c r="D953" s="26"/>
      <c r="E953" s="26"/>
      <c r="F953" s="26"/>
    </row>
    <row r="954" customFormat="false" ht="15.75" hidden="false" customHeight="true" outlineLevel="0" collapsed="false">
      <c r="D954" s="26"/>
      <c r="E954" s="26"/>
      <c r="F954" s="26"/>
    </row>
    <row r="955" customFormat="false" ht="15.75" hidden="false" customHeight="true" outlineLevel="0" collapsed="false">
      <c r="D955" s="26"/>
      <c r="E955" s="26"/>
      <c r="F955" s="26"/>
    </row>
    <row r="956" customFormat="false" ht="15.75" hidden="false" customHeight="true" outlineLevel="0" collapsed="false">
      <c r="D956" s="26"/>
      <c r="E956" s="26"/>
      <c r="F956" s="26"/>
    </row>
    <row r="957" customFormat="false" ht="15.75" hidden="false" customHeight="true" outlineLevel="0" collapsed="false">
      <c r="D957" s="26"/>
      <c r="E957" s="26"/>
      <c r="F957" s="26"/>
    </row>
    <row r="958" customFormat="false" ht="15.75" hidden="false" customHeight="true" outlineLevel="0" collapsed="false">
      <c r="D958" s="26"/>
      <c r="E958" s="26"/>
      <c r="F958" s="26"/>
    </row>
    <row r="959" customFormat="false" ht="15.75" hidden="false" customHeight="true" outlineLevel="0" collapsed="false">
      <c r="D959" s="26"/>
      <c r="E959" s="26"/>
      <c r="F959" s="26"/>
    </row>
    <row r="960" customFormat="false" ht="15.75" hidden="false" customHeight="true" outlineLevel="0" collapsed="false">
      <c r="D960" s="26"/>
      <c r="E960" s="26"/>
      <c r="F960" s="26"/>
    </row>
    <row r="961" customFormat="false" ht="15.75" hidden="false" customHeight="true" outlineLevel="0" collapsed="false">
      <c r="D961" s="26"/>
      <c r="E961" s="26"/>
      <c r="F961" s="26"/>
    </row>
    <row r="962" customFormat="false" ht="15.75" hidden="false" customHeight="true" outlineLevel="0" collapsed="false">
      <c r="D962" s="26"/>
      <c r="E962" s="26"/>
      <c r="F962" s="26"/>
    </row>
    <row r="963" customFormat="false" ht="15.75" hidden="false" customHeight="true" outlineLevel="0" collapsed="false">
      <c r="D963" s="26"/>
      <c r="E963" s="26"/>
      <c r="F963" s="26"/>
    </row>
    <row r="964" customFormat="false" ht="15.75" hidden="false" customHeight="true" outlineLevel="0" collapsed="false">
      <c r="D964" s="26"/>
      <c r="E964" s="26"/>
      <c r="F964" s="26"/>
    </row>
    <row r="965" customFormat="false" ht="15.75" hidden="false" customHeight="true" outlineLevel="0" collapsed="false">
      <c r="D965" s="26"/>
      <c r="E965" s="26"/>
      <c r="F965" s="26"/>
    </row>
    <row r="966" customFormat="false" ht="15.75" hidden="false" customHeight="true" outlineLevel="0" collapsed="false">
      <c r="D966" s="26"/>
      <c r="E966" s="26"/>
      <c r="F966" s="26"/>
    </row>
    <row r="967" customFormat="false" ht="15.75" hidden="false" customHeight="true" outlineLevel="0" collapsed="false">
      <c r="D967" s="26"/>
      <c r="E967" s="26"/>
      <c r="F967" s="26"/>
    </row>
    <row r="968" customFormat="false" ht="15.75" hidden="false" customHeight="true" outlineLevel="0" collapsed="false">
      <c r="D968" s="26"/>
      <c r="E968" s="26"/>
      <c r="F968" s="26"/>
    </row>
    <row r="969" customFormat="false" ht="15.75" hidden="false" customHeight="true" outlineLevel="0" collapsed="false">
      <c r="D969" s="26"/>
      <c r="E969" s="26"/>
      <c r="F969" s="26"/>
    </row>
    <row r="970" customFormat="false" ht="15.75" hidden="false" customHeight="true" outlineLevel="0" collapsed="false">
      <c r="D970" s="26"/>
      <c r="E970" s="26"/>
      <c r="F970" s="26"/>
    </row>
    <row r="971" customFormat="false" ht="15.75" hidden="false" customHeight="true" outlineLevel="0" collapsed="false">
      <c r="D971" s="26"/>
      <c r="E971" s="26"/>
      <c r="F971" s="26"/>
    </row>
    <row r="972" customFormat="false" ht="15.75" hidden="false" customHeight="true" outlineLevel="0" collapsed="false">
      <c r="D972" s="26"/>
      <c r="E972" s="26"/>
      <c r="F972" s="26"/>
    </row>
    <row r="973" customFormat="false" ht="15.75" hidden="false" customHeight="true" outlineLevel="0" collapsed="false">
      <c r="D973" s="26"/>
      <c r="E973" s="26"/>
      <c r="F973" s="26"/>
    </row>
    <row r="974" customFormat="false" ht="15.75" hidden="false" customHeight="true" outlineLevel="0" collapsed="false">
      <c r="D974" s="26"/>
      <c r="E974" s="26"/>
      <c r="F974" s="26"/>
    </row>
    <row r="975" customFormat="false" ht="15.75" hidden="false" customHeight="true" outlineLevel="0" collapsed="false">
      <c r="D975" s="26"/>
      <c r="E975" s="26"/>
      <c r="F975" s="26"/>
    </row>
    <row r="976" customFormat="false" ht="15.75" hidden="false" customHeight="true" outlineLevel="0" collapsed="false">
      <c r="D976" s="26"/>
      <c r="E976" s="26"/>
      <c r="F976" s="26"/>
    </row>
    <row r="977" customFormat="false" ht="15.75" hidden="false" customHeight="true" outlineLevel="0" collapsed="false">
      <c r="D977" s="26"/>
      <c r="E977" s="26"/>
      <c r="F977" s="26"/>
    </row>
    <row r="978" customFormat="false" ht="15.75" hidden="false" customHeight="true" outlineLevel="0" collapsed="false">
      <c r="D978" s="26"/>
      <c r="E978" s="26"/>
      <c r="F978" s="26"/>
    </row>
    <row r="979" customFormat="false" ht="15.75" hidden="false" customHeight="true" outlineLevel="0" collapsed="false">
      <c r="D979" s="26"/>
      <c r="E979" s="26"/>
      <c r="F979" s="26"/>
    </row>
    <row r="980" customFormat="false" ht="15.75" hidden="false" customHeight="true" outlineLevel="0" collapsed="false">
      <c r="D980" s="26"/>
      <c r="E980" s="26"/>
      <c r="F980" s="26"/>
    </row>
    <row r="981" customFormat="false" ht="15.75" hidden="false" customHeight="true" outlineLevel="0" collapsed="false">
      <c r="D981" s="26"/>
      <c r="E981" s="26"/>
      <c r="F981" s="26"/>
    </row>
    <row r="982" customFormat="false" ht="15.75" hidden="false" customHeight="true" outlineLevel="0" collapsed="false">
      <c r="D982" s="26"/>
      <c r="E982" s="26"/>
      <c r="F982" s="26"/>
    </row>
    <row r="983" customFormat="false" ht="15.75" hidden="false" customHeight="true" outlineLevel="0" collapsed="false">
      <c r="D983" s="26"/>
      <c r="E983" s="26"/>
      <c r="F983" s="26"/>
    </row>
    <row r="984" customFormat="false" ht="15.75" hidden="false" customHeight="true" outlineLevel="0" collapsed="false">
      <c r="D984" s="26"/>
      <c r="E984" s="26"/>
      <c r="F984" s="26"/>
    </row>
    <row r="985" customFormat="false" ht="15.75" hidden="false" customHeight="true" outlineLevel="0" collapsed="false">
      <c r="D985" s="26"/>
      <c r="E985" s="26"/>
      <c r="F985" s="26"/>
    </row>
    <row r="986" customFormat="false" ht="15.75" hidden="false" customHeight="true" outlineLevel="0" collapsed="false">
      <c r="D986" s="26"/>
      <c r="E986" s="26"/>
      <c r="F986" s="26"/>
    </row>
    <row r="987" customFormat="false" ht="15.75" hidden="false" customHeight="true" outlineLevel="0" collapsed="false">
      <c r="D987" s="26"/>
      <c r="E987" s="26"/>
      <c r="F987" s="26"/>
    </row>
    <row r="988" customFormat="false" ht="15.75" hidden="false" customHeight="true" outlineLevel="0" collapsed="false">
      <c r="D988" s="26"/>
      <c r="E988" s="26"/>
      <c r="F988" s="26"/>
    </row>
    <row r="989" customFormat="false" ht="15.75" hidden="false" customHeight="true" outlineLevel="0" collapsed="false">
      <c r="D989" s="26"/>
      <c r="E989" s="26"/>
      <c r="F989" s="26"/>
    </row>
    <row r="990" customFormat="false" ht="15.75" hidden="false" customHeight="true" outlineLevel="0" collapsed="false">
      <c r="D990" s="26"/>
      <c r="E990" s="26"/>
      <c r="F990" s="26"/>
    </row>
    <row r="991" customFormat="false" ht="15.75" hidden="false" customHeight="true" outlineLevel="0" collapsed="false">
      <c r="D991" s="26"/>
      <c r="E991" s="26"/>
      <c r="F991" s="26"/>
    </row>
    <row r="992" customFormat="false" ht="15.75" hidden="false" customHeight="true" outlineLevel="0" collapsed="false">
      <c r="D992" s="26"/>
      <c r="E992" s="26"/>
      <c r="F992" s="26"/>
    </row>
    <row r="993" customFormat="false" ht="15.75" hidden="false" customHeight="true" outlineLevel="0" collapsed="false">
      <c r="D993" s="26"/>
      <c r="E993" s="26"/>
      <c r="F993" s="26"/>
    </row>
    <row r="994" customFormat="false" ht="15.75" hidden="false" customHeight="true" outlineLevel="0" collapsed="false">
      <c r="D994" s="26"/>
      <c r="E994" s="26"/>
      <c r="F994" s="26"/>
    </row>
    <row r="995" customFormat="false" ht="15.75" hidden="false" customHeight="true" outlineLevel="0" collapsed="false">
      <c r="D995" s="26"/>
      <c r="E995" s="26"/>
      <c r="F995" s="26"/>
    </row>
    <row r="996" customFormat="false" ht="15.75" hidden="false" customHeight="true" outlineLevel="0" collapsed="false">
      <c r="D996" s="26"/>
      <c r="E996" s="26"/>
      <c r="F996" s="26"/>
    </row>
    <row r="997" customFormat="false" ht="15.75" hidden="false" customHeight="true" outlineLevel="0" collapsed="false">
      <c r="D997" s="26"/>
      <c r="E997" s="26"/>
      <c r="F997" s="26"/>
    </row>
    <row r="998" customFormat="false" ht="15.75" hidden="false" customHeight="true" outlineLevel="0" collapsed="false">
      <c r="D998" s="26"/>
      <c r="E998" s="26"/>
      <c r="F998" s="26"/>
    </row>
    <row r="999" customFormat="false" ht="15.75" hidden="false" customHeight="true" outlineLevel="0" collapsed="false">
      <c r="D999" s="26"/>
      <c r="E999" s="26"/>
      <c r="F999" s="26"/>
    </row>
    <row r="1000" customFormat="false" ht="15.75" hidden="false" customHeight="true" outlineLevel="0" collapsed="false">
      <c r="D1000" s="26"/>
      <c r="E1000" s="26"/>
      <c r="F1000" s="26"/>
    </row>
  </sheetData>
  <mergeCells count="18">
    <mergeCell ref="C4:F4"/>
    <mergeCell ref="D6:E6"/>
    <mergeCell ref="C8:F8"/>
    <mergeCell ref="C14:F14"/>
    <mergeCell ref="C15:F15"/>
    <mergeCell ref="C21:F21"/>
    <mergeCell ref="C26:F26"/>
    <mergeCell ref="C30:F30"/>
    <mergeCell ref="C34:F34"/>
    <mergeCell ref="C39:F39"/>
    <mergeCell ref="C47:F47"/>
    <mergeCell ref="C51:F51"/>
    <mergeCell ref="C52:F52"/>
    <mergeCell ref="I53:J53"/>
    <mergeCell ref="I54:J54"/>
    <mergeCell ref="C63:F63"/>
    <mergeCell ref="C64:F64"/>
    <mergeCell ref="I64:J6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xr2:uid="{00000000-0003-0000-0100-000000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'!N6:N20</xm:f>
              <xm:sqref>N4</xm:sqref>
            </x14:sparkline>
          </x14:sparklines>
        </x14:sparklineGroup>
        <x14:sparklineGroup xr2:uid="{00000000-0003-0000-0100-000001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'!O6:O20</xm:f>
              <xm:sqref>O4</xm:sqref>
            </x14:sparkline>
          </x14:sparklines>
        </x14:sparklineGroup>
        <x14:sparklineGroup xr2:uid="{00000000-0003-0000-0100-000002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'!P6:P20</xm:f>
              <xm:sqref>P4</xm:sqref>
            </x14:sparkline>
          </x14:sparklines>
        </x14:sparklineGroup>
        <x14:sparklineGroup xr2:uid="{00000000-0003-0000-0100-000003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'!Q6:Q20</xm:f>
              <xm:sqref>Q4</xm:sqref>
            </x14:sparkline>
          </x14:sparklines>
        </x14:sparklineGroup>
        <x14:sparklineGroup xr2:uid="{00000000-0003-0000-0100-000004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'!R6:R20</xm:f>
              <xm:sqref>R4</xm:sqref>
            </x14:sparkline>
          </x14:sparklines>
        </x14:sparklineGroup>
        <x14:sparklineGroup xr2:uid="{00000000-0003-0000-0100-000005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'!S6:S20</xm:f>
              <xm:sqref>S4</xm:sqref>
            </x14:sparkline>
          </x14:sparklines>
        </x14:sparklineGroup>
        <x14:sparklineGroup xr2:uid="{00000000-0003-0000-0100-000006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'!T6:T20</xm:f>
              <xm:sqref>T4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7.67"/>
    <col collapsed="false" customWidth="true" hidden="false" outlineLevel="0" max="26" min="2" style="1" width="10.66"/>
  </cols>
  <sheetData>
    <row r="1" customFormat="false" ht="15" hidden="false" customHeight="false" outlineLevel="0" collapsed="false">
      <c r="A1" s="16" t="s">
        <v>87</v>
      </c>
      <c r="B1" s="84" t="n">
        <v>0</v>
      </c>
      <c r="C1" s="85" t="n">
        <v>0</v>
      </c>
      <c r="D1" s="85" t="n">
        <v>0</v>
      </c>
      <c r="E1" s="86" t="n">
        <v>0</v>
      </c>
    </row>
    <row r="2" customFormat="false" ht="15" hidden="false" customHeight="false" outlineLevel="0" collapsed="false">
      <c r="A2" s="16" t="s">
        <v>88</v>
      </c>
      <c r="B2" s="84" t="n">
        <v>35808.82</v>
      </c>
      <c r="C2" s="85" t="n">
        <v>0.441342081414351</v>
      </c>
      <c r="D2" s="85" t="n">
        <v>0.40327125984252</v>
      </c>
      <c r="E2" s="86" t="n">
        <v>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4.5078125" defaultRowHeight="15" zeroHeight="false" outlineLevelRow="0" outlineLevelCol="0"/>
  <cols>
    <col collapsed="false" customWidth="true" hidden="false" outlineLevel="0" max="26" min="1" style="1" width="10.66"/>
  </cols>
  <sheetData>
    <row r="1" customFormat="false" ht="15" hidden="false" customHeight="false" outlineLevel="0" collapsed="false">
      <c r="A1" s="16" t="n">
        <v>0</v>
      </c>
      <c r="B1" s="16" t="n">
        <v>0</v>
      </c>
      <c r="C1" s="16" t="n">
        <v>0</v>
      </c>
      <c r="D1" s="16" t="n">
        <v>0</v>
      </c>
      <c r="E1" s="16" t="n">
        <v>0</v>
      </c>
      <c r="F1" s="16" t="n">
        <v>0</v>
      </c>
    </row>
    <row r="2" customFormat="false" ht="15" hidden="false" customHeight="false" outlineLevel="0" collapsed="false">
      <c r="A2" s="16" t="n">
        <v>68993</v>
      </c>
      <c r="B2" s="16" t="n">
        <v>66085.374488</v>
      </c>
      <c r="C2" s="16" t="n">
        <v>53.5266</v>
      </c>
      <c r="D2" s="16" t="n">
        <v>50.486596686</v>
      </c>
      <c r="E2" s="16" t="n">
        <v>48.8527</v>
      </c>
      <c r="F2" s="16" t="n">
        <v>47.334075249</v>
      </c>
    </row>
    <row r="3" customFormat="false" ht="15" hidden="false" customHeight="false" outlineLevel="0" collapsed="false">
      <c r="A3" s="16" t="n">
        <v>10719.6</v>
      </c>
      <c r="B3" s="16" t="n">
        <v>10638.742332</v>
      </c>
      <c r="C3" s="16" t="n">
        <v>55.2907</v>
      </c>
      <c r="D3" s="16" t="n">
        <v>54.764364774</v>
      </c>
      <c r="E3" s="16" t="n">
        <v>50.3181</v>
      </c>
      <c r="F3" s="16" t="n">
        <v>50.063667929</v>
      </c>
    </row>
    <row r="4" customFormat="false" ht="15" hidden="false" customHeight="false" outlineLevel="0" collapsed="false">
      <c r="A4" s="16" t="n">
        <v>22667.152</v>
      </c>
      <c r="B4" s="16" t="n">
        <v>23736.495548</v>
      </c>
      <c r="C4" s="16" t="n">
        <v>60.589</v>
      </c>
      <c r="D4" s="16" t="n">
        <v>60.202205505</v>
      </c>
      <c r="E4" s="16" t="n">
        <v>59.2212</v>
      </c>
      <c r="F4" s="16" t="n">
        <v>59.490575227</v>
      </c>
    </row>
    <row r="5" customFormat="false" ht="15" hidden="false" customHeight="false" outlineLevel="0" collapsed="false">
      <c r="A5" s="16" t="n">
        <v>2867</v>
      </c>
      <c r="B5" s="16" t="n">
        <v>2857.2055475</v>
      </c>
      <c r="C5" s="16" t="n">
        <v>60.589</v>
      </c>
      <c r="D5" s="16" t="n">
        <v>60.802643126</v>
      </c>
      <c r="E5" s="16" t="n">
        <v>59.2212</v>
      </c>
      <c r="F5" s="16" t="n">
        <v>59.284036394</v>
      </c>
    </row>
    <row r="6" customFormat="false" ht="15" hidden="false" customHeight="false" outlineLevel="0" collapsed="false">
      <c r="A6" s="16" t="n">
        <v>0</v>
      </c>
      <c r="B6" s="16" t="n">
        <v>0</v>
      </c>
      <c r="C6" s="16" t="n">
        <v>0</v>
      </c>
      <c r="D6" s="16" t="n">
        <v>0</v>
      </c>
      <c r="E6" s="16" t="n">
        <v>0</v>
      </c>
      <c r="F6" s="16" t="n">
        <v>0</v>
      </c>
    </row>
    <row r="7" customFormat="false" ht="15" hidden="false" customHeight="false" outlineLevel="0" collapsed="false">
      <c r="A7" s="16" t="n">
        <v>20879.29</v>
      </c>
      <c r="B7" s="16" t="n">
        <v>20879.29</v>
      </c>
      <c r="C7" s="16" t="n">
        <v>58.49</v>
      </c>
      <c r="D7" s="16" t="n">
        <v>60.120039194</v>
      </c>
      <c r="E7" s="16" t="n">
        <v>59.2212</v>
      </c>
      <c r="F7" s="16" t="n">
        <v>59.518838802</v>
      </c>
    </row>
    <row r="8" customFormat="false" ht="15" hidden="false" customHeight="false" outlineLevel="0" collapsed="false">
      <c r="A8" s="16" t="n">
        <v>18314.104</v>
      </c>
      <c r="B8" s="16" t="n">
        <v>16442.96025</v>
      </c>
      <c r="C8" s="16" t="n">
        <v>60.2156</v>
      </c>
      <c r="D8" s="16" t="n">
        <v>60.60561106</v>
      </c>
      <c r="E8" s="16" t="n">
        <v>58.6225</v>
      </c>
      <c r="F8" s="16" t="n">
        <v>58.889043143</v>
      </c>
    </row>
    <row r="9" customFormat="false" ht="15" hidden="false" customHeight="false" outlineLevel="0" collapsed="false">
      <c r="A9" s="16" t="n">
        <v>212</v>
      </c>
      <c r="B9" s="16" t="n">
        <v>212.29024952</v>
      </c>
      <c r="C9" s="16" t="n">
        <v>60.06</v>
      </c>
      <c r="D9" s="16" t="n">
        <v>60.06521693</v>
      </c>
      <c r="E9" s="16" t="n">
        <v>58.6225</v>
      </c>
      <c r="F9" s="16" t="n">
        <v>58.630464984</v>
      </c>
    </row>
    <row r="10" customFormat="false" ht="15" hidden="false" customHeight="false" outlineLevel="0" collapsed="false">
      <c r="A10" s="16" t="n">
        <v>0</v>
      </c>
      <c r="B10" s="16" t="n">
        <v>0</v>
      </c>
      <c r="C10" s="16" t="n">
        <v>0</v>
      </c>
      <c r="D10" s="16" t="n">
        <v>0</v>
      </c>
      <c r="E10" s="16" t="n">
        <v>0</v>
      </c>
      <c r="F10" s="16" t="n">
        <v>0</v>
      </c>
    </row>
    <row r="11" customFormat="false" ht="15" hidden="false" customHeight="false" outlineLevel="0" collapsed="false">
      <c r="A11" s="16" t="n">
        <v>16230.67</v>
      </c>
      <c r="B11" s="16" t="n">
        <v>16230.67</v>
      </c>
      <c r="C11" s="16" t="n">
        <v>60.06</v>
      </c>
      <c r="D11" s="16" t="n">
        <v>60.612679185</v>
      </c>
      <c r="E11" s="16" t="n">
        <v>58.6225</v>
      </c>
      <c r="F11" s="16" t="n">
        <v>58.892425235</v>
      </c>
    </row>
    <row r="12" customFormat="false" ht="15" hidden="false" customHeight="false" outlineLevel="0" collapsed="false">
      <c r="A12" s="16" t="n">
        <v>13136</v>
      </c>
      <c r="B12" s="16" t="n">
        <v>4229.8487616</v>
      </c>
      <c r="C12" s="16" t="n">
        <v>35.7814</v>
      </c>
      <c r="D12" s="16" t="n">
        <v>35.829297645</v>
      </c>
      <c r="E12" s="16" t="n">
        <v>32.1851</v>
      </c>
      <c r="F12" s="16" t="n">
        <v>32.208141522</v>
      </c>
    </row>
    <row r="13" customFormat="false" ht="15" hidden="false" customHeight="false" outlineLevel="0" collapsed="false">
      <c r="A13" s="16" t="n">
        <v>-478</v>
      </c>
      <c r="B13" s="16" t="n">
        <v>-466.1512384</v>
      </c>
      <c r="C13" s="16" t="n">
        <v>35.7814</v>
      </c>
      <c r="D13" s="16" t="n">
        <v>35.777141284</v>
      </c>
      <c r="E13" s="16" t="n">
        <v>32.1851</v>
      </c>
      <c r="F13" s="16" t="n">
        <v>32.183353779</v>
      </c>
    </row>
    <row r="14" customFormat="false" ht="15" hidden="false" customHeight="false" outlineLevel="0" collapsed="false">
      <c r="A14" s="16" t="n">
        <v>4696</v>
      </c>
      <c r="B14" s="16" t="n">
        <v>4696</v>
      </c>
      <c r="C14" s="16" t="n">
        <v>35.7814</v>
      </c>
      <c r="D14" s="16" t="n">
        <v>35.824120328</v>
      </c>
      <c r="E14" s="16" t="n">
        <v>32.1851</v>
      </c>
      <c r="F14" s="16" t="n">
        <v>32.205680966</v>
      </c>
    </row>
    <row r="15" customFormat="false" ht="15" hidden="false" customHeight="false" outlineLevel="0" collapsed="false">
      <c r="A15" s="16" t="n">
        <v>25816</v>
      </c>
      <c r="B15" s="16" t="n">
        <v>32314.812261</v>
      </c>
      <c r="C15" s="16" t="n">
        <v>41.16</v>
      </c>
      <c r="D15" s="16" t="n">
        <v>41.528078761</v>
      </c>
      <c r="E15" s="16" t="n">
        <v>32.1851</v>
      </c>
      <c r="F15" s="16" t="n">
        <v>35.40361</v>
      </c>
    </row>
    <row r="16" customFormat="false" ht="15" hidden="false" customHeight="false" outlineLevel="0" collapsed="false">
      <c r="A16" s="16" t="n">
        <v>528</v>
      </c>
      <c r="B16" s="16" t="n">
        <v>5438.3422614</v>
      </c>
      <c r="C16" s="16" t="n">
        <v>41.16</v>
      </c>
      <c r="D16" s="16" t="n">
        <v>41.245840203</v>
      </c>
      <c r="E16" s="16" t="n">
        <v>37.6</v>
      </c>
      <c r="F16" s="16" t="n">
        <v>33.84</v>
      </c>
    </row>
    <row r="17" customFormat="false" ht="15" hidden="false" customHeight="false" outlineLevel="0" collapsed="false">
      <c r="A17" s="16" t="n">
        <v>26876.47</v>
      </c>
      <c r="B17" s="16" t="n">
        <v>26876.47</v>
      </c>
      <c r="C17" s="16" t="n">
        <v>41.16</v>
      </c>
      <c r="D17" s="16" t="n">
        <v>41.585188563</v>
      </c>
      <c r="E17" s="16" t="n">
        <v>37.6</v>
      </c>
      <c r="F17" s="16" t="n">
        <v>35.72</v>
      </c>
    </row>
    <row r="18" customFormat="false" ht="15" hidden="false" customHeight="false" outlineLevel="0" collapsed="false">
      <c r="A18" s="87" t="n">
        <v>26924</v>
      </c>
      <c r="B18" s="87" t="n">
        <v>30400.126227</v>
      </c>
      <c r="C18" s="87" t="n">
        <v>44.1342</v>
      </c>
      <c r="D18" s="87" t="n">
        <v>39.72078</v>
      </c>
      <c r="E18" s="87" t="n">
        <v>40.3271</v>
      </c>
      <c r="F18" s="87" t="n">
        <v>36.29439</v>
      </c>
    </row>
    <row r="19" customFormat="false" ht="15" hidden="false" customHeight="false" outlineLevel="0" collapsed="false">
      <c r="A19" s="87" t="n">
        <v>9033</v>
      </c>
      <c r="B19" s="87" t="n">
        <v>9417.4995074</v>
      </c>
      <c r="C19" s="87" t="n">
        <v>42.4686</v>
      </c>
      <c r="D19" s="87" t="n">
        <v>40.655721847</v>
      </c>
      <c r="E19" s="87" t="n">
        <v>37.3831</v>
      </c>
      <c r="F19" s="87" t="n">
        <v>36.106455251</v>
      </c>
    </row>
    <row r="20" customFormat="false" ht="15" hidden="false" customHeight="false" outlineLevel="0" collapsed="false">
      <c r="A20" s="87" t="n">
        <v>100</v>
      </c>
      <c r="B20" s="87" t="n">
        <v>100.04235959</v>
      </c>
      <c r="C20" s="87" t="n">
        <v>43.4686</v>
      </c>
      <c r="D20" s="87" t="n">
        <v>43.449836238</v>
      </c>
      <c r="E20" s="87" t="n">
        <v>38.3831</v>
      </c>
      <c r="F20" s="87" t="n">
        <v>38.36783845</v>
      </c>
    </row>
    <row r="21" customFormat="false" ht="15.75" hidden="false" customHeight="true" outlineLevel="0" collapsed="false">
      <c r="A21" s="87" t="n">
        <v>19699.46</v>
      </c>
      <c r="B21" s="87" t="n">
        <v>19699.439776</v>
      </c>
      <c r="C21" s="87" t="n">
        <v>46.24</v>
      </c>
      <c r="D21" s="87" t="n">
        <v>48.497917266</v>
      </c>
      <c r="E21" s="87" t="n">
        <v>43.38</v>
      </c>
      <c r="F21" s="87" t="n">
        <v>45.184507575</v>
      </c>
    </row>
    <row r="22" customFormat="false" ht="15.75" hidden="false" customHeight="true" outlineLevel="0" collapsed="false">
      <c r="A22" s="87" t="n">
        <v>-80</v>
      </c>
      <c r="B22" s="87" t="n">
        <v>-80.020224414</v>
      </c>
      <c r="C22" s="87" t="n">
        <v>46.24</v>
      </c>
      <c r="D22" s="87" t="n">
        <v>46.22979092</v>
      </c>
      <c r="E22" s="87" t="n">
        <v>43.38</v>
      </c>
      <c r="F22" s="87" t="n">
        <v>43.373689298</v>
      </c>
    </row>
    <row r="23" customFormat="false" ht="15.75" hidden="false" customHeight="true" outlineLevel="0" collapsed="false">
      <c r="A23" s="87" t="n">
        <v>19779.46</v>
      </c>
      <c r="B23" s="87" t="n">
        <v>19779.46</v>
      </c>
      <c r="C23" s="87" t="n">
        <v>46.24</v>
      </c>
      <c r="D23" s="87" t="n">
        <v>48.488741283</v>
      </c>
      <c r="E23" s="87" t="n">
        <v>43.38</v>
      </c>
      <c r="F23" s="87" t="n">
        <v>45.177181688</v>
      </c>
    </row>
    <row r="24" customFormat="false" ht="15.75" hidden="false" customHeight="true" outlineLevel="0" collapsed="false">
      <c r="A24" s="87" t="n">
        <v>8922.43</v>
      </c>
      <c r="B24" s="87" t="n">
        <v>8918.77866</v>
      </c>
      <c r="C24" s="87" t="n">
        <v>47.12</v>
      </c>
      <c r="D24" s="87" t="n">
        <v>48.053918216</v>
      </c>
      <c r="E24" s="87" t="n">
        <v>43.13</v>
      </c>
      <c r="F24" s="87" t="n">
        <v>43.840869993</v>
      </c>
    </row>
    <row r="25" customFormat="false" ht="15.75" hidden="false" customHeight="true" outlineLevel="0" collapsed="false">
      <c r="A25" s="87" t="n">
        <v>1067</v>
      </c>
      <c r="B25" s="87" t="n">
        <v>1063.34866</v>
      </c>
      <c r="C25" s="87" t="n">
        <v>47.12</v>
      </c>
      <c r="D25" s="87" t="n">
        <v>47.260669974</v>
      </c>
      <c r="E25" s="87" t="n">
        <v>43.13</v>
      </c>
      <c r="F25" s="87" t="n">
        <v>43.238238703</v>
      </c>
    </row>
    <row r="26" customFormat="false" ht="15.75" hidden="false" customHeight="true" outlineLevel="0" collapsed="false">
      <c r="A26" s="87" t="n">
        <v>7855.43</v>
      </c>
      <c r="B26" s="87" t="n">
        <v>7855.43</v>
      </c>
      <c r="C26" s="87" t="n">
        <v>47.12</v>
      </c>
      <c r="D26" s="87" t="n">
        <v>48.161296102</v>
      </c>
      <c r="E26" s="87" t="n">
        <v>43.13</v>
      </c>
      <c r="F26" s="87" t="n">
        <v>43.922445055</v>
      </c>
    </row>
    <row r="27" customFormat="false" ht="15.75" hidden="false" customHeight="true" outlineLevel="0" collapsed="false">
      <c r="A27" s="87" t="n">
        <v>7335.11</v>
      </c>
      <c r="B27" s="87" t="n">
        <v>11299.449658</v>
      </c>
      <c r="C27" s="87" t="n">
        <v>19.6191</v>
      </c>
      <c r="D27" s="87" t="n">
        <v>18.653539344</v>
      </c>
      <c r="E27" s="87" t="n">
        <v>14.0109</v>
      </c>
      <c r="F27" s="87" t="n">
        <v>14.700580432</v>
      </c>
    </row>
    <row r="28" customFormat="false" ht="15.75" hidden="false" customHeight="true" outlineLevel="0" collapsed="false">
      <c r="A28" s="87" t="n">
        <v>176</v>
      </c>
      <c r="B28" s="87" t="n">
        <v>173.44965791</v>
      </c>
      <c r="C28" s="87" t="n">
        <v>19.6191</v>
      </c>
      <c r="D28" s="87" t="n">
        <v>19.641015937</v>
      </c>
      <c r="E28" s="87" t="n">
        <v>14.0109</v>
      </c>
      <c r="F28" s="87" t="n">
        <v>14.00366817</v>
      </c>
    </row>
    <row r="29" customFormat="false" ht="15.75" hidden="false" customHeight="true" outlineLevel="0" collapsed="false">
      <c r="A29" s="1" t="n">
        <v>11126</v>
      </c>
      <c r="B29" s="1" t="n">
        <v>11126</v>
      </c>
      <c r="C29" s="1" t="n">
        <v>19.6191</v>
      </c>
      <c r="D29" s="1" t="n">
        <v>18.638145</v>
      </c>
      <c r="E29" s="1" t="n">
        <v>14.0109</v>
      </c>
      <c r="F29" s="1" t="n">
        <v>14.711445</v>
      </c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7.16"/>
    <col collapsed="false" customWidth="true" hidden="false" outlineLevel="0" max="2" min="2" style="1" width="8.16"/>
    <col collapsed="false" customWidth="true" hidden="false" outlineLevel="0" max="3" min="3" style="1" width="35.33"/>
    <col collapsed="false" customWidth="true" hidden="false" outlineLevel="0" max="4" min="4" style="1" width="11"/>
    <col collapsed="false" customWidth="true" hidden="false" outlineLevel="0" max="5" min="5" style="1" width="12"/>
    <col collapsed="false" customWidth="true" hidden="false" outlineLevel="0" max="6" min="6" style="1" width="13.34"/>
    <col collapsed="false" customWidth="true" hidden="false" outlineLevel="0" max="7" min="7" style="1" width="19.67"/>
    <col collapsed="false" customWidth="true" hidden="false" outlineLevel="0" max="8" min="8" style="1" width="20.66"/>
    <col collapsed="false" customWidth="true" hidden="false" outlineLevel="0" max="9" min="9" style="1" width="14.83"/>
    <col collapsed="false" customWidth="true" hidden="false" outlineLevel="0" max="10" min="10" style="1" width="9.16"/>
    <col collapsed="false" customWidth="true" hidden="false" outlineLevel="0" max="11" min="11" style="1" width="30.67"/>
    <col collapsed="false" customWidth="true" hidden="false" outlineLevel="0" max="13" min="13" style="1" width="20.83"/>
    <col collapsed="false" customWidth="true" hidden="false" outlineLevel="0" max="26" min="18" style="1" width="11.5"/>
  </cols>
  <sheetData>
    <row r="1" customFormat="false" ht="15" hidden="false" customHeight="false" outlineLevel="0" collapsed="false">
      <c r="D1" s="46"/>
      <c r="F1" s="46"/>
    </row>
    <row r="2" customFormat="false" ht="15" hidden="false" customHeight="true" outlineLevel="0" collapsed="false">
      <c r="C2" s="88" t="s">
        <v>108</v>
      </c>
      <c r="D2" s="46"/>
      <c r="F2" s="46"/>
      <c r="G2" s="89"/>
      <c r="H2" s="90" t="s">
        <v>109</v>
      </c>
      <c r="I2" s="90"/>
      <c r="J2" s="90"/>
      <c r="K2" s="90"/>
      <c r="L2" s="90"/>
    </row>
    <row r="3" customFormat="false" ht="15" hidden="false" customHeight="false" outlineLevel="0" collapsed="false">
      <c r="A3" s="91" t="s">
        <v>110</v>
      </c>
      <c r="B3" s="92" t="n">
        <f aca="false">+D5+D6-D7-D8-D9-D10</f>
        <v>-220.655999999995</v>
      </c>
      <c r="C3" s="93"/>
      <c r="D3" s="94" t="s">
        <v>55</v>
      </c>
      <c r="E3" s="95" t="s">
        <v>56</v>
      </c>
      <c r="F3" s="95" t="s">
        <v>111</v>
      </c>
      <c r="H3" s="96" t="s">
        <v>112</v>
      </c>
      <c r="I3" s="96"/>
      <c r="K3" s="96" t="s">
        <v>113</v>
      </c>
      <c r="L3" s="96"/>
    </row>
    <row r="4" customFormat="false" ht="22.5" hidden="false" customHeight="true" outlineLevel="0" collapsed="false">
      <c r="B4" s="97" t="s">
        <v>114</v>
      </c>
      <c r="C4" s="98" t="s">
        <v>115</v>
      </c>
      <c r="D4" s="99" t="n">
        <v>0</v>
      </c>
      <c r="E4" s="100"/>
      <c r="F4" s="100"/>
      <c r="G4" s="46" t="n">
        <f aca="false">+I4-L4</f>
        <v>-2867</v>
      </c>
      <c r="H4" s="101" t="s">
        <v>48</v>
      </c>
      <c r="I4" s="102" t="n">
        <v>0</v>
      </c>
      <c r="K4" s="103" t="s">
        <v>48</v>
      </c>
      <c r="L4" s="102" t="n">
        <f aca="false">356+518+1509+484</f>
        <v>2867</v>
      </c>
    </row>
    <row r="5" customFormat="false" ht="15" hidden="false" customHeight="false" outlineLevel="0" collapsed="false">
      <c r="B5" s="97"/>
      <c r="C5" s="104" t="s">
        <v>116</v>
      </c>
      <c r="D5" s="105" t="n">
        <v>68993</v>
      </c>
      <c r="E5" s="106" t="n">
        <v>0.535265699418782</v>
      </c>
      <c r="F5" s="106" t="n">
        <v>0.488526582406911</v>
      </c>
      <c r="G5" s="46" t="n">
        <f aca="false">+I5-L5</f>
        <v>-212</v>
      </c>
      <c r="H5" s="107" t="s">
        <v>49</v>
      </c>
      <c r="I5" s="108" t="n">
        <v>226</v>
      </c>
      <c r="K5" s="109" t="s">
        <v>49</v>
      </c>
      <c r="L5" s="108" t="n">
        <v>438</v>
      </c>
    </row>
    <row r="6" customFormat="false" ht="15" hidden="false" customHeight="false" outlineLevel="0" collapsed="false">
      <c r="B6" s="97"/>
      <c r="C6" s="104" t="s">
        <v>117</v>
      </c>
      <c r="D6" s="105" t="n">
        <v>10719.6</v>
      </c>
      <c r="E6" s="106" t="n">
        <v>0.552907106608456</v>
      </c>
      <c r="F6" s="106" t="n">
        <v>0.503180769804843</v>
      </c>
      <c r="G6" s="46" t="n">
        <f aca="false">+I6-L6</f>
        <v>478</v>
      </c>
      <c r="H6" s="107" t="s">
        <v>50</v>
      </c>
      <c r="I6" s="108" t="n">
        <f aca="false">1280+146+130</f>
        <v>1556</v>
      </c>
      <c r="K6" s="109" t="s">
        <v>50</v>
      </c>
      <c r="L6" s="108" t="n">
        <f aca="false">1028+50</f>
        <v>1078</v>
      </c>
      <c r="N6" s="46"/>
    </row>
    <row r="7" customFormat="false" ht="15" hidden="false" customHeight="false" outlineLevel="0" collapsed="false">
      <c r="A7" s="33" t="n">
        <f aca="false">+D7/$D$5*100</f>
        <v>32.8542779702289</v>
      </c>
      <c r="B7" s="97"/>
      <c r="C7" s="110" t="s">
        <v>118</v>
      </c>
      <c r="D7" s="111" t="n">
        <v>22667.152</v>
      </c>
      <c r="E7" s="106" t="n">
        <v>0.605889534883721</v>
      </c>
      <c r="F7" s="106" t="n">
        <v>0.592211590697674</v>
      </c>
      <c r="G7" s="46" t="n">
        <f aca="false">+I7-L7</f>
        <v>-528</v>
      </c>
      <c r="H7" s="107" t="s">
        <v>51</v>
      </c>
      <c r="I7" s="108" t="n">
        <f aca="false">84+114+184</f>
        <v>382</v>
      </c>
      <c r="K7" s="109" t="s">
        <v>51</v>
      </c>
      <c r="L7" s="108" t="n">
        <f aca="false">288+622</f>
        <v>910</v>
      </c>
    </row>
    <row r="8" customFormat="false" ht="15" hidden="false" customHeight="false" outlineLevel="0" collapsed="false">
      <c r="A8" s="33" t="n">
        <f aca="false">+D8/$D$5*100</f>
        <v>26.5448726682417</v>
      </c>
      <c r="B8" s="97"/>
      <c r="C8" s="110" t="s">
        <v>119</v>
      </c>
      <c r="D8" s="111" t="n">
        <v>18314.104</v>
      </c>
      <c r="E8" s="106" t="n">
        <v>0.602155555555556</v>
      </c>
      <c r="F8" s="106" t="n">
        <v>0.58622512</v>
      </c>
      <c r="G8" s="46" t="n">
        <f aca="false">+I8-L8</f>
        <v>80</v>
      </c>
      <c r="H8" s="112" t="s">
        <v>120</v>
      </c>
      <c r="I8" s="113" t="n">
        <v>250</v>
      </c>
      <c r="K8" s="114" t="s">
        <v>120</v>
      </c>
      <c r="L8" s="113" t="n">
        <v>170</v>
      </c>
      <c r="M8" s="46"/>
    </row>
    <row r="9" customFormat="false" ht="15" hidden="false" customHeight="false" outlineLevel="0" collapsed="false">
      <c r="A9" s="33" t="n">
        <f aca="false">+D9/$D$5*100</f>
        <v>19.0396127143333</v>
      </c>
      <c r="B9" s="97"/>
      <c r="C9" s="110" t="s">
        <v>121</v>
      </c>
      <c r="D9" s="105" t="n">
        <f aca="false">21136-8000</f>
        <v>13136</v>
      </c>
      <c r="E9" s="106" t="n">
        <v>0.357813953488372</v>
      </c>
      <c r="F9" s="106" t="n">
        <v>0.321851323255814</v>
      </c>
      <c r="G9" s="46" t="n">
        <f aca="false">+I9-L9</f>
        <v>-1067</v>
      </c>
      <c r="H9" s="112" t="s">
        <v>72</v>
      </c>
      <c r="I9" s="113" t="n">
        <v>0</v>
      </c>
      <c r="K9" s="114" t="s">
        <v>72</v>
      </c>
      <c r="L9" s="113" t="n">
        <f aca="false">847+220</f>
        <v>1067</v>
      </c>
      <c r="M9" s="46"/>
    </row>
    <row r="10" customFormat="false" ht="15" hidden="false" customHeight="false" outlineLevel="0" collapsed="false">
      <c r="A10" s="33" t="n">
        <f aca="false">+D10/$D$5*100</f>
        <v>37.4182888119085</v>
      </c>
      <c r="B10" s="97"/>
      <c r="C10" s="110" t="s">
        <v>122</v>
      </c>
      <c r="D10" s="105" t="n">
        <f aca="false">17816+8000</f>
        <v>25816</v>
      </c>
      <c r="E10" s="106" t="n">
        <v>0.544313333333333</v>
      </c>
      <c r="F10" s="106" t="n">
        <v>0.522271713333333</v>
      </c>
      <c r="G10" s="46" t="n">
        <f aca="false">+I10-L10</f>
        <v>-176</v>
      </c>
      <c r="H10" s="112" t="s">
        <v>47</v>
      </c>
      <c r="I10" s="113" t="n">
        <v>0</v>
      </c>
      <c r="K10" s="114" t="s">
        <v>47</v>
      </c>
      <c r="L10" s="113" t="n">
        <v>176</v>
      </c>
      <c r="M10" s="46"/>
    </row>
    <row r="11" customFormat="false" ht="15" hidden="false" customHeight="false" outlineLevel="0" collapsed="false">
      <c r="B11" s="97"/>
      <c r="C11" s="115" t="s">
        <v>18</v>
      </c>
      <c r="D11" s="105"/>
      <c r="E11" s="106"/>
      <c r="F11" s="116"/>
      <c r="G11" s="46" t="n">
        <f aca="false">+I11-L11</f>
        <v>-1162</v>
      </c>
      <c r="H11" s="117" t="s">
        <v>123</v>
      </c>
      <c r="I11" s="118" t="n">
        <f aca="false">1971+1106</f>
        <v>3077</v>
      </c>
      <c r="K11" s="117" t="s">
        <v>123</v>
      </c>
      <c r="L11" s="118" t="n">
        <v>4239</v>
      </c>
    </row>
    <row r="12" customFormat="false" ht="15" hidden="false" customHeight="false" outlineLevel="0" collapsed="false">
      <c r="B12" s="97"/>
      <c r="C12" s="115" t="s">
        <v>19</v>
      </c>
      <c r="D12" s="119" t="n">
        <v>20879.29</v>
      </c>
      <c r="E12" s="120" t="n">
        <v>0.5849</v>
      </c>
      <c r="F12" s="120" t="n">
        <f aca="false">+F7</f>
        <v>0.592211590697674</v>
      </c>
      <c r="G12" s="46"/>
      <c r="H12" s="121" t="s">
        <v>124</v>
      </c>
      <c r="I12" s="122"/>
    </row>
    <row r="13" customFormat="false" ht="15" hidden="false" customHeight="false" outlineLevel="0" collapsed="false">
      <c r="B13" s="97"/>
      <c r="C13" s="115" t="s">
        <v>22</v>
      </c>
      <c r="D13" s="105"/>
      <c r="E13" s="120"/>
      <c r="F13" s="120"/>
      <c r="G13" s="46"/>
      <c r="H13" s="46"/>
      <c r="I13" s="46"/>
      <c r="K13" s="123" t="s">
        <v>125</v>
      </c>
      <c r="L13" s="123"/>
    </row>
    <row r="14" customFormat="false" ht="15" hidden="false" customHeight="false" outlineLevel="0" collapsed="false">
      <c r="B14" s="97"/>
      <c r="C14" s="115" t="s">
        <v>23</v>
      </c>
      <c r="D14" s="119" t="n">
        <v>16230.67</v>
      </c>
      <c r="E14" s="120" t="n">
        <v>0.6006</v>
      </c>
      <c r="F14" s="120" t="n">
        <f aca="false">+F8</f>
        <v>0.58622512</v>
      </c>
      <c r="G14" s="23" t="n">
        <f aca="false">+E7-F7</f>
        <v>0.013677944186047</v>
      </c>
      <c r="H14" s="46"/>
      <c r="K14" s="124" t="s">
        <v>126</v>
      </c>
      <c r="L14" s="105" t="n">
        <v>4207</v>
      </c>
    </row>
    <row r="15" customFormat="false" ht="15" hidden="false" customHeight="false" outlineLevel="0" collapsed="false">
      <c r="B15" s="97"/>
      <c r="C15" s="115" t="s">
        <v>26</v>
      </c>
      <c r="D15" s="125" t="n">
        <v>4696</v>
      </c>
      <c r="E15" s="126" t="n">
        <f aca="false">+E9</f>
        <v>0.357813953488372</v>
      </c>
      <c r="F15" s="126" t="n">
        <f aca="false">+F9</f>
        <v>0.321851323255814</v>
      </c>
      <c r="H15" s="46"/>
      <c r="I15" s="46"/>
      <c r="K15" s="124" t="s">
        <v>127</v>
      </c>
      <c r="L15" s="127" t="n">
        <v>2</v>
      </c>
    </row>
    <row r="16" customFormat="false" ht="15" hidden="false" customHeight="false" outlineLevel="0" collapsed="false">
      <c r="B16" s="97"/>
      <c r="C16" s="115" t="s">
        <v>29</v>
      </c>
      <c r="D16" s="105" t="n">
        <v>26876.47</v>
      </c>
      <c r="E16" s="106" t="n">
        <v>0.4116</v>
      </c>
      <c r="F16" s="106" t="n">
        <v>0.376</v>
      </c>
      <c r="H16" s="128"/>
      <c r="I16" s="128"/>
      <c r="K16" s="124" t="s">
        <v>128</v>
      </c>
      <c r="L16" s="105" t="n">
        <f aca="false">+L14*L15</f>
        <v>8414</v>
      </c>
    </row>
    <row r="17" customFormat="false" ht="15" hidden="false" customHeight="false" outlineLevel="0" collapsed="false">
      <c r="A17" s="91" t="s">
        <v>110</v>
      </c>
      <c r="B17" s="129"/>
      <c r="C17" s="130" t="s">
        <v>129</v>
      </c>
      <c r="D17" s="131"/>
      <c r="E17" s="132"/>
      <c r="F17" s="132"/>
      <c r="H17" s="133"/>
      <c r="I17" s="46"/>
      <c r="K17" s="124" t="s">
        <v>130</v>
      </c>
      <c r="L17" s="105" t="n">
        <f aca="false">+'Bal AL FeT'!J39+'Bal ML FeT'!J30</f>
        <v>4869.44965791</v>
      </c>
    </row>
    <row r="18" customFormat="false" ht="14.25" hidden="false" customHeight="true" outlineLevel="0" collapsed="false">
      <c r="A18" s="92" t="n">
        <f aca="false">+D18+D19-D21-D22-D23</f>
        <v>380</v>
      </c>
      <c r="B18" s="134" t="s">
        <v>131</v>
      </c>
      <c r="C18" s="135" t="s">
        <v>132</v>
      </c>
      <c r="D18" s="136" t="n">
        <v>26924</v>
      </c>
      <c r="E18" s="137" t="n">
        <v>0.441342081414351</v>
      </c>
      <c r="F18" s="137" t="n">
        <v>0.40327125984252</v>
      </c>
      <c r="H18" s="133"/>
      <c r="I18" s="63"/>
      <c r="K18" s="124" t="s">
        <v>133</v>
      </c>
      <c r="L18" s="105" t="n">
        <f aca="false">+L17-L16</f>
        <v>-3544.55034209</v>
      </c>
    </row>
    <row r="19" customFormat="false" ht="15" hidden="false" customHeight="false" outlineLevel="0" collapsed="false">
      <c r="B19" s="134"/>
      <c r="C19" s="138" t="s">
        <v>134</v>
      </c>
      <c r="D19" s="136" t="n">
        <v>9033</v>
      </c>
      <c r="E19" s="137" t="n">
        <v>0.42468630576774</v>
      </c>
      <c r="F19" s="137" t="n">
        <v>0.37383114137053</v>
      </c>
      <c r="H19" s="133"/>
      <c r="I19" s="46"/>
      <c r="K19" s="124" t="s">
        <v>135</v>
      </c>
      <c r="L19" s="105" t="n">
        <v>4689</v>
      </c>
      <c r="P19" s="46"/>
    </row>
    <row r="20" customFormat="false" ht="15" hidden="false" customHeight="false" outlineLevel="0" collapsed="false">
      <c r="B20" s="134"/>
      <c r="C20" s="138" t="s">
        <v>136</v>
      </c>
      <c r="D20" s="136"/>
      <c r="E20" s="137"/>
      <c r="F20" s="137"/>
      <c r="H20" s="46"/>
      <c r="K20" s="124" t="s">
        <v>137</v>
      </c>
      <c r="L20" s="105" t="n">
        <f aca="false">+L18-L19</f>
        <v>-8233.55034209</v>
      </c>
    </row>
    <row r="21" customFormat="false" ht="15.75" hidden="false" customHeight="true" outlineLevel="0" collapsed="false">
      <c r="B21" s="134"/>
      <c r="C21" s="139" t="s">
        <v>33</v>
      </c>
      <c r="D21" s="136" t="n">
        <v>18014.457</v>
      </c>
      <c r="E21" s="137" t="n">
        <v>0.452577272727273</v>
      </c>
      <c r="F21" s="137" t="n">
        <v>0.422707531818182</v>
      </c>
      <c r="H21" s="46"/>
      <c r="L21" s="46"/>
    </row>
    <row r="22" customFormat="false" ht="15.75" hidden="false" customHeight="true" outlineLevel="0" collapsed="false">
      <c r="B22" s="134"/>
      <c r="C22" s="139" t="s">
        <v>36</v>
      </c>
      <c r="D22" s="136" t="n">
        <v>7710.325</v>
      </c>
      <c r="E22" s="137" t="n">
        <v>0.44858</v>
      </c>
      <c r="F22" s="137" t="n">
        <v>0.41259171</v>
      </c>
      <c r="H22" s="46"/>
    </row>
    <row r="23" customFormat="false" ht="15.75" hidden="false" customHeight="true" outlineLevel="0" collapsed="false">
      <c r="B23" s="134"/>
      <c r="C23" s="139" t="s">
        <v>39</v>
      </c>
      <c r="D23" s="136" t="n">
        <v>9852.218</v>
      </c>
      <c r="E23" s="137" t="n">
        <v>0.196191304347826</v>
      </c>
      <c r="F23" s="137" t="n">
        <v>0.140108765217391</v>
      </c>
      <c r="H23" s="46"/>
      <c r="L23" s="46"/>
    </row>
    <row r="24" customFormat="false" ht="15.75" hidden="false" customHeight="true" outlineLevel="0" collapsed="false">
      <c r="B24" s="134"/>
      <c r="C24" s="140" t="s">
        <v>138</v>
      </c>
      <c r="D24" s="105" t="n">
        <v>19779.46</v>
      </c>
      <c r="E24" s="137" t="n">
        <v>0.4624</v>
      </c>
      <c r="F24" s="137" t="n">
        <v>0.4338</v>
      </c>
      <c r="H24" s="46"/>
    </row>
    <row r="25" customFormat="false" ht="15.75" hidden="false" customHeight="true" outlineLevel="0" collapsed="false">
      <c r="B25" s="134"/>
      <c r="C25" s="140" t="s">
        <v>139</v>
      </c>
      <c r="D25" s="105" t="n">
        <v>7855.43</v>
      </c>
      <c r="E25" s="106" t="n">
        <v>0.4712</v>
      </c>
      <c r="F25" s="106" t="n">
        <v>0.4313</v>
      </c>
      <c r="H25" s="46"/>
      <c r="K25" s="33" t="s">
        <v>140</v>
      </c>
    </row>
    <row r="26" customFormat="false" ht="15.75" hidden="false" customHeight="true" outlineLevel="0" collapsed="false">
      <c r="B26" s="134"/>
      <c r="C26" s="140" t="s">
        <v>41</v>
      </c>
      <c r="D26" s="125" t="n">
        <v>11126</v>
      </c>
      <c r="E26" s="141" t="n">
        <f aca="false">+E23</f>
        <v>0.196191304347826</v>
      </c>
      <c r="F26" s="141" t="n">
        <f aca="false">+F23</f>
        <v>0.140108765217391</v>
      </c>
      <c r="H26" s="46"/>
    </row>
    <row r="27" customFormat="false" ht="15.75" hidden="false" customHeight="true" outlineLevel="0" collapsed="false">
      <c r="B27" s="134"/>
      <c r="C27" s="142" t="s">
        <v>141</v>
      </c>
      <c r="D27" s="143" t="n">
        <v>35808.82</v>
      </c>
      <c r="E27" s="144" t="n">
        <f aca="false">+E18</f>
        <v>0.441342081414351</v>
      </c>
      <c r="F27" s="144" t="n">
        <f aca="false">+F18</f>
        <v>0.40327125984252</v>
      </c>
      <c r="H27" s="46"/>
      <c r="L27" s="46"/>
    </row>
    <row r="28" customFormat="false" ht="29.25" hidden="false" customHeight="true" outlineLevel="0" collapsed="false">
      <c r="C28" s="130"/>
      <c r="M28" s="145"/>
      <c r="N28" s="146"/>
      <c r="O28" s="146"/>
      <c r="P28" s="146"/>
      <c r="Q28" s="146"/>
      <c r="R28" s="146"/>
    </row>
    <row r="29" customFormat="false" ht="15.75" hidden="false" customHeight="true" outlineLevel="0" collapsed="false">
      <c r="D29" s="46"/>
      <c r="M29" s="86"/>
      <c r="N29" s="84"/>
      <c r="O29" s="84"/>
      <c r="P29" s="84"/>
      <c r="Q29" s="84"/>
      <c r="R29" s="84"/>
    </row>
    <row r="30" customFormat="false" ht="15.75" hidden="false" customHeight="true" outlineLevel="0" collapsed="false">
      <c r="D30" s="46"/>
      <c r="L30" s="46"/>
      <c r="M30" s="86"/>
      <c r="N30" s="84"/>
      <c r="O30" s="84"/>
      <c r="P30" s="84"/>
      <c r="Q30" s="84"/>
      <c r="R30" s="84"/>
    </row>
    <row r="31" customFormat="false" ht="15.75" hidden="false" customHeight="true" outlineLevel="0" collapsed="false">
      <c r="D31" s="46"/>
      <c r="M31" s="86"/>
      <c r="N31" s="84"/>
      <c r="O31" s="84"/>
      <c r="P31" s="84"/>
      <c r="Q31" s="84"/>
      <c r="R31" s="84"/>
    </row>
    <row r="32" customFormat="false" ht="15.75" hidden="false" customHeight="true" outlineLevel="0" collapsed="false">
      <c r="C32" s="147"/>
      <c r="D32" s="148" t="s">
        <v>46</v>
      </c>
      <c r="E32" s="148" t="s">
        <v>97</v>
      </c>
      <c r="F32" s="148" t="s">
        <v>45</v>
      </c>
      <c r="H32" s="149"/>
      <c r="I32" s="149"/>
      <c r="M32" s="86"/>
      <c r="N32" s="84"/>
      <c r="O32" s="84"/>
      <c r="P32" s="84"/>
      <c r="Q32" s="84"/>
      <c r="R32" s="84"/>
    </row>
    <row r="33" customFormat="false" ht="15.75" hidden="false" customHeight="true" outlineLevel="0" collapsed="false">
      <c r="C33" s="150" t="s">
        <v>142</v>
      </c>
      <c r="D33" s="151" t="n">
        <v>394.25</v>
      </c>
      <c r="E33" s="151"/>
      <c r="F33" s="151" t="n">
        <v>277.25</v>
      </c>
      <c r="H33" s="149"/>
      <c r="I33" s="149"/>
      <c r="M33" s="86"/>
      <c r="N33" s="84"/>
      <c r="O33" s="84"/>
      <c r="P33" s="84"/>
      <c r="Q33" s="84"/>
      <c r="R33" s="84"/>
    </row>
    <row r="34" customFormat="false" ht="15.75" hidden="false" customHeight="true" outlineLevel="0" collapsed="false">
      <c r="C34" s="147"/>
      <c r="D34" s="148" t="s">
        <v>46</v>
      </c>
      <c r="E34" s="148" t="s">
        <v>51</v>
      </c>
      <c r="F34" s="148" t="s">
        <v>45</v>
      </c>
      <c r="H34" s="149"/>
      <c r="I34" s="149"/>
      <c r="M34" s="86"/>
      <c r="N34" s="84"/>
      <c r="O34" s="84"/>
      <c r="P34" s="84"/>
      <c r="Q34" s="84"/>
      <c r="R34" s="84"/>
    </row>
    <row r="35" customFormat="false" ht="15.75" hidden="false" customHeight="true" outlineLevel="0" collapsed="false">
      <c r="C35" s="150" t="s">
        <v>143</v>
      </c>
      <c r="D35" s="151"/>
      <c r="E35" s="151"/>
      <c r="F35" s="151"/>
      <c r="H35" s="24"/>
      <c r="I35" s="24"/>
      <c r="M35" s="152"/>
      <c r="N35" s="153"/>
      <c r="O35" s="153"/>
      <c r="P35" s="153"/>
      <c r="Q35" s="153"/>
      <c r="R35" s="153"/>
    </row>
    <row r="36" customFormat="false" ht="15.75" hidden="false" customHeight="true" outlineLevel="0" collapsed="false">
      <c r="C36" s="147"/>
      <c r="D36" s="148" t="s">
        <v>51</v>
      </c>
      <c r="E36" s="148" t="s">
        <v>97</v>
      </c>
      <c r="F36" s="148"/>
      <c r="H36" s="46"/>
      <c r="O36" s="46"/>
    </row>
    <row r="37" customFormat="false" ht="15.75" hidden="false" customHeight="true" outlineLevel="0" collapsed="false">
      <c r="C37" s="150" t="s">
        <v>144</v>
      </c>
      <c r="D37" s="151"/>
      <c r="E37" s="151" t="n">
        <v>663.3</v>
      </c>
      <c r="F37" s="151"/>
      <c r="O37" s="46"/>
    </row>
    <row r="38" customFormat="false" ht="15.75" hidden="false" customHeight="true" outlineLevel="0" collapsed="false">
      <c r="C38" s="147"/>
      <c r="D38" s="148" t="s">
        <v>51</v>
      </c>
      <c r="E38" s="148" t="s">
        <v>97</v>
      </c>
      <c r="F38" s="148"/>
    </row>
    <row r="39" customFormat="false" ht="15.75" hidden="false" customHeight="true" outlineLevel="0" collapsed="false">
      <c r="C39" s="150" t="s">
        <v>145</v>
      </c>
      <c r="D39" s="151"/>
      <c r="E39" s="151"/>
      <c r="F39" s="151"/>
    </row>
    <row r="40" customFormat="false" ht="15.75" hidden="false" customHeight="true" outlineLevel="0" collapsed="false">
      <c r="L40" s="145" t="s">
        <v>146</v>
      </c>
      <c r="M40" s="145" t="s">
        <v>91</v>
      </c>
      <c r="N40" s="146" t="s">
        <v>147</v>
      </c>
      <c r="O40" s="146" t="s">
        <v>148</v>
      </c>
    </row>
    <row r="41" customFormat="false" ht="15.75" hidden="false" customHeight="true" outlineLevel="0" collapsed="false">
      <c r="L41" s="86"/>
      <c r="M41" s="86" t="s">
        <v>50</v>
      </c>
      <c r="N41" s="84"/>
      <c r="O41" s="84"/>
    </row>
    <row r="42" customFormat="false" ht="15.75" hidden="false" customHeight="true" outlineLevel="0" collapsed="false">
      <c r="C42" s="154"/>
      <c r="D42" s="155"/>
      <c r="E42" s="154"/>
      <c r="L42" s="86"/>
      <c r="M42" s="86" t="s">
        <v>51</v>
      </c>
      <c r="N42" s="84"/>
      <c r="O42" s="84"/>
    </row>
    <row r="43" customFormat="false" ht="15.75" hidden="false" customHeight="true" outlineLevel="0" collapsed="false">
      <c r="C43" s="154"/>
      <c r="D43" s="155"/>
      <c r="E43" s="154"/>
      <c r="L43" s="86"/>
      <c r="M43" s="86" t="s">
        <v>45</v>
      </c>
      <c r="N43" s="84"/>
      <c r="O43" s="84"/>
    </row>
    <row r="44" customFormat="false" ht="15.75" hidden="false" customHeight="true" outlineLevel="0" collapsed="false">
      <c r="C44" s="154"/>
      <c r="D44" s="155"/>
      <c r="E44" s="154"/>
      <c r="L44" s="86" t="n">
        <v>10000880</v>
      </c>
      <c r="M44" s="86" t="s">
        <v>123</v>
      </c>
      <c r="N44" s="84" t="n">
        <v>1.18</v>
      </c>
      <c r="O44" s="84" t="n">
        <v>0</v>
      </c>
    </row>
    <row r="45" customFormat="false" ht="15.75" hidden="false" customHeight="true" outlineLevel="0" collapsed="false">
      <c r="C45" s="154"/>
      <c r="D45" s="155"/>
      <c r="E45" s="154"/>
      <c r="L45" s="86" t="n">
        <v>10000744</v>
      </c>
      <c r="M45" s="86" t="s">
        <v>49</v>
      </c>
      <c r="N45" s="84" t="n">
        <v>222.03</v>
      </c>
      <c r="O45" s="84" t="n">
        <v>0</v>
      </c>
    </row>
    <row r="46" customFormat="false" ht="15.75" hidden="false" customHeight="true" outlineLevel="0" collapsed="false">
      <c r="C46" s="154"/>
      <c r="D46" s="155"/>
      <c r="E46" s="154"/>
      <c r="L46" s="86" t="n">
        <v>10000743</v>
      </c>
      <c r="M46" s="86" t="s">
        <v>48</v>
      </c>
      <c r="N46" s="84" t="n">
        <v>0.044</v>
      </c>
      <c r="O46" s="84" t="n">
        <v>0</v>
      </c>
      <c r="P46" s="46"/>
    </row>
    <row r="47" customFormat="false" ht="15.75" hidden="false" customHeight="true" outlineLevel="0" collapsed="false">
      <c r="L47" s="152" t="n">
        <v>10000742</v>
      </c>
      <c r="M47" s="152" t="s">
        <v>149</v>
      </c>
      <c r="N47" s="153" t="n">
        <v>1982.18</v>
      </c>
      <c r="O47" s="153" t="n">
        <v>0</v>
      </c>
    </row>
    <row r="48" customFormat="false" ht="15.75" hidden="false" customHeight="true" outlineLevel="0" collapsed="false">
      <c r="N48" s="46"/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">
    <mergeCell ref="H2:L2"/>
    <mergeCell ref="H3:I3"/>
    <mergeCell ref="K3:L3"/>
    <mergeCell ref="B4:B16"/>
    <mergeCell ref="K13:L13"/>
    <mergeCell ref="H16:I16"/>
    <mergeCell ref="B18:B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1" width="11.5"/>
    <col collapsed="false" customWidth="true" hidden="false" outlineLevel="0" max="3" min="3" style="1" width="16.83"/>
    <col collapsed="false" customWidth="true" hidden="false" outlineLevel="0" max="26" min="4" style="1" width="11.5"/>
  </cols>
  <sheetData>
    <row r="3" customFormat="false" ht="31.5" hidden="false" customHeight="false" outlineLevel="0" collapsed="false">
      <c r="D3" s="33" t="s">
        <v>150</v>
      </c>
      <c r="E3" s="33" t="s">
        <v>151</v>
      </c>
      <c r="F3" s="33" t="s">
        <v>152</v>
      </c>
      <c r="G3" s="33" t="s">
        <v>153</v>
      </c>
      <c r="J3" s="156" t="s">
        <v>154</v>
      </c>
    </row>
    <row r="4" customFormat="false" ht="15" hidden="false" customHeight="false" outlineLevel="0" collapsed="false">
      <c r="C4" s="33" t="s">
        <v>155</v>
      </c>
      <c r="D4" s="46" t="n">
        <f aca="false">+'Info Planta'!I4</f>
        <v>0</v>
      </c>
      <c r="E4" s="46" t="n">
        <f aca="false">+'Info Planta'!L4</f>
        <v>2867</v>
      </c>
      <c r="F4" s="46" t="n">
        <f aca="false">+E4-D4</f>
        <v>2867</v>
      </c>
      <c r="G4" s="157" t="n">
        <f aca="false">+IF(F4=0,0,IF(F4&lt;0,1,-1))</f>
        <v>-1</v>
      </c>
      <c r="H4" s="158" t="str">
        <f aca="false">+IF(G4=1,"consume",IF(G4=0,"mantiene","aumenta"))</f>
        <v>aumenta</v>
      </c>
      <c r="I4" s="46" t="n">
        <f aca="false">+'Diag Bal AL FeT'!O41</f>
        <v>2857.2055475</v>
      </c>
      <c r="J4" s="46" t="n">
        <f aca="false">+D4+I4</f>
        <v>2857.2055475</v>
      </c>
    </row>
    <row r="5" customFormat="false" ht="15" hidden="false" customHeight="false" outlineLevel="0" collapsed="false">
      <c r="C5" s="33" t="s">
        <v>156</v>
      </c>
      <c r="D5" s="46" t="n">
        <f aca="false">+'Info Planta'!I5</f>
        <v>226</v>
      </c>
      <c r="E5" s="46" t="n">
        <f aca="false">+'Info Planta'!L5</f>
        <v>438</v>
      </c>
      <c r="F5" s="46" t="n">
        <f aca="false">+E5-D5</f>
        <v>212</v>
      </c>
      <c r="G5" s="157" t="n">
        <f aca="false">+IF(F5=0,0,IF(F5&lt;0,1,-1))</f>
        <v>-1</v>
      </c>
      <c r="H5" s="158" t="str">
        <f aca="false">+IF(G5=1,"consume",IF(G5=0,"mantiene","aumenta"))</f>
        <v>aumenta</v>
      </c>
      <c r="I5" s="46" t="n">
        <f aca="false">+'Diag Bal AL FeT'!O42</f>
        <v>212.29024952</v>
      </c>
      <c r="J5" s="46" t="n">
        <f aca="false">+D5+I5</f>
        <v>438.29024952</v>
      </c>
    </row>
    <row r="6" customFormat="false" ht="15" hidden="false" customHeight="false" outlineLevel="0" collapsed="false">
      <c r="C6" s="33" t="s">
        <v>157</v>
      </c>
      <c r="D6" s="46" t="n">
        <f aca="false">+'Info Planta'!I6</f>
        <v>1556</v>
      </c>
      <c r="E6" s="46" t="n">
        <f aca="false">+'Info Planta'!L6</f>
        <v>1078</v>
      </c>
      <c r="F6" s="46" t="n">
        <f aca="false">+E6-D6</f>
        <v>-478</v>
      </c>
      <c r="G6" s="157" t="n">
        <f aca="false">+IF(F6=0,0,IF(F6&lt;0,1,-1))</f>
        <v>1</v>
      </c>
      <c r="H6" s="158" t="str">
        <f aca="false">+IF(G6=1,"consume",IF(G6=0,"mantiene","aumenta"))</f>
        <v>consume</v>
      </c>
      <c r="I6" s="46" t="n">
        <f aca="false">+'Diag Bal AL FeT'!O43</f>
        <v>-466.1512384</v>
      </c>
      <c r="J6" s="46" t="n">
        <f aca="false">+D6+I6</f>
        <v>1089.8487616</v>
      </c>
    </row>
    <row r="7" customFormat="false" ht="15" hidden="false" customHeight="false" outlineLevel="0" collapsed="false">
      <c r="C7" s="33" t="s">
        <v>158</v>
      </c>
      <c r="D7" s="46" t="n">
        <f aca="false">+'Info Planta'!I7</f>
        <v>382</v>
      </c>
      <c r="E7" s="46" t="n">
        <f aca="false">+'Info Planta'!L7</f>
        <v>910</v>
      </c>
      <c r="F7" s="46" t="n">
        <f aca="false">+E7-D7</f>
        <v>528</v>
      </c>
      <c r="G7" s="157" t="n">
        <f aca="false">+IF(F7=0,0,IF(F7&lt;0,1,-1))</f>
        <v>-1</v>
      </c>
      <c r="H7" s="158" t="str">
        <f aca="false">+IF(G7=1,"consume",IF(G7=0,"mantiene","aumenta"))</f>
        <v>aumenta</v>
      </c>
      <c r="I7" s="46" t="n">
        <f aca="false">+'Diag Bal AL FeT'!O44</f>
        <v>5438.3422614</v>
      </c>
      <c r="J7" s="46" t="n">
        <f aca="false">+D7+I7</f>
        <v>5820.3422614</v>
      </c>
    </row>
    <row r="8" customFormat="false" ht="15" hidden="false" customHeight="false" outlineLevel="0" collapsed="false">
      <c r="C8" s="159" t="s">
        <v>159</v>
      </c>
      <c r="D8" s="46" t="n">
        <f aca="false">+'Info Planta'!I8</f>
        <v>250</v>
      </c>
      <c r="E8" s="46" t="n">
        <f aca="false">+'Info Planta'!L8</f>
        <v>170</v>
      </c>
      <c r="F8" s="46" t="n">
        <f aca="false">+E8-D8</f>
        <v>-80</v>
      </c>
      <c r="G8" s="157" t="n">
        <f aca="false">+IF(F8=0,0,IF(F8&lt;0,1,-1))</f>
        <v>1</v>
      </c>
      <c r="H8" s="158" t="str">
        <f aca="false">+IF(G8=1,"consume",IF(G8=0,"mantiene","aumenta"))</f>
        <v>consume</v>
      </c>
      <c r="I8" s="46"/>
    </row>
    <row r="9" customFormat="false" ht="15" hidden="false" customHeight="false" outlineLevel="0" collapsed="false">
      <c r="C9" s="159" t="s">
        <v>160</v>
      </c>
      <c r="D9" s="46" t="n">
        <f aca="false">+'Info Planta'!I9</f>
        <v>0</v>
      </c>
      <c r="E9" s="46" t="n">
        <f aca="false">+'Info Planta'!L9</f>
        <v>1067</v>
      </c>
      <c r="F9" s="46" t="n">
        <f aca="false">+E9-D9</f>
        <v>1067</v>
      </c>
      <c r="G9" s="157" t="n">
        <f aca="false">+IF(F9=0,0,IF(F9&lt;0,1,-1))</f>
        <v>-1</v>
      </c>
      <c r="H9" s="158" t="str">
        <f aca="false">+IF(G9=1,"consume",IF(G9=0,"mantiene","aumenta"))</f>
        <v>aumenta</v>
      </c>
      <c r="I9" s="46"/>
    </row>
    <row r="10" customFormat="false" ht="15" hidden="false" customHeight="false" outlineLevel="0" collapsed="false">
      <c r="C10" s="159" t="s">
        <v>161</v>
      </c>
      <c r="D10" s="46" t="n">
        <f aca="false">+'Info Planta'!I10</f>
        <v>0</v>
      </c>
      <c r="E10" s="46" t="n">
        <f aca="false">+'Info Planta'!L10</f>
        <v>176</v>
      </c>
      <c r="F10" s="46" t="n">
        <f aca="false">+E10-D10</f>
        <v>176</v>
      </c>
      <c r="G10" s="157" t="n">
        <f aca="false">+IF(F10=0,0,IF(F10&lt;0,1,-1))</f>
        <v>-1</v>
      </c>
      <c r="H10" s="158" t="str">
        <f aca="false">+IF(G10=1,"consume",IF(G10=0,"mantiene","aumenta"))</f>
        <v>aumenta</v>
      </c>
      <c r="I10" s="46"/>
    </row>
    <row r="11" customFormat="false" ht="15" hidden="false" customHeight="false" outlineLevel="0" collapsed="false">
      <c r="C11" s="159" t="s">
        <v>162</v>
      </c>
      <c r="D11" s="46" t="n">
        <f aca="false">+'Info Planta'!I11</f>
        <v>3077</v>
      </c>
      <c r="E11" s="46" t="n">
        <f aca="false">+'Info Planta'!L11</f>
        <v>4239</v>
      </c>
      <c r="F11" s="46" t="n">
        <f aca="false">+E11-D11</f>
        <v>1162</v>
      </c>
      <c r="G11" s="157" t="n">
        <f aca="false">+IF(F11=0,0,IF(F11&lt;0,1,-1))</f>
        <v>-1</v>
      </c>
      <c r="H11" s="158" t="str">
        <f aca="false">+IF(G11=1,"consume",IF(G11=0,"mantiene","aumenta"))</f>
        <v>aumenta</v>
      </c>
      <c r="I11" s="46"/>
    </row>
    <row r="12" customFormat="false" ht="15" hidden="false" customHeight="false" outlineLevel="0" collapsed="false">
      <c r="C12" s="159" t="s">
        <v>163</v>
      </c>
      <c r="E12" s="46" t="n">
        <f aca="false">+'Info Planta'!$L$16</f>
        <v>8414</v>
      </c>
      <c r="F12" s="46" t="n">
        <f aca="false">+E12-D12</f>
        <v>8414</v>
      </c>
      <c r="G12" s="157" t="n">
        <f aca="false">+IF(F12=0,0,IF(F12&lt;0,1,-1))</f>
        <v>-1</v>
      </c>
      <c r="H12" s="158" t="str">
        <f aca="false">+IF(G12=1,"consume",IF(G12=0,"mantiene","aumenta"))</f>
        <v>aumenta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F1000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K30" activeCellId="0" sqref="K30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36.5"/>
    <col collapsed="false" customWidth="true" hidden="false" outlineLevel="0" max="7" min="7" style="1" width="7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12" min="12" style="1" width="11.5"/>
    <col collapsed="false" customWidth="true" hidden="false" outlineLevel="0" max="13" min="13" style="1" width="16.5"/>
    <col collapsed="false" customWidth="true" hidden="false" outlineLevel="0" max="14" min="14" style="1" width="12"/>
    <col collapsed="false" customWidth="true" hidden="false" outlineLevel="0" max="20" min="15" style="1" width="11.5"/>
    <col collapsed="false" customWidth="true" hidden="false" outlineLevel="0" max="21" min="21" style="1" width="15"/>
    <col collapsed="false" customWidth="true" hidden="false" outlineLevel="0" max="32" min="22" style="1" width="11.5"/>
  </cols>
  <sheetData>
    <row r="3" customFormat="false" ht="15" hidden="false" customHeight="false" outlineLevel="0" collapsed="false">
      <c r="F3" s="33"/>
      <c r="G3" s="33"/>
      <c r="H3" s="33"/>
      <c r="I3" s="33"/>
      <c r="J3" s="33"/>
      <c r="K3" s="33"/>
      <c r="L3" s="33"/>
    </row>
    <row r="4" customFormat="false" ht="15" hidden="false" customHeight="false" outlineLevel="0" collapsed="false">
      <c r="F4" s="33"/>
      <c r="G4" s="33"/>
      <c r="H4" s="33"/>
      <c r="I4" s="33"/>
      <c r="J4" s="33"/>
      <c r="K4" s="33"/>
      <c r="L4" s="33"/>
    </row>
    <row r="5" customFormat="false" ht="15" hidden="false" customHeight="false" outlineLevel="0" collapsed="false">
      <c r="F5" s="33"/>
      <c r="G5" s="33"/>
      <c r="H5" s="33"/>
      <c r="I5" s="33"/>
      <c r="J5" s="33"/>
      <c r="K5" s="33"/>
      <c r="L5" s="33"/>
    </row>
    <row r="6" customFormat="false" ht="15" hidden="false" customHeight="false" outlineLevel="0" collapsed="false">
      <c r="F6" s="33"/>
      <c r="G6" s="33"/>
      <c r="H6" s="33"/>
      <c r="I6" s="33"/>
      <c r="J6" s="33"/>
      <c r="K6" s="33"/>
      <c r="L6" s="33"/>
    </row>
    <row r="7" customFormat="false" ht="15" hidden="false" customHeight="false" outlineLevel="0" collapsed="false">
      <c r="F7" s="33"/>
      <c r="G7" s="33"/>
      <c r="H7" s="33"/>
      <c r="I7" s="33"/>
      <c r="J7" s="33"/>
      <c r="K7" s="33"/>
      <c r="L7" s="33"/>
    </row>
    <row r="8" customFormat="false" ht="15" hidden="false" customHeight="false" outlineLevel="0" collapsed="false">
      <c r="F8" s="33"/>
      <c r="G8" s="33"/>
      <c r="H8" s="33"/>
      <c r="I8" s="33"/>
      <c r="J8" s="33"/>
      <c r="K8" s="33"/>
      <c r="L8" s="33"/>
    </row>
    <row r="9" customFormat="false" ht="15" hidden="false" customHeight="false" outlineLevel="0" collapsed="false">
      <c r="F9" s="33"/>
      <c r="G9" s="33"/>
      <c r="H9" s="33"/>
      <c r="I9" s="33"/>
      <c r="J9" s="33"/>
      <c r="K9" s="33"/>
      <c r="L9" s="33"/>
      <c r="AF9" s="46"/>
    </row>
    <row r="10" customFormat="false" ht="15" hidden="false" customHeight="false" outlineLevel="0" collapsed="false">
      <c r="F10" s="33"/>
      <c r="G10" s="33"/>
      <c r="H10" s="33"/>
      <c r="I10" s="33"/>
      <c r="J10" s="33"/>
      <c r="K10" s="33"/>
      <c r="L10" s="33"/>
      <c r="AF10" s="46"/>
    </row>
    <row r="11" customFormat="false" ht="15" hidden="false" customHeight="false" outlineLevel="0" collapsed="false">
      <c r="A11" s="33" t="s">
        <v>164</v>
      </c>
      <c r="B11" s="46" t="n">
        <f aca="false">+SUM(G26:G28)</f>
        <v>79712.6</v>
      </c>
      <c r="C11" s="33" t="n">
        <f aca="false">+C21/(B11*B21)</f>
        <v>1.71370883231342</v>
      </c>
      <c r="F11" s="33"/>
      <c r="G11" s="33"/>
      <c r="H11" s="33"/>
      <c r="I11" s="33"/>
      <c r="J11" s="33"/>
      <c r="K11" s="33"/>
      <c r="L11" s="33"/>
      <c r="AF11" s="46"/>
    </row>
    <row r="12" customFormat="false" ht="15" hidden="false" customHeight="false" outlineLevel="0" collapsed="false">
      <c r="F12" s="33"/>
      <c r="G12" s="33"/>
      <c r="H12" s="33"/>
      <c r="I12" s="33"/>
      <c r="J12" s="33"/>
      <c r="K12" s="33"/>
      <c r="L12" s="33"/>
      <c r="AF12" s="46"/>
    </row>
    <row r="13" customFormat="false" ht="15" hidden="false" customHeight="false" outlineLevel="0" collapsed="false">
      <c r="A13" s="46" t="n">
        <f aca="false">+G29</f>
        <v>22667.152</v>
      </c>
      <c r="B13" s="23" t="n">
        <f aca="false">+H29</f>
        <v>0.60589</v>
      </c>
      <c r="F13" s="33"/>
      <c r="G13" s="33"/>
      <c r="H13" s="33"/>
      <c r="I13" s="33"/>
      <c r="J13" s="33"/>
      <c r="K13" s="33"/>
      <c r="L13" s="33"/>
      <c r="AF13" s="46"/>
    </row>
    <row r="14" customFormat="false" ht="15" hidden="false" customHeight="false" outlineLevel="0" collapsed="false">
      <c r="A14" s="46" t="n">
        <f aca="false">+G33</f>
        <v>18314.104</v>
      </c>
      <c r="B14" s="23" t="n">
        <f aca="false">+H33</f>
        <v>0.602156</v>
      </c>
      <c r="F14" s="33"/>
      <c r="G14" s="33"/>
      <c r="H14" s="33"/>
      <c r="I14" s="33"/>
      <c r="J14" s="33"/>
      <c r="K14" s="33"/>
      <c r="L14" s="33"/>
      <c r="AF14" s="46"/>
    </row>
    <row r="15" customFormat="false" ht="15" hidden="false" customHeight="false" outlineLevel="0" collapsed="false">
      <c r="A15" s="46"/>
      <c r="B15" s="23"/>
      <c r="F15" s="33"/>
      <c r="G15" s="33"/>
      <c r="H15" s="33"/>
      <c r="I15" s="33"/>
      <c r="J15" s="33"/>
      <c r="K15" s="33"/>
      <c r="L15" s="33"/>
      <c r="AF15" s="46"/>
    </row>
    <row r="16" customFormat="false" ht="15" hidden="false" customHeight="false" outlineLevel="0" collapsed="false">
      <c r="A16" s="33" t="s">
        <v>165</v>
      </c>
      <c r="F16" s="33"/>
      <c r="G16" s="33"/>
      <c r="H16" s="33"/>
      <c r="I16" s="33"/>
      <c r="J16" s="33"/>
      <c r="K16" s="33"/>
      <c r="L16" s="33"/>
      <c r="AF16" s="46"/>
    </row>
    <row r="17" customFormat="false" ht="15" hidden="false" customHeight="false" outlineLevel="0" collapsed="false">
      <c r="A17" s="46" t="n">
        <f aca="false">+SUM(A13:A15)</f>
        <v>40981.256</v>
      </c>
      <c r="B17" s="23" t="n">
        <v>0.5</v>
      </c>
      <c r="F17" s="33"/>
      <c r="G17" s="33"/>
      <c r="H17" s="33"/>
      <c r="I17" s="33"/>
      <c r="J17" s="33"/>
      <c r="K17" s="33"/>
      <c r="L17" s="33"/>
      <c r="AF17" s="46"/>
    </row>
    <row r="18" customFormat="false" ht="15" hidden="false" customHeight="false" outlineLevel="0" collapsed="false">
      <c r="F18" s="33"/>
      <c r="G18" s="33"/>
      <c r="H18" s="33"/>
      <c r="I18" s="33"/>
      <c r="J18" s="33"/>
      <c r="K18" s="33"/>
      <c r="L18" s="33"/>
      <c r="AF18" s="46"/>
    </row>
    <row r="19" customFormat="false" ht="15" hidden="false" customHeight="false" outlineLevel="0" collapsed="false">
      <c r="AF19" s="46"/>
    </row>
    <row r="20" customFormat="false" ht="15" hidden="false" customHeight="false" outlineLevel="0" collapsed="false"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AF20" s="46"/>
    </row>
    <row r="21" customFormat="false" ht="15.75" hidden="false" customHeight="true" outlineLevel="0" collapsed="false">
      <c r="B21" s="24" t="n">
        <v>0.3</v>
      </c>
      <c r="C21" s="46" t="n">
        <f aca="false">+A17</f>
        <v>40981.256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AF21" s="46"/>
    </row>
    <row r="22" customFormat="false" ht="15.75" hidden="false" customHeight="true" outlineLevel="0" collapsed="false">
      <c r="B22" s="24"/>
      <c r="C22" s="46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AF22" s="46"/>
    </row>
    <row r="23" customFormat="false" ht="15.75" hidden="false" customHeight="true" outlineLevel="0" collapsed="false">
      <c r="B23" s="24"/>
      <c r="C23" s="46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AF23" s="46"/>
    </row>
    <row r="24" customFormat="false" ht="15.75" hidden="false" customHeight="true" outlineLevel="0" collapsed="false">
      <c r="G24" s="160" t="s">
        <v>166</v>
      </c>
      <c r="H24" s="160"/>
      <c r="J24" s="161" t="s">
        <v>167</v>
      </c>
      <c r="K24" s="161"/>
      <c r="L24" s="161"/>
      <c r="M24" s="33"/>
      <c r="N24" s="162"/>
      <c r="O24" s="162"/>
      <c r="P24" s="33"/>
      <c r="Q24" s="33"/>
      <c r="R24" s="163"/>
      <c r="S24" s="33"/>
      <c r="T24" s="33"/>
      <c r="U24" s="33"/>
      <c r="V24" s="33"/>
      <c r="W24" s="33"/>
      <c r="X24" s="33"/>
      <c r="Y24" s="33"/>
      <c r="AF24" s="46"/>
    </row>
    <row r="25" customFormat="false" ht="15.75" hidden="false" customHeight="true" outlineLevel="0" collapsed="false">
      <c r="G25" s="164" t="s">
        <v>8</v>
      </c>
      <c r="H25" s="164" t="s">
        <v>56</v>
      </c>
      <c r="J25" s="165" t="s">
        <v>8</v>
      </c>
      <c r="K25" s="165" t="s">
        <v>56</v>
      </c>
      <c r="L25" s="165" t="s">
        <v>168</v>
      </c>
      <c r="M25" s="33"/>
      <c r="N25" s="26"/>
      <c r="O25" s="26"/>
      <c r="P25" s="166"/>
      <c r="Q25" s="167"/>
      <c r="R25" s="168"/>
      <c r="S25" s="167"/>
      <c r="T25" s="33"/>
      <c r="U25" s="33"/>
      <c r="V25" s="33"/>
      <c r="W25" s="33"/>
      <c r="X25" s="33"/>
      <c r="Y25" s="33"/>
      <c r="AF25" s="46"/>
    </row>
    <row r="26" customFormat="false" ht="15.75" hidden="false" customHeight="true" outlineLevel="0" collapsed="false">
      <c r="E26" s="33" t="n">
        <f aca="false">+E3</f>
        <v>0</v>
      </c>
      <c r="F26" s="33" t="s">
        <v>13</v>
      </c>
      <c r="G26" s="169" t="n">
        <f aca="false">Utilidad!A1</f>
        <v>0</v>
      </c>
      <c r="H26" s="170" t="n">
        <f aca="false">IF(Utilidad!C$18&gt;1,Utilidad!C1/100,Utilidad!C1)</f>
        <v>0</v>
      </c>
      <c r="I26" s="24"/>
      <c r="J26" s="169" t="n">
        <f aca="false">Utilidad!B1</f>
        <v>0</v>
      </c>
      <c r="K26" s="170" t="n">
        <f aca="false">IF(Utilidad!D1&gt;1,Utilidad!D1/100,Utilidad!D1)</f>
        <v>0</v>
      </c>
      <c r="L26" s="105" t="n">
        <f aca="false">+J26*K26</f>
        <v>0</v>
      </c>
      <c r="M26" s="33"/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Y26" s="33"/>
      <c r="AF26" s="46"/>
    </row>
    <row r="27" customFormat="false" ht="15.75" hidden="false" customHeight="true" outlineLevel="0" collapsed="false">
      <c r="E27" s="33" t="n">
        <f aca="false">+E4</f>
        <v>0</v>
      </c>
      <c r="F27" s="33" t="s">
        <v>14</v>
      </c>
      <c r="G27" s="169" t="n">
        <f aca="false">Utilidad!A2</f>
        <v>68993</v>
      </c>
      <c r="H27" s="170" t="n">
        <f aca="false">IF(Utilidad!C$18&gt;1,Utilidad!C2/100,Utilidad!C2)</f>
        <v>0.535266</v>
      </c>
      <c r="I27" s="24"/>
      <c r="J27" s="169" t="n">
        <f aca="false">Utilidad!B2</f>
        <v>66085.374488</v>
      </c>
      <c r="K27" s="170" t="n">
        <f aca="false">IF(Utilidad!D2&gt;1,Utilidad!D2/100,Utilidad!D2)</f>
        <v>0.50486596686</v>
      </c>
      <c r="L27" s="105" t="n">
        <f aca="false">+J27*K27</f>
        <v>33364.2564861893</v>
      </c>
      <c r="M27" s="33"/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  <c r="Y27" s="33"/>
    </row>
    <row r="28" customFormat="false" ht="15.75" hidden="false" customHeight="true" outlineLevel="0" collapsed="false">
      <c r="E28" s="33" t="n">
        <f aca="false">+E5</f>
        <v>0</v>
      </c>
      <c r="F28" s="33" t="s">
        <v>15</v>
      </c>
      <c r="G28" s="169" t="n">
        <f aca="false">Utilidad!A3</f>
        <v>10719.6</v>
      </c>
      <c r="H28" s="170" t="n">
        <f aca="false">IF(Utilidad!C$18&gt;1,Utilidad!C3/100,Utilidad!C3)</f>
        <v>0.552907</v>
      </c>
      <c r="I28" s="24"/>
      <c r="J28" s="169" t="n">
        <f aca="false">Utilidad!B3</f>
        <v>10638.742332</v>
      </c>
      <c r="K28" s="170" t="n">
        <f aca="false">IF(Utilidad!D3&gt;1,Utilidad!D3/100,Utilidad!D3)</f>
        <v>0.54764364774</v>
      </c>
      <c r="L28" s="105" t="n">
        <f aca="false">+J28*K28</f>
        <v>5826.23965806243</v>
      </c>
      <c r="M28" s="33"/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  <c r="Y28" s="33"/>
    </row>
    <row r="29" customFormat="false" ht="15.75" hidden="false" customHeight="true" outlineLevel="0" collapsed="false">
      <c r="E29" s="33" t="n">
        <f aca="false">+E6</f>
        <v>0</v>
      </c>
      <c r="F29" s="33" t="s">
        <v>16</v>
      </c>
      <c r="G29" s="169" t="n">
        <f aca="false">Utilidad!A4</f>
        <v>22667.152</v>
      </c>
      <c r="H29" s="170" t="n">
        <f aca="false">IF(Utilidad!C$18&gt;1,Utilidad!C4/100,Utilidad!C4)</f>
        <v>0.60589</v>
      </c>
      <c r="J29" s="169" t="n">
        <f aca="false">Utilidad!B4</f>
        <v>23736.495548</v>
      </c>
      <c r="K29" s="170" t="n">
        <f aca="false">IF(Utilidad!D4&gt;1,Utilidad!D4/100,Utilidad!D4)</f>
        <v>0.60202205505</v>
      </c>
      <c r="L29" s="105" t="n">
        <f aca="false">+J29*K29</f>
        <v>14289.8938294921</v>
      </c>
      <c r="M29" s="33"/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46"/>
      <c r="Y29" s="46"/>
    </row>
    <row r="30" customFormat="false" ht="15.75" hidden="false" customHeight="true" outlineLevel="0" collapsed="false">
      <c r="A30" s="46" t="n">
        <f aca="false">+'Calc Nodos'!F4</f>
        <v>2867</v>
      </c>
      <c r="B30" s="46"/>
      <c r="C30" s="46"/>
      <c r="D30" s="33" t="n">
        <f aca="false">+IF(A30&gt;0,1,IF(A30&lt;&gt;0,-1,0))</f>
        <v>1</v>
      </c>
      <c r="E30" s="33" t="n">
        <f aca="false">+E7</f>
        <v>0</v>
      </c>
      <c r="F30" s="124" t="s">
        <v>17</v>
      </c>
      <c r="G30" s="169" t="n">
        <f aca="false">Utilidad!A5</f>
        <v>2867</v>
      </c>
      <c r="H30" s="170" t="n">
        <f aca="false">IF(Utilidad!C$18&gt;1,Utilidad!C5/100,Utilidad!C5)</f>
        <v>0.60589</v>
      </c>
      <c r="I30" s="172"/>
      <c r="J30" s="169" t="n">
        <f aca="false">Utilidad!B5</f>
        <v>2857.2055475</v>
      </c>
      <c r="K30" s="170" t="n">
        <f aca="false">IF(Utilidad!D5&gt;1,Utilidad!D5/100,Utilidad!D5)</f>
        <v>0.60802643126</v>
      </c>
      <c r="L30" s="105" t="n">
        <f aca="false">+J30*K30</f>
        <v>1737.2564924227</v>
      </c>
      <c r="M30" s="33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46"/>
      <c r="Y30" s="46"/>
    </row>
    <row r="31" customFormat="false" ht="15.75" hidden="false" customHeight="true" outlineLevel="0" collapsed="false">
      <c r="E31" s="33" t="n">
        <f aca="false">+E8</f>
        <v>0</v>
      </c>
      <c r="F31" s="33" t="s">
        <v>18</v>
      </c>
      <c r="G31" s="169" t="n">
        <f aca="false">Utilidad!A6</f>
        <v>0</v>
      </c>
      <c r="H31" s="170" t="n">
        <f aca="false">IF(Utilidad!C$18&gt;1,Utilidad!C6/100,Utilidad!C6)</f>
        <v>0</v>
      </c>
      <c r="J31" s="169" t="n">
        <f aca="false">Utilidad!B6</f>
        <v>0</v>
      </c>
      <c r="K31" s="170" t="n">
        <f aca="false">IF(Utilidad!D6&gt;1,Utilidad!D6/100,Utilidad!D6)</f>
        <v>0</v>
      </c>
      <c r="L31" s="105" t="n">
        <f aca="false">+J31*K31</f>
        <v>0</v>
      </c>
      <c r="M31" s="33"/>
      <c r="N31" s="22"/>
      <c r="O31" s="23"/>
      <c r="P31" s="22"/>
      <c r="Q31" s="167"/>
      <c r="R31" s="171"/>
      <c r="S31" s="167"/>
      <c r="T31" s="33"/>
      <c r="U31" s="33"/>
      <c r="V31" s="33"/>
      <c r="W31" s="33"/>
      <c r="X31" s="46"/>
      <c r="Y31" s="46"/>
    </row>
    <row r="32" customFormat="false" ht="15.75" hidden="false" customHeight="true" outlineLevel="0" collapsed="false">
      <c r="E32" s="33" t="n">
        <f aca="false">+E9</f>
        <v>0</v>
      </c>
      <c r="F32" s="33" t="s">
        <v>19</v>
      </c>
      <c r="G32" s="169" t="n">
        <f aca="false">Utilidad!A7</f>
        <v>20879.29</v>
      </c>
      <c r="H32" s="170" t="n">
        <f aca="false">IF(Utilidad!C$18&gt;1,Utilidad!C7/100,Utilidad!C7)</f>
        <v>0.5849</v>
      </c>
      <c r="J32" s="169" t="n">
        <f aca="false">Utilidad!B7</f>
        <v>20879.29</v>
      </c>
      <c r="K32" s="170" t="n">
        <f aca="false">IF(Utilidad!D7&gt;1,Utilidad!D7/100,Utilidad!D7)</f>
        <v>0.60120039194</v>
      </c>
      <c r="L32" s="105" t="n">
        <f aca="false">+J32*K32</f>
        <v>12552.6373314289</v>
      </c>
      <c r="M32" s="33"/>
      <c r="N32" s="22"/>
      <c r="O32" s="23"/>
      <c r="P32" s="22"/>
      <c r="Q32" s="167"/>
      <c r="R32" s="171"/>
      <c r="S32" s="167"/>
      <c r="T32" s="33"/>
      <c r="U32" s="33"/>
      <c r="V32" s="33"/>
      <c r="W32" s="33"/>
      <c r="X32" s="46"/>
      <c r="Y32" s="46"/>
    </row>
    <row r="33" customFormat="false" ht="15.75" hidden="false" customHeight="true" outlineLevel="0" collapsed="false">
      <c r="E33" s="33" t="n">
        <f aca="false">+E10</f>
        <v>0</v>
      </c>
      <c r="F33" s="33" t="s">
        <v>20</v>
      </c>
      <c r="G33" s="169" t="n">
        <f aca="false">Utilidad!A8</f>
        <v>18314.104</v>
      </c>
      <c r="H33" s="170" t="n">
        <f aca="false">IF(Utilidad!C$18&gt;1,Utilidad!C8/100,Utilidad!C8)</f>
        <v>0.602156</v>
      </c>
      <c r="J33" s="169" t="n">
        <f aca="false">Utilidad!B8</f>
        <v>16442.96025</v>
      </c>
      <c r="K33" s="170" t="n">
        <f aca="false">IF(Utilidad!D8&gt;1,Utilidad!D8/100,Utilidad!D8)</f>
        <v>0.6060561106</v>
      </c>
      <c r="L33" s="105" t="n">
        <f aca="false">+J33*K33</f>
        <v>9965.3565358654</v>
      </c>
      <c r="M33" s="33"/>
      <c r="N33" s="22"/>
      <c r="O33" s="23"/>
      <c r="P33" s="22"/>
      <c r="Q33" s="167"/>
      <c r="R33" s="171"/>
      <c r="S33" s="167"/>
      <c r="T33" s="33"/>
      <c r="U33" s="33"/>
      <c r="V33" s="33"/>
      <c r="W33" s="33"/>
      <c r="X33" s="33"/>
      <c r="Y33" s="33"/>
    </row>
    <row r="34" customFormat="false" ht="15.75" hidden="false" customHeight="true" outlineLevel="0" collapsed="false">
      <c r="A34" s="46" t="n">
        <f aca="false">+'Calc Nodos'!F5</f>
        <v>212</v>
      </c>
      <c r="B34" s="46"/>
      <c r="C34" s="46"/>
      <c r="D34" s="33" t="n">
        <f aca="false">+IF(A34&gt;0,1,IF(A34&lt;&gt;0,-1,0))</f>
        <v>1</v>
      </c>
      <c r="E34" s="33" t="n">
        <f aca="false">+E11</f>
        <v>0</v>
      </c>
      <c r="F34" s="124" t="s">
        <v>21</v>
      </c>
      <c r="G34" s="169" t="n">
        <f aca="false">Utilidad!A9</f>
        <v>212</v>
      </c>
      <c r="H34" s="170" t="n">
        <f aca="false">IF(Utilidad!C$18&gt;1,Utilidad!C9/100,Utilidad!C9)</f>
        <v>0.6006</v>
      </c>
      <c r="I34" s="172"/>
      <c r="J34" s="169" t="n">
        <f aca="false">Utilidad!B9</f>
        <v>212.29024952</v>
      </c>
      <c r="K34" s="170" t="n">
        <f aca="false">IF(Utilidad!D9&gt;1,Utilidad!D9/100,Utilidad!D9)</f>
        <v>0.6006521693</v>
      </c>
      <c r="L34" s="105" t="n">
        <f aca="false">+J34*K34</f>
        <v>127.512598895426</v>
      </c>
      <c r="M34" s="33"/>
      <c r="N34" s="22"/>
      <c r="O34" s="23"/>
      <c r="P34" s="22"/>
      <c r="Q34" s="167"/>
      <c r="R34" s="171"/>
      <c r="S34" s="167"/>
      <c r="T34" s="33"/>
      <c r="U34" s="33"/>
      <c r="V34" s="33"/>
      <c r="W34" s="33"/>
      <c r="X34" s="33"/>
      <c r="Y34" s="33"/>
    </row>
    <row r="35" customFormat="false" ht="15.75" hidden="false" customHeight="true" outlineLevel="0" collapsed="false">
      <c r="E35" s="33" t="n">
        <f aca="false">+E12</f>
        <v>0</v>
      </c>
      <c r="F35" s="33" t="s">
        <v>22</v>
      </c>
      <c r="G35" s="169" t="n">
        <f aca="false">Utilidad!A10</f>
        <v>0</v>
      </c>
      <c r="H35" s="170" t="n">
        <f aca="false">IF(Utilidad!C$18&gt;1,Utilidad!C10/100,Utilidad!C10)</f>
        <v>0</v>
      </c>
      <c r="J35" s="169" t="n">
        <f aca="false">Utilidad!B10</f>
        <v>0</v>
      </c>
      <c r="K35" s="170" t="n">
        <f aca="false">IF(Utilidad!D10&gt;1,Utilidad!D10/100,Utilidad!D10)</f>
        <v>0</v>
      </c>
      <c r="L35" s="105" t="n">
        <f aca="false">+J35*K35</f>
        <v>0</v>
      </c>
      <c r="M35" s="33"/>
      <c r="N35" s="22"/>
      <c r="O35" s="23"/>
      <c r="P35" s="22"/>
      <c r="Q35" s="167"/>
      <c r="R35" s="171"/>
      <c r="S35" s="167"/>
      <c r="T35" s="33"/>
      <c r="U35" s="33"/>
      <c r="V35" s="33"/>
      <c r="W35" s="33"/>
      <c r="X35" s="33"/>
      <c r="Y35" s="33"/>
    </row>
    <row r="36" customFormat="false" ht="15.75" hidden="false" customHeight="true" outlineLevel="0" collapsed="false">
      <c r="E36" s="33" t="n">
        <f aca="false">+E13</f>
        <v>0</v>
      </c>
      <c r="F36" s="33" t="s">
        <v>23</v>
      </c>
      <c r="G36" s="169" t="n">
        <f aca="false">Utilidad!A11</f>
        <v>16230.67</v>
      </c>
      <c r="H36" s="170" t="n">
        <f aca="false">IF(Utilidad!C$18&gt;1,Utilidad!C11/100,Utilidad!C11)</f>
        <v>0.6006</v>
      </c>
      <c r="J36" s="169" t="n">
        <f aca="false">Utilidad!B11</f>
        <v>16230.67</v>
      </c>
      <c r="K36" s="170" t="n">
        <f aca="false">IF(Utilidad!D11&gt;1,Utilidad!D11/100,Utilidad!D11)</f>
        <v>0.60612679185</v>
      </c>
      <c r="L36" s="105" t="n">
        <f aca="false">+J36*K36</f>
        <v>9837.84393667604</v>
      </c>
      <c r="M36" s="33"/>
      <c r="N36" s="22"/>
      <c r="O36" s="23"/>
      <c r="P36" s="22"/>
      <c r="Q36" s="167"/>
      <c r="R36" s="171"/>
      <c r="S36" s="167"/>
      <c r="T36" s="33"/>
      <c r="U36" s="33"/>
      <c r="V36" s="33"/>
      <c r="W36" s="33"/>
      <c r="X36" s="33"/>
      <c r="Y36" s="33"/>
    </row>
    <row r="37" customFormat="false" ht="15.75" hidden="false" customHeight="true" outlineLevel="0" collapsed="false">
      <c r="E37" s="33" t="n">
        <f aca="false">+E14</f>
        <v>0</v>
      </c>
      <c r="F37" s="33" t="s">
        <v>24</v>
      </c>
      <c r="G37" s="169" t="n">
        <f aca="false">Utilidad!A12</f>
        <v>13136</v>
      </c>
      <c r="H37" s="170" t="n">
        <f aca="false">IF(Utilidad!C$18&gt;1,Utilidad!C12/100,Utilidad!C12)</f>
        <v>0.357814</v>
      </c>
      <c r="J37" s="169" t="n">
        <f aca="false">Utilidad!B12</f>
        <v>4229.8487616</v>
      </c>
      <c r="K37" s="170" t="n">
        <f aca="false">IF(Utilidad!D12&gt;1,Utilidad!D12/100,Utilidad!D12)</f>
        <v>0.35829297645</v>
      </c>
      <c r="L37" s="105" t="n">
        <f aca="false">+J37*K37</f>
        <v>1515.52510272701</v>
      </c>
      <c r="M37" s="33"/>
      <c r="N37" s="22"/>
      <c r="O37" s="23"/>
      <c r="P37" s="22"/>
      <c r="Q37" s="167"/>
      <c r="R37" s="171"/>
      <c r="S37" s="167"/>
      <c r="T37" s="33"/>
      <c r="U37" s="33"/>
      <c r="V37" s="33"/>
      <c r="W37" s="33"/>
      <c r="X37" s="33"/>
      <c r="Y37" s="33"/>
    </row>
    <row r="38" customFormat="false" ht="15.75" hidden="false" customHeight="true" outlineLevel="0" collapsed="false">
      <c r="A38" s="46" t="n">
        <f aca="false">+'Calc Nodos'!F6</f>
        <v>-478</v>
      </c>
      <c r="B38" s="46"/>
      <c r="C38" s="46"/>
      <c r="D38" s="33" t="n">
        <f aca="false">+IF(A38&gt;0,1,IF(A38&lt;&gt;0,-1,0))</f>
        <v>-1</v>
      </c>
      <c r="E38" s="33" t="n">
        <f aca="false">+E15</f>
        <v>0</v>
      </c>
      <c r="F38" s="124" t="s">
        <v>25</v>
      </c>
      <c r="G38" s="169" t="n">
        <f aca="false">Utilidad!A13</f>
        <v>-478</v>
      </c>
      <c r="H38" s="170" t="n">
        <f aca="false">IF(Utilidad!C$18&gt;1,Utilidad!C13/100,Utilidad!C13)</f>
        <v>0.357814</v>
      </c>
      <c r="I38" s="172"/>
      <c r="J38" s="169" t="n">
        <f aca="false">Utilidad!B13</f>
        <v>-466.1512384</v>
      </c>
      <c r="K38" s="170" t="n">
        <f aca="false">IF(Utilidad!D13&gt;1,Utilidad!D13/100,Utilidad!D13)</f>
        <v>0.35777141284</v>
      </c>
      <c r="L38" s="105" t="n">
        <f aca="false">+J38*K38</f>
        <v>-166.775587159484</v>
      </c>
      <c r="M38" s="33"/>
      <c r="N38" s="22"/>
      <c r="O38" s="23"/>
      <c r="P38" s="22"/>
      <c r="Q38" s="167"/>
      <c r="R38" s="171"/>
      <c r="S38" s="167"/>
      <c r="T38" s="33"/>
      <c r="U38" s="33"/>
      <c r="V38" s="33"/>
      <c r="W38" s="33"/>
      <c r="X38" s="33"/>
      <c r="Y38" s="33"/>
    </row>
    <row r="39" customFormat="false" ht="15.75" hidden="false" customHeight="true" outlineLevel="0" collapsed="false">
      <c r="E39" s="33" t="n">
        <f aca="false">+E16</f>
        <v>0</v>
      </c>
      <c r="F39" s="33" t="s">
        <v>26</v>
      </c>
      <c r="G39" s="169" t="n">
        <f aca="false">Utilidad!A14</f>
        <v>4696</v>
      </c>
      <c r="H39" s="170" t="n">
        <f aca="false">IF(Utilidad!C$18&gt;1,Utilidad!C14/100,Utilidad!C14)</f>
        <v>0.357814</v>
      </c>
      <c r="J39" s="169" t="n">
        <f aca="false">Utilidad!B14</f>
        <v>4696</v>
      </c>
      <c r="K39" s="170" t="n">
        <f aca="false">IF(Utilidad!D14&gt;1,Utilidad!D14/100,Utilidad!D14)</f>
        <v>0.35824120328</v>
      </c>
      <c r="L39" s="105" t="n">
        <f aca="false">+J39*K39</f>
        <v>1682.30069060288</v>
      </c>
      <c r="M39" s="33"/>
      <c r="N39" s="22"/>
      <c r="O39" s="23"/>
      <c r="P39" s="22"/>
      <c r="Q39" s="167"/>
      <c r="R39" s="171"/>
      <c r="S39" s="167"/>
      <c r="T39" s="33"/>
      <c r="U39" s="33"/>
      <c r="V39" s="33"/>
      <c r="W39" s="33"/>
      <c r="X39" s="33"/>
      <c r="Y39" s="33"/>
    </row>
    <row r="40" customFormat="false" ht="15.75" hidden="false" customHeight="true" outlineLevel="0" collapsed="false">
      <c r="E40" s="33" t="n">
        <f aca="false">+E17</f>
        <v>0</v>
      </c>
      <c r="F40" s="33" t="s">
        <v>27</v>
      </c>
      <c r="G40" s="169" t="n">
        <f aca="false">Utilidad!A15</f>
        <v>25816</v>
      </c>
      <c r="H40" s="170" t="n">
        <f aca="false">IF(Utilidad!C$18&gt;1,Utilidad!C15/100,Utilidad!C15)</f>
        <v>0.4116</v>
      </c>
      <c r="J40" s="169" t="n">
        <f aca="false">Utilidad!B15</f>
        <v>32314.812261</v>
      </c>
      <c r="K40" s="170" t="n">
        <f aca="false">IF(Utilidad!D15&gt;1,Utilidad!D15/100,Utilidad!D15)</f>
        <v>0.41528078761</v>
      </c>
      <c r="L40" s="105" t="n">
        <f aca="false">+J40*K40</f>
        <v>13419.7206872174</v>
      </c>
      <c r="M40" s="46"/>
      <c r="N40" s="22"/>
      <c r="O40" s="23"/>
      <c r="P40" s="22"/>
      <c r="Q40" s="167"/>
      <c r="R40" s="171"/>
      <c r="S40" s="167"/>
      <c r="T40" s="33"/>
      <c r="U40" s="33"/>
      <c r="V40" s="33"/>
      <c r="W40" s="33"/>
      <c r="X40" s="33"/>
      <c r="Y40" s="33"/>
    </row>
    <row r="41" customFormat="false" ht="15.75" hidden="false" customHeight="true" outlineLevel="0" collapsed="false">
      <c r="A41" s="46" t="n">
        <f aca="false">+'Calc Nodos'!F7</f>
        <v>528</v>
      </c>
      <c r="B41" s="46"/>
      <c r="C41" s="46"/>
      <c r="D41" s="33" t="n">
        <f aca="false">+IF(A41&gt;0,1,IF(A41&lt;&gt;0,-1,0))</f>
        <v>1</v>
      </c>
      <c r="E41" s="33" t="n">
        <f aca="false">+E18</f>
        <v>0</v>
      </c>
      <c r="F41" s="124" t="s">
        <v>28</v>
      </c>
      <c r="G41" s="169" t="n">
        <f aca="false">Utilidad!A16</f>
        <v>528</v>
      </c>
      <c r="H41" s="170" t="n">
        <f aca="false">IF(Utilidad!C$18&gt;1,Utilidad!C16/100,Utilidad!C16)</f>
        <v>0.4116</v>
      </c>
      <c r="I41" s="172"/>
      <c r="J41" s="169" t="n">
        <f aca="false">Utilidad!B16</f>
        <v>5438.3422614</v>
      </c>
      <c r="K41" s="170" t="n">
        <f aca="false">IF(Utilidad!D16&gt;1,Utilidad!D16/100,Utilidad!D16)</f>
        <v>0.41245840203</v>
      </c>
      <c r="L41" s="105" t="n">
        <f aca="false">+J41*K41</f>
        <v>2243.08995882926</v>
      </c>
      <c r="M41" s="33"/>
      <c r="N41" s="22"/>
      <c r="O41" s="23"/>
      <c r="P41" s="22"/>
      <c r="Q41" s="167"/>
      <c r="R41" s="171"/>
      <c r="S41" s="167"/>
      <c r="T41" s="33"/>
      <c r="U41" s="33"/>
      <c r="V41" s="33"/>
      <c r="W41" s="33"/>
      <c r="X41" s="33"/>
      <c r="Y41" s="33"/>
    </row>
    <row r="42" customFormat="false" ht="15.75" hidden="false" customHeight="true" outlineLevel="0" collapsed="false">
      <c r="E42" s="33" t="n">
        <f aca="false">+E19</f>
        <v>0</v>
      </c>
      <c r="F42" s="33" t="s">
        <v>29</v>
      </c>
      <c r="G42" s="169" t="n">
        <f aca="false">Utilidad!A17</f>
        <v>26876.47</v>
      </c>
      <c r="H42" s="170" t="n">
        <f aca="false">IF(Utilidad!C$18&gt;1,Utilidad!C17/100,Utilidad!C17)</f>
        <v>0.4116</v>
      </c>
      <c r="J42" s="169" t="n">
        <f aca="false">Utilidad!B17</f>
        <v>26876.47</v>
      </c>
      <c r="K42" s="170" t="n">
        <f aca="false">IF(Utilidad!D17&gt;1,Utilidad!D17/100,Utilidad!D17)</f>
        <v>0.41585188563</v>
      </c>
      <c r="L42" s="105" t="n">
        <f aca="false">+J42*K42</f>
        <v>11176.6307285781</v>
      </c>
      <c r="M42" s="33"/>
      <c r="N42" s="22"/>
      <c r="O42" s="23"/>
      <c r="P42" s="22"/>
      <c r="Q42" s="167"/>
      <c r="R42" s="171"/>
      <c r="S42" s="167"/>
      <c r="T42" s="33"/>
      <c r="U42" s="33"/>
      <c r="V42" s="33"/>
      <c r="W42" s="33"/>
      <c r="X42" s="33"/>
      <c r="Y42" s="33"/>
    </row>
    <row r="43" customFormat="false" ht="15.75" hidden="false" customHeight="true" outlineLevel="0" collapsed="false"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customFormat="false" ht="15.75" hidden="false" customHeight="true" outlineLevel="0" collapsed="false">
      <c r="C44" s="33"/>
      <c r="D44" s="33"/>
      <c r="E44" s="33"/>
      <c r="F44" s="156"/>
      <c r="G44" s="173"/>
      <c r="H44" s="173"/>
      <c r="I44" s="33"/>
      <c r="J44" s="173"/>
      <c r="K44" s="17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customFormat="false" ht="15.75" hidden="false" customHeight="true" outlineLevel="0" collapsed="false">
      <c r="C45" s="33"/>
      <c r="D45" s="33"/>
      <c r="E45" s="33"/>
      <c r="F45" s="156"/>
      <c r="G45" s="26"/>
      <c r="H45" s="26"/>
      <c r="I45" s="33"/>
      <c r="J45" s="26"/>
      <c r="K45" s="26"/>
      <c r="L45" s="33"/>
      <c r="M45" s="26"/>
      <c r="N45" s="26"/>
      <c r="O45" s="26"/>
      <c r="P45" s="26"/>
      <c r="Q45" s="33"/>
      <c r="R45" s="33"/>
      <c r="S45" s="33"/>
      <c r="T45" s="33"/>
      <c r="U45" s="33"/>
      <c r="V45" s="33"/>
      <c r="W45" s="33"/>
      <c r="X45" s="33"/>
      <c r="Y45" s="33"/>
    </row>
    <row r="46" customFormat="false" ht="15.75" hidden="false" customHeight="true" outlineLevel="0" collapsed="false">
      <c r="C46" s="33"/>
      <c r="D46" s="33"/>
      <c r="E46" s="33"/>
      <c r="F46" s="33"/>
      <c r="G46" s="33"/>
      <c r="H46" s="33"/>
      <c r="I46" s="33"/>
      <c r="J46" s="46"/>
      <c r="K46" s="24"/>
      <c r="L46" s="33"/>
      <c r="M46" s="26"/>
      <c r="N46" s="65"/>
      <c r="O46" s="171"/>
      <c r="P46" s="171"/>
      <c r="Q46" s="33"/>
      <c r="R46" s="33"/>
      <c r="S46" s="33"/>
      <c r="T46" s="33"/>
      <c r="U46" s="33"/>
      <c r="V46" s="33"/>
      <c r="W46" s="33"/>
      <c r="X46" s="33"/>
      <c r="Y46" s="33"/>
    </row>
    <row r="47" customFormat="false" ht="15.75" hidden="false" customHeight="true" outlineLevel="0" collapsed="false">
      <c r="C47" s="33"/>
      <c r="D47" s="33"/>
      <c r="E47" s="33"/>
      <c r="F47" s="33"/>
      <c r="G47" s="33"/>
      <c r="H47" s="33"/>
      <c r="I47" s="33"/>
      <c r="J47" s="46"/>
      <c r="K47" s="24"/>
      <c r="L47" s="33"/>
      <c r="M47" s="26"/>
      <c r="N47" s="65"/>
      <c r="O47" s="171"/>
      <c r="P47" s="171"/>
      <c r="Q47" s="33"/>
      <c r="R47" s="33"/>
      <c r="S47" s="33"/>
      <c r="T47" s="33"/>
      <c r="U47" s="33"/>
      <c r="V47" s="33"/>
      <c r="W47" s="33"/>
      <c r="X47" s="33"/>
      <c r="Y47" s="33"/>
    </row>
    <row r="48" customFormat="false" ht="15.75" hidden="false" customHeight="true" outlineLevel="0" collapsed="false">
      <c r="C48" s="33"/>
      <c r="D48" s="33"/>
      <c r="E48" s="33"/>
      <c r="F48" s="33"/>
      <c r="G48" s="33"/>
      <c r="H48" s="33"/>
      <c r="I48" s="33"/>
      <c r="J48" s="46"/>
      <c r="K48" s="24"/>
      <c r="L48" s="33"/>
      <c r="M48" s="33"/>
      <c r="N48" s="46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customFormat="false" ht="15.75" hidden="false" customHeight="true" outlineLevel="0" collapsed="false">
      <c r="C49" s="33"/>
      <c r="D49" s="33"/>
      <c r="E49" s="33"/>
      <c r="F49" s="33"/>
      <c r="G49" s="33"/>
      <c r="H49" s="33"/>
      <c r="I49" s="33"/>
      <c r="J49" s="46"/>
      <c r="K49" s="24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customFormat="false" ht="15.75" hidden="false" customHeight="true" outlineLevel="0" collapsed="false">
      <c r="C50" s="33"/>
      <c r="D50" s="33"/>
      <c r="E50" s="33"/>
      <c r="F50" s="33"/>
      <c r="G50" s="33"/>
      <c r="H50" s="33"/>
      <c r="I50" s="33"/>
      <c r="J50" s="46"/>
      <c r="K50" s="24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customFormat="false" ht="15.75" hidden="false" customHeight="true" outlineLevel="0" collapsed="false">
      <c r="C51" s="33"/>
      <c r="D51" s="33"/>
      <c r="E51" s="33"/>
      <c r="F51" s="33"/>
      <c r="G51" s="33"/>
      <c r="H51" s="33"/>
      <c r="I51" s="33"/>
      <c r="J51" s="46"/>
      <c r="K51" s="24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customFormat="false" ht="15.75" hidden="false" customHeight="true" outlineLevel="0" collapsed="false">
      <c r="C52" s="33"/>
      <c r="D52" s="33"/>
      <c r="E52" s="33"/>
      <c r="F52" s="33"/>
      <c r="G52" s="33"/>
      <c r="H52" s="33"/>
      <c r="I52" s="33"/>
      <c r="J52" s="46"/>
      <c r="K52" s="24"/>
      <c r="L52" s="33"/>
      <c r="M52" s="33"/>
    </row>
    <row r="53" customFormat="false" ht="15.75" hidden="false" customHeight="true" outlineLevel="0" collapsed="false">
      <c r="C53" s="33"/>
      <c r="D53" s="33"/>
      <c r="E53" s="33"/>
      <c r="F53" s="33"/>
      <c r="G53" s="33"/>
      <c r="H53" s="33"/>
      <c r="I53" s="33"/>
      <c r="J53" s="46"/>
      <c r="K53" s="24"/>
      <c r="L53" s="33"/>
      <c r="M53" s="33"/>
    </row>
    <row r="54" customFormat="false" ht="15.75" hidden="false" customHeight="true" outlineLevel="0" collapsed="false">
      <c r="C54" s="33"/>
      <c r="D54" s="33"/>
      <c r="E54" s="33"/>
      <c r="F54" s="33"/>
      <c r="G54" s="33"/>
      <c r="H54" s="33"/>
      <c r="I54" s="33"/>
      <c r="J54" s="46"/>
      <c r="K54" s="24"/>
      <c r="L54" s="33"/>
      <c r="M54" s="33"/>
    </row>
    <row r="55" customFormat="false" ht="15.75" hidden="false" customHeight="true" outlineLevel="0" collapsed="false">
      <c r="C55" s="33"/>
      <c r="D55" s="33"/>
      <c r="E55" s="33"/>
      <c r="F55" s="33"/>
      <c r="G55" s="33"/>
      <c r="H55" s="33"/>
      <c r="I55" s="33"/>
      <c r="J55" s="46"/>
      <c r="K55" s="24"/>
      <c r="L55" s="33"/>
      <c r="M55" s="33"/>
    </row>
    <row r="56" customFormat="false" ht="15.75" hidden="false" customHeight="true" outlineLevel="0" collapsed="false">
      <c r="C56" s="33"/>
      <c r="D56" s="33"/>
      <c r="E56" s="33"/>
      <c r="F56" s="33"/>
      <c r="G56" s="33"/>
      <c r="H56" s="33"/>
      <c r="I56" s="33"/>
      <c r="J56" s="46"/>
      <c r="K56" s="24"/>
      <c r="L56" s="33"/>
      <c r="M56" s="33"/>
    </row>
    <row r="57" customFormat="false" ht="15.75" hidden="false" customHeight="true" outlineLevel="0" collapsed="false">
      <c r="C57" s="33"/>
      <c r="D57" s="33"/>
      <c r="E57" s="33"/>
      <c r="F57" s="33"/>
      <c r="G57" s="33"/>
      <c r="H57" s="33"/>
      <c r="I57" s="33"/>
      <c r="J57" s="46"/>
      <c r="K57" s="24"/>
      <c r="L57" s="33"/>
      <c r="M57" s="33"/>
    </row>
    <row r="58" customFormat="false" ht="15.75" hidden="false" customHeight="true" outlineLevel="0" collapsed="false">
      <c r="C58" s="33"/>
      <c r="D58" s="33"/>
      <c r="E58" s="33"/>
      <c r="F58" s="33"/>
      <c r="G58" s="33"/>
      <c r="H58" s="33"/>
      <c r="I58" s="33"/>
      <c r="J58" s="46"/>
      <c r="K58" s="24"/>
      <c r="L58" s="33"/>
      <c r="M58" s="33"/>
    </row>
    <row r="59" customFormat="false" ht="15.75" hidden="false" customHeight="true" outlineLevel="0" collapsed="false">
      <c r="C59" s="33"/>
      <c r="D59" s="33"/>
      <c r="E59" s="33"/>
      <c r="F59" s="33"/>
      <c r="G59" s="33"/>
      <c r="H59" s="33"/>
      <c r="I59" s="33"/>
      <c r="J59" s="46"/>
      <c r="K59" s="24"/>
      <c r="L59" s="33"/>
      <c r="M59" s="33"/>
    </row>
    <row r="60" customFormat="false" ht="15.75" hidden="false" customHeight="true" outlineLevel="0" collapsed="false">
      <c r="C60" s="33"/>
      <c r="D60" s="33"/>
      <c r="E60" s="33"/>
      <c r="F60" s="33"/>
      <c r="G60" s="33"/>
      <c r="H60" s="33"/>
      <c r="I60" s="33"/>
      <c r="J60" s="46"/>
      <c r="K60" s="24"/>
      <c r="L60" s="33"/>
      <c r="M60" s="33"/>
    </row>
    <row r="61" customFormat="false" ht="15.75" hidden="false" customHeight="true" outlineLevel="0" collapsed="false">
      <c r="C61" s="33"/>
      <c r="D61" s="33"/>
      <c r="E61" s="33"/>
      <c r="F61" s="33"/>
      <c r="G61" s="33"/>
      <c r="H61" s="33"/>
      <c r="I61" s="33"/>
      <c r="J61" s="46"/>
      <c r="K61" s="24"/>
      <c r="L61" s="33"/>
      <c r="M61" s="33"/>
    </row>
    <row r="62" customFormat="false" ht="15.75" hidden="false" customHeight="true" outlineLevel="0" collapsed="false">
      <c r="C62" s="33"/>
      <c r="D62" s="33"/>
      <c r="E62" s="33"/>
      <c r="F62" s="33"/>
      <c r="G62" s="33"/>
      <c r="H62" s="33"/>
      <c r="I62" s="33"/>
      <c r="J62" s="46"/>
      <c r="K62" s="24"/>
      <c r="L62" s="33"/>
      <c r="M62" s="33"/>
    </row>
    <row r="63" customFormat="false" ht="15.75" hidden="false" customHeight="true" outlineLevel="0" collapsed="false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customFormat="false" ht="15.75" hidden="false" customHeight="true" outlineLevel="0" collapsed="false">
      <c r="C64" s="33"/>
      <c r="D64" s="33"/>
      <c r="E64" s="33"/>
      <c r="F64" s="156"/>
      <c r="G64" s="173"/>
      <c r="H64" s="173"/>
      <c r="I64" s="33"/>
      <c r="J64" s="33"/>
      <c r="K64" s="33"/>
      <c r="L64" s="33"/>
      <c r="M64" s="33"/>
    </row>
    <row r="65" customFormat="false" ht="15.75" hidden="false" customHeight="true" outlineLevel="0" collapsed="false">
      <c r="C65" s="33"/>
      <c r="D65" s="33"/>
      <c r="E65" s="33"/>
      <c r="F65" s="156"/>
      <c r="G65" s="26"/>
      <c r="H65" s="26"/>
      <c r="I65" s="33"/>
      <c r="J65" s="33"/>
      <c r="K65" s="33"/>
      <c r="L65" s="33"/>
      <c r="M65" s="33"/>
    </row>
    <row r="66" customFormat="false" ht="15.75" hidden="false" customHeight="true" outlineLevel="0" collapsed="false"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customFormat="false" ht="15.75" hidden="false" customHeight="true" outlineLevel="0" collapsed="false"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customFormat="false" ht="15.75" hidden="false" customHeight="true" outlineLevel="0" collapsed="false"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customFormat="false" ht="15.75" hidden="false" customHeight="true" outlineLevel="0" collapsed="false"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customFormat="false" ht="15.75" hidden="false" customHeight="true" outlineLevel="0" collapsed="false"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customFormat="false" ht="15.75" hidden="false" customHeight="true" outlineLevel="0" collapsed="false"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customFormat="false" ht="15.75" hidden="false" customHeight="true" outlineLevel="0" collapsed="false"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customFormat="false" ht="15.75" hidden="false" customHeight="true" outlineLevel="0" collapsed="false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customFormat="false" ht="15.75" hidden="false" customHeight="true" outlineLevel="0" collapsed="false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customFormat="false" ht="15.75" hidden="false" customHeight="true" outlineLevel="0" collapsed="false"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customFormat="false" ht="15.75" hidden="false" customHeight="true" outlineLevel="0" collapsed="false"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customFormat="false" ht="15.75" hidden="false" customHeight="true" outlineLevel="0" collapsed="false"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customFormat="false" ht="15.75" hidden="false" customHeight="true" outlineLevel="0" collapsed="false"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customFormat="false" ht="15.75" hidden="false" customHeight="true" outlineLevel="0" collapsed="false"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customFormat="false" ht="15.75" hidden="false" customHeight="true" outlineLevel="0" collapsed="false"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customFormat="false" ht="15.75" hidden="false" customHeight="true" outlineLevel="0" collapsed="false"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customFormat="false" ht="15.75" hidden="false" customHeight="true" outlineLevel="0" collapsed="false"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customFormat="false" ht="15.75" hidden="false" customHeight="true" outlineLevel="0" collapsed="false"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customFormat="false" ht="15.75" hidden="false" customHeight="true" outlineLevel="0" collapsed="false"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24:H24"/>
    <mergeCell ref="J24:L24"/>
    <mergeCell ref="N24:O24"/>
    <mergeCell ref="G44:H44"/>
    <mergeCell ref="J44:K44"/>
    <mergeCell ref="G64:H64"/>
  </mergeCells>
  <conditionalFormatting sqref="N26:O42">
    <cfRule type="expression" priority="2" aboveAverage="0" equalAverage="0" bottom="0" percent="0" rank="0" text="" dxfId="4">
      <formula>ABS(N26)&gt;=10%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G1000"/>
  <sheetViews>
    <sheetView showFormulas="false" showGridLines="true" showRowColHeaders="true" showZeros="true" rightToLeft="false" tabSelected="false" showOutlineSymbols="true" defaultGridColor="true" view="normal" topLeftCell="B19" colorId="64" zoomScale="100" zoomScaleNormal="100" zoomScalePageLayoutView="100" workbookViewId="0">
      <selection pane="topLeft" activeCell="K28" activeCellId="0" sqref="K28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26.5"/>
    <col collapsed="false" customWidth="true" hidden="false" outlineLevel="0" max="7" min="7" style="1" width="7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20" min="12" style="1" width="11.5"/>
    <col collapsed="false" customWidth="true" hidden="false" outlineLevel="0" max="21" min="21" style="1" width="15"/>
    <col collapsed="false" customWidth="true" hidden="false" outlineLevel="0" max="33" min="22" style="1" width="11.5"/>
  </cols>
  <sheetData>
    <row r="3" customFormat="false" ht="15" hidden="false" customHeight="false" outlineLevel="0" collapsed="false">
      <c r="F3" s="33"/>
      <c r="G3" s="33"/>
      <c r="H3" s="33"/>
      <c r="I3" s="33"/>
      <c r="J3" s="33"/>
      <c r="K3" s="33"/>
      <c r="L3" s="33"/>
      <c r="M3" s="33"/>
    </row>
    <row r="4" customFormat="false" ht="15" hidden="false" customHeight="false" outlineLevel="0" collapsed="false">
      <c r="F4" s="33"/>
      <c r="G4" s="33"/>
      <c r="H4" s="33"/>
      <c r="I4" s="33"/>
      <c r="J4" s="33"/>
      <c r="K4" s="33"/>
      <c r="L4" s="33"/>
      <c r="M4" s="33"/>
    </row>
    <row r="5" customFormat="false" ht="15" hidden="false" customHeight="false" outlineLevel="0" collapsed="false">
      <c r="F5" s="33"/>
      <c r="G5" s="33"/>
      <c r="H5" s="33"/>
      <c r="I5" s="33"/>
      <c r="J5" s="33"/>
      <c r="K5" s="33"/>
      <c r="L5" s="33"/>
      <c r="M5" s="33"/>
    </row>
    <row r="6" customFormat="false" ht="15" hidden="false" customHeight="false" outlineLevel="0" collapsed="false">
      <c r="F6" s="33"/>
      <c r="G6" s="33"/>
      <c r="H6" s="33"/>
      <c r="I6" s="33"/>
      <c r="J6" s="33"/>
      <c r="K6" s="33"/>
      <c r="L6" s="33"/>
      <c r="M6" s="33"/>
    </row>
    <row r="7" customFormat="false" ht="15" hidden="false" customHeight="false" outlineLevel="0" collapsed="false">
      <c r="F7" s="33"/>
      <c r="G7" s="33"/>
      <c r="H7" s="33"/>
      <c r="I7" s="33"/>
      <c r="J7" s="33"/>
      <c r="K7" s="33"/>
      <c r="L7" s="33"/>
      <c r="M7" s="33"/>
    </row>
    <row r="8" customFormat="false" ht="15" hidden="false" customHeight="false" outlineLevel="0" collapsed="false">
      <c r="F8" s="33"/>
      <c r="G8" s="33"/>
      <c r="H8" s="33"/>
      <c r="I8" s="33"/>
      <c r="J8" s="33"/>
      <c r="K8" s="33"/>
      <c r="L8" s="33"/>
      <c r="M8" s="33"/>
    </row>
    <row r="9" customFormat="false" ht="15" hidden="false" customHeight="false" outlineLevel="0" collapsed="false">
      <c r="F9" s="33"/>
      <c r="G9" s="33"/>
      <c r="H9" s="33"/>
      <c r="I9" s="33"/>
      <c r="J9" s="33"/>
      <c r="K9" s="33"/>
      <c r="L9" s="33"/>
      <c r="M9" s="33"/>
      <c r="AF9" s="46"/>
      <c r="AG9" s="46"/>
    </row>
    <row r="10" customFormat="false" ht="15" hidden="false" customHeight="false" outlineLevel="0" collapsed="false">
      <c r="F10" s="33"/>
      <c r="G10" s="33"/>
      <c r="H10" s="33"/>
      <c r="I10" s="33"/>
      <c r="J10" s="33"/>
      <c r="K10" s="33"/>
      <c r="L10" s="33"/>
      <c r="M10" s="33"/>
      <c r="AF10" s="46"/>
      <c r="AG10" s="46"/>
    </row>
    <row r="11" customFormat="false" ht="15" hidden="false" customHeight="false" outlineLevel="0" collapsed="false">
      <c r="A11" s="33" t="s">
        <v>164</v>
      </c>
      <c r="B11" s="46" t="n">
        <f aca="false">+SUM(G26:G28)</f>
        <v>79712.6</v>
      </c>
      <c r="C11" s="33" t="n">
        <f aca="false">+C21/(B11*B21)</f>
        <v>1.71370883231342</v>
      </c>
      <c r="F11" s="33"/>
      <c r="G11" s="33"/>
      <c r="H11" s="33"/>
      <c r="I11" s="33"/>
      <c r="J11" s="33"/>
      <c r="K11" s="33"/>
      <c r="L11" s="33"/>
      <c r="M11" s="33"/>
      <c r="AF11" s="46"/>
      <c r="AG11" s="46"/>
    </row>
    <row r="12" customFormat="false" ht="15" hidden="false" customHeight="false" outlineLevel="0" collapsed="false">
      <c r="F12" s="33"/>
      <c r="G12" s="33"/>
      <c r="H12" s="33"/>
      <c r="I12" s="33"/>
      <c r="J12" s="33"/>
      <c r="K12" s="33"/>
      <c r="L12" s="33"/>
      <c r="M12" s="33"/>
      <c r="AF12" s="46"/>
      <c r="AG12" s="46"/>
    </row>
    <row r="13" customFormat="false" ht="15" hidden="false" customHeight="false" outlineLevel="0" collapsed="false">
      <c r="A13" s="46" t="n">
        <f aca="false">+G29</f>
        <v>22667.152</v>
      </c>
      <c r="B13" s="23" t="n">
        <f aca="false">+H29</f>
        <v>0.592211590697674</v>
      </c>
      <c r="F13" s="33"/>
      <c r="G13" s="33"/>
      <c r="H13" s="33"/>
      <c r="I13" s="33"/>
      <c r="J13" s="33"/>
      <c r="K13" s="33"/>
      <c r="L13" s="33"/>
      <c r="M13" s="33"/>
      <c r="AF13" s="46"/>
      <c r="AG13" s="46"/>
    </row>
    <row r="14" customFormat="false" ht="15" hidden="false" customHeight="false" outlineLevel="0" collapsed="false">
      <c r="A14" s="46" t="n">
        <f aca="false">+G33</f>
        <v>18314.104</v>
      </c>
      <c r="B14" s="23" t="n">
        <f aca="false">+H33</f>
        <v>0.58622512</v>
      </c>
      <c r="F14" s="33"/>
      <c r="G14" s="33"/>
      <c r="H14" s="33"/>
      <c r="I14" s="33"/>
      <c r="J14" s="33"/>
      <c r="K14" s="33"/>
      <c r="L14" s="33"/>
      <c r="M14" s="33"/>
      <c r="AF14" s="46"/>
      <c r="AG14" s="46"/>
    </row>
    <row r="15" customFormat="false" ht="15" hidden="false" customHeight="false" outlineLevel="0" collapsed="false">
      <c r="A15" s="46"/>
      <c r="B15" s="23"/>
      <c r="F15" s="33"/>
      <c r="G15" s="33"/>
      <c r="H15" s="33"/>
      <c r="I15" s="33"/>
      <c r="J15" s="33"/>
      <c r="K15" s="33"/>
      <c r="L15" s="33"/>
      <c r="M15" s="33"/>
      <c r="AF15" s="46"/>
      <c r="AG15" s="46"/>
    </row>
    <row r="16" customFormat="false" ht="15" hidden="false" customHeight="false" outlineLevel="0" collapsed="false">
      <c r="A16" s="33" t="s">
        <v>165</v>
      </c>
      <c r="F16" s="33"/>
      <c r="G16" s="33"/>
      <c r="H16" s="33"/>
      <c r="I16" s="33"/>
      <c r="J16" s="33"/>
      <c r="K16" s="33"/>
      <c r="L16" s="33"/>
      <c r="M16" s="33"/>
      <c r="AF16" s="46"/>
      <c r="AG16" s="46"/>
    </row>
    <row r="17" customFormat="false" ht="15" hidden="false" customHeight="false" outlineLevel="0" collapsed="false">
      <c r="A17" s="46" t="n">
        <f aca="false">+SUM(A13:A15)</f>
        <v>40981.256</v>
      </c>
      <c r="B17" s="23" t="n">
        <v>0.5</v>
      </c>
      <c r="F17" s="33"/>
      <c r="G17" s="33"/>
      <c r="H17" s="33"/>
      <c r="I17" s="33"/>
      <c r="J17" s="33"/>
      <c r="K17" s="33"/>
      <c r="L17" s="33"/>
      <c r="M17" s="33"/>
      <c r="AF17" s="46"/>
      <c r="AG17" s="46"/>
    </row>
    <row r="18" customFormat="false" ht="15" hidden="false" customHeight="false" outlineLevel="0" collapsed="false">
      <c r="F18" s="33"/>
      <c r="G18" s="33"/>
      <c r="H18" s="33"/>
      <c r="I18" s="33"/>
      <c r="J18" s="33"/>
      <c r="K18" s="33"/>
      <c r="L18" s="33"/>
      <c r="M18" s="33"/>
      <c r="AF18" s="46"/>
      <c r="AG18" s="46"/>
    </row>
    <row r="19" customFormat="false" ht="15" hidden="false" customHeight="false" outlineLevel="0" collapsed="false">
      <c r="F19" s="33"/>
      <c r="G19" s="33"/>
      <c r="H19" s="33"/>
      <c r="I19" s="33"/>
      <c r="J19" s="33"/>
      <c r="K19" s="33"/>
      <c r="L19" s="33"/>
      <c r="M19" s="33"/>
      <c r="AF19" s="46"/>
      <c r="AG19" s="46"/>
    </row>
    <row r="20" customFormat="false" ht="15" hidden="false" customHeight="false" outlineLevel="0" collapsed="false">
      <c r="F20" s="33"/>
      <c r="G20" s="33"/>
      <c r="H20" s="33"/>
      <c r="I20" s="33"/>
      <c r="J20" s="33"/>
      <c r="K20" s="33"/>
      <c r="L20" s="33"/>
      <c r="M20" s="33"/>
      <c r="AF20" s="46"/>
      <c r="AG20" s="46"/>
    </row>
    <row r="21" customFormat="false" ht="15.75" hidden="false" customHeight="true" outlineLevel="0" collapsed="false">
      <c r="B21" s="24" t="n">
        <v>0.3</v>
      </c>
      <c r="C21" s="46" t="n">
        <f aca="false">+A17</f>
        <v>40981.256</v>
      </c>
      <c r="AF21" s="46"/>
      <c r="AG21" s="46"/>
    </row>
    <row r="22" customFormat="false" ht="15.75" hidden="false" customHeight="true" outlineLevel="0" collapsed="false">
      <c r="B22" s="24"/>
      <c r="C22" s="46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AF22" s="46"/>
      <c r="AG22" s="46"/>
    </row>
    <row r="23" customFormat="false" ht="15.75" hidden="false" customHeight="true" outlineLevel="0" collapsed="false">
      <c r="B23" s="24"/>
      <c r="C23" s="46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AF23" s="46" t="n">
        <f aca="false">+J40</f>
        <v>32314.812261</v>
      </c>
      <c r="AG23" s="46" t="n">
        <f aca="false">+L40</f>
        <v>11440.6101051166</v>
      </c>
    </row>
    <row r="24" customFormat="false" ht="15.75" hidden="false" customHeight="true" outlineLevel="0" collapsed="false">
      <c r="G24" s="160" t="s">
        <v>166</v>
      </c>
      <c r="H24" s="160"/>
      <c r="J24" s="174" t="s">
        <v>167</v>
      </c>
      <c r="K24" s="174"/>
      <c r="L24" s="174"/>
      <c r="N24" s="162"/>
      <c r="O24" s="162"/>
      <c r="P24" s="33"/>
      <c r="Q24" s="33"/>
      <c r="R24" s="163"/>
      <c r="S24" s="33"/>
      <c r="T24" s="33"/>
      <c r="U24" s="33"/>
      <c r="V24" s="33"/>
      <c r="W24" s="33"/>
      <c r="X24" s="33"/>
      <c r="AF24" s="46" t="n">
        <f aca="false">+J41</f>
        <v>5438.3422614</v>
      </c>
      <c r="AG24" s="46" t="n">
        <f aca="false">+L41</f>
        <v>1840.33502125776</v>
      </c>
    </row>
    <row r="25" customFormat="false" ht="15.75" hidden="false" customHeight="true" outlineLevel="0" collapsed="false">
      <c r="G25" s="164" t="s">
        <v>8</v>
      </c>
      <c r="H25" s="164" t="s">
        <v>169</v>
      </c>
      <c r="J25" s="175" t="s">
        <v>8</v>
      </c>
      <c r="K25" s="165" t="s">
        <v>169</v>
      </c>
      <c r="L25" s="176" t="s">
        <v>170</v>
      </c>
      <c r="N25" s="26"/>
      <c r="O25" s="26"/>
      <c r="P25" s="166"/>
      <c r="Q25" s="167"/>
      <c r="R25" s="168"/>
      <c r="S25" s="167"/>
      <c r="T25" s="33"/>
      <c r="U25" s="33"/>
      <c r="V25" s="33"/>
      <c r="W25" s="33"/>
      <c r="X25" s="33"/>
      <c r="AF25" s="46" t="n">
        <f aca="false">+J42</f>
        <v>26876.47</v>
      </c>
      <c r="AG25" s="46" t="n">
        <f aca="false">+L42</f>
        <v>9600.275084</v>
      </c>
    </row>
    <row r="26" customFormat="false" ht="15.75" hidden="false" customHeight="true" outlineLevel="0" collapsed="false">
      <c r="E26" s="33" t="n">
        <f aca="false">+E3</f>
        <v>0</v>
      </c>
      <c r="F26" s="33" t="s">
        <v>13</v>
      </c>
      <c r="G26" s="169" t="n">
        <f aca="false">'Bal AL FeT'!G26</f>
        <v>0</v>
      </c>
      <c r="H26" s="170" t="n">
        <f aca="false">+'Info Planta'!F4</f>
        <v>0</v>
      </c>
      <c r="I26" s="24"/>
      <c r="J26" s="105" t="n">
        <f aca="false">'Bal AL FeT'!J26</f>
        <v>0</v>
      </c>
      <c r="K26" s="177" t="n">
        <f aca="false">IF(Utilidad!F1&gt;1,Utilidad!F1/100,Utilidad!F1)</f>
        <v>0</v>
      </c>
      <c r="L26" s="105" t="n">
        <f aca="false">+J26*K26</f>
        <v>0</v>
      </c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AF26" s="46"/>
      <c r="AG26" s="46"/>
    </row>
    <row r="27" customFormat="false" ht="15.75" hidden="false" customHeight="true" outlineLevel="0" collapsed="false">
      <c r="E27" s="33" t="n">
        <f aca="false">+E4</f>
        <v>0</v>
      </c>
      <c r="F27" s="33" t="s">
        <v>14</v>
      </c>
      <c r="G27" s="169" t="n">
        <f aca="false">'Bal AL FeT'!G27</f>
        <v>68993</v>
      </c>
      <c r="H27" s="170" t="n">
        <f aca="false">+'Info Planta'!F5</f>
        <v>0.488526582406911</v>
      </c>
      <c r="I27" s="24"/>
      <c r="J27" s="105" t="n">
        <f aca="false">'Bal AL FeT'!J27</f>
        <v>66085.374488</v>
      </c>
      <c r="K27" s="177" t="n">
        <f aca="false">IF(Utilidad!F2&gt;1,Utilidad!F2/100,Utilidad!F2)</f>
        <v>0.47334075249</v>
      </c>
      <c r="L27" s="105" t="n">
        <f aca="false">+J27*K27</f>
        <v>31280.9008887334</v>
      </c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</row>
    <row r="28" customFormat="false" ht="15.75" hidden="false" customHeight="true" outlineLevel="0" collapsed="false">
      <c r="E28" s="33" t="n">
        <f aca="false">+E5</f>
        <v>0</v>
      </c>
      <c r="F28" s="33" t="s">
        <v>15</v>
      </c>
      <c r="G28" s="169" t="n">
        <f aca="false">'Bal AL FeT'!G28</f>
        <v>10719.6</v>
      </c>
      <c r="H28" s="170" t="n">
        <f aca="false">+'Info Planta'!F6</f>
        <v>0.503180769804843</v>
      </c>
      <c r="I28" s="24"/>
      <c r="J28" s="105" t="n">
        <f aca="false">'Bal AL FeT'!J28</f>
        <v>10638.742332</v>
      </c>
      <c r="K28" s="177" t="n">
        <f aca="false">IF(Utilidad!F3&gt;1,Utilidad!F3/100,Utilidad!F3)</f>
        <v>0.50063667929</v>
      </c>
      <c r="L28" s="105" t="n">
        <f aca="false">+J28*K28</f>
        <v>5326.14463291443</v>
      </c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</row>
    <row r="29" customFormat="false" ht="15.75" hidden="false" customHeight="true" outlineLevel="0" collapsed="false">
      <c r="E29" s="33" t="n">
        <f aca="false">+E6</f>
        <v>0</v>
      </c>
      <c r="F29" s="33" t="s">
        <v>16</v>
      </c>
      <c r="G29" s="169" t="n">
        <f aca="false">'Bal AL FeT'!G29</f>
        <v>22667.152</v>
      </c>
      <c r="H29" s="178" t="n">
        <f aca="false">+'Info Planta'!F7</f>
        <v>0.592211590697674</v>
      </c>
      <c r="J29" s="105" t="n">
        <f aca="false">'Bal AL FeT'!J29</f>
        <v>23736.495548</v>
      </c>
      <c r="K29" s="177" t="n">
        <f aca="false">IF(Utilidad!F4&gt;1,Utilidad!F4/100,Utilidad!F4)</f>
        <v>0.59490575227</v>
      </c>
      <c r="L29" s="105" t="n">
        <f aca="false">+J29*K29</f>
        <v>14120.9777402364</v>
      </c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46"/>
      <c r="Y29" s="46"/>
    </row>
    <row r="30" customFormat="false" ht="15.75" hidden="false" customHeight="true" outlineLevel="0" collapsed="false">
      <c r="A30" s="46" t="n">
        <f aca="false">+'Calc Nodos'!F4</f>
        <v>2867</v>
      </c>
      <c r="B30" s="46"/>
      <c r="C30" s="46"/>
      <c r="D30" s="33" t="n">
        <f aca="false">+IF(A30&gt;0,1,IF(A30&lt;&gt;0,-1,0))</f>
        <v>1</v>
      </c>
      <c r="E30" s="33" t="n">
        <f aca="false">+E7</f>
        <v>0</v>
      </c>
      <c r="F30" s="124" t="s">
        <v>17</v>
      </c>
      <c r="G30" s="169" t="n">
        <f aca="false">'Bal AL FeT'!G30</f>
        <v>2867</v>
      </c>
      <c r="H30" s="179" t="n">
        <f aca="false">+IF((G31+G32)&lt;&gt;0,(G31*H31+G32*H32)/(G31+G32),0)</f>
        <v>0.592211590697674</v>
      </c>
      <c r="I30" s="86"/>
      <c r="J30" s="105" t="n">
        <f aca="false">'Bal AL FeT'!J30</f>
        <v>2857.2055475</v>
      </c>
      <c r="K30" s="177" t="n">
        <f aca="false">IF(Utilidad!F5&gt;1,Utilidad!F5/100,Utilidad!F5)</f>
        <v>0.59284036394</v>
      </c>
      <c r="L30" s="105" t="n">
        <f aca="false">+J30*K30</f>
        <v>1693.86677663129</v>
      </c>
      <c r="M30" s="172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46"/>
      <c r="Y30" s="46"/>
    </row>
    <row r="31" customFormat="false" ht="15.75" hidden="false" customHeight="true" outlineLevel="0" collapsed="false">
      <c r="E31" s="33" t="n">
        <f aca="false">+E8</f>
        <v>0</v>
      </c>
      <c r="F31" s="33" t="s">
        <v>18</v>
      </c>
      <c r="G31" s="169" t="n">
        <f aca="false">'Bal AL FeT'!G31</f>
        <v>0</v>
      </c>
      <c r="H31" s="180" t="n">
        <f aca="false">+'Info Planta'!F11</f>
        <v>0</v>
      </c>
      <c r="J31" s="105" t="n">
        <f aca="false">'Bal AL FeT'!J31</f>
        <v>0</v>
      </c>
      <c r="K31" s="177" t="n">
        <f aca="false">IF(Utilidad!F6&gt;1,Utilidad!F6/100,Utilidad!F6)</f>
        <v>0</v>
      </c>
      <c r="L31" s="105" t="n">
        <f aca="false">+J31*K31</f>
        <v>0</v>
      </c>
      <c r="N31" s="22"/>
      <c r="O31" s="23"/>
      <c r="P31" s="22"/>
      <c r="Q31" s="167"/>
      <c r="R31" s="171"/>
      <c r="S31" s="167"/>
      <c r="T31" s="33"/>
      <c r="U31" s="33"/>
      <c r="V31" s="33"/>
      <c r="W31" s="33"/>
      <c r="X31" s="46"/>
      <c r="Y31" s="46"/>
    </row>
    <row r="32" customFormat="false" ht="15.75" hidden="false" customHeight="true" outlineLevel="0" collapsed="false">
      <c r="E32" s="33" t="n">
        <f aca="false">+E9</f>
        <v>0</v>
      </c>
      <c r="F32" s="33" t="s">
        <v>19</v>
      </c>
      <c r="G32" s="169" t="n">
        <f aca="false">'Bal AL FeT'!G32</f>
        <v>20879.29</v>
      </c>
      <c r="H32" s="170" t="n">
        <f aca="false">+'Info Planta'!F12</f>
        <v>0.592211590697674</v>
      </c>
      <c r="J32" s="105" t="n">
        <f aca="false">'Bal AL FeT'!J32</f>
        <v>20879.29</v>
      </c>
      <c r="K32" s="177" t="n">
        <f aca="false">IF(Utilidad!F7&gt;1,Utilidad!F7/100,Utilidad!F7)</f>
        <v>0.59518838802</v>
      </c>
      <c r="L32" s="105" t="n">
        <f aca="false">+J32*K32</f>
        <v>12427.1109581021</v>
      </c>
      <c r="N32" s="22"/>
      <c r="O32" s="23"/>
      <c r="P32" s="22"/>
      <c r="Q32" s="167"/>
      <c r="R32" s="171"/>
      <c r="S32" s="167"/>
      <c r="T32" s="33"/>
      <c r="U32" s="33"/>
      <c r="V32" s="33"/>
      <c r="W32" s="33"/>
      <c r="X32" s="46"/>
      <c r="Y32" s="46"/>
    </row>
    <row r="33" customFormat="false" ht="15.75" hidden="false" customHeight="true" outlineLevel="0" collapsed="false">
      <c r="E33" s="33" t="n">
        <f aca="false">+E10</f>
        <v>0</v>
      </c>
      <c r="F33" s="33" t="s">
        <v>20</v>
      </c>
      <c r="G33" s="169" t="n">
        <f aca="false">'Bal AL FeT'!G33</f>
        <v>18314.104</v>
      </c>
      <c r="H33" s="178" t="n">
        <f aca="false">+'Info Planta'!F8</f>
        <v>0.58622512</v>
      </c>
      <c r="J33" s="105" t="n">
        <f aca="false">'Bal AL FeT'!J33</f>
        <v>16442.96025</v>
      </c>
      <c r="K33" s="177" t="n">
        <f aca="false">IF(Utilidad!F8&gt;1,Utilidad!F8/100,Utilidad!F8)</f>
        <v>0.58889043143</v>
      </c>
      <c r="L33" s="105" t="n">
        <f aca="false">+J33*K33</f>
        <v>9683.10195560884</v>
      </c>
      <c r="N33" s="22"/>
      <c r="O33" s="23"/>
      <c r="P33" s="22"/>
      <c r="Q33" s="167"/>
      <c r="R33" s="171"/>
      <c r="S33" s="167"/>
      <c r="T33" s="33"/>
      <c r="U33" s="33"/>
      <c r="V33" s="33"/>
      <c r="W33" s="33"/>
      <c r="X33" s="33"/>
    </row>
    <row r="34" customFormat="false" ht="15.75" hidden="false" customHeight="true" outlineLevel="0" collapsed="false">
      <c r="A34" s="46" t="n">
        <f aca="false">+'Calc Nodos'!F5</f>
        <v>212</v>
      </c>
      <c r="B34" s="46"/>
      <c r="C34" s="46"/>
      <c r="D34" s="33" t="n">
        <f aca="false">+IF(A34&gt;0,1,IF(A34&lt;&gt;0,-1,0))</f>
        <v>1</v>
      </c>
      <c r="E34" s="33" t="n">
        <f aca="false">+E11</f>
        <v>0</v>
      </c>
      <c r="F34" s="124" t="s">
        <v>21</v>
      </c>
      <c r="G34" s="169" t="n">
        <f aca="false">'Bal AL FeT'!G34</f>
        <v>212</v>
      </c>
      <c r="H34" s="179" t="n">
        <f aca="false">+IF((G35+G36)&lt;&gt;0,(G35*H35+G36*H36)/(G35+G36),0)</f>
        <v>0.58622512</v>
      </c>
      <c r="I34" s="86"/>
      <c r="J34" s="105" t="n">
        <f aca="false">'Bal AL FeT'!J34</f>
        <v>212.29024952</v>
      </c>
      <c r="K34" s="177" t="n">
        <f aca="false">IF(Utilidad!F9&gt;1,Utilidad!F9/100,Utilidad!F9)</f>
        <v>0.58630464984</v>
      </c>
      <c r="L34" s="105" t="n">
        <f aca="false">+J34*K34</f>
        <v>124.46676040927</v>
      </c>
      <c r="M34" s="172"/>
      <c r="N34" s="22"/>
      <c r="O34" s="23"/>
      <c r="P34" s="22"/>
      <c r="Q34" s="167"/>
      <c r="R34" s="171"/>
      <c r="S34" s="167"/>
      <c r="T34" s="33"/>
      <c r="U34" s="33"/>
      <c r="V34" s="33"/>
      <c r="W34" s="33"/>
      <c r="X34" s="33"/>
    </row>
    <row r="35" customFormat="false" ht="15.75" hidden="false" customHeight="true" outlineLevel="0" collapsed="false">
      <c r="E35" s="33" t="n">
        <f aca="false">+E12</f>
        <v>0</v>
      </c>
      <c r="F35" s="33" t="s">
        <v>22</v>
      </c>
      <c r="G35" s="169" t="n">
        <f aca="false">'Bal AL FeT'!G35</f>
        <v>0</v>
      </c>
      <c r="H35" s="180" t="n">
        <f aca="false">+'Info Planta'!F13</f>
        <v>0</v>
      </c>
      <c r="J35" s="105" t="n">
        <f aca="false">'Bal AL FeT'!J35</f>
        <v>0</v>
      </c>
      <c r="K35" s="177" t="n">
        <f aca="false">IF(Utilidad!F10&gt;1,Utilidad!F10/100,Utilidad!F10)</f>
        <v>0</v>
      </c>
      <c r="L35" s="105" t="n">
        <f aca="false">+J35*K35</f>
        <v>0</v>
      </c>
      <c r="N35" s="22"/>
      <c r="O35" s="23"/>
      <c r="P35" s="22"/>
      <c r="Q35" s="167"/>
      <c r="R35" s="171"/>
      <c r="S35" s="167"/>
      <c r="T35" s="33"/>
      <c r="U35" s="33"/>
      <c r="V35" s="33"/>
      <c r="W35" s="33"/>
      <c r="X35" s="33"/>
    </row>
    <row r="36" customFormat="false" ht="15.75" hidden="false" customHeight="true" outlineLevel="0" collapsed="false">
      <c r="E36" s="33" t="n">
        <f aca="false">+E13</f>
        <v>0</v>
      </c>
      <c r="F36" s="33" t="s">
        <v>23</v>
      </c>
      <c r="G36" s="169" t="n">
        <f aca="false">'Bal AL FeT'!G36</f>
        <v>16230.67</v>
      </c>
      <c r="H36" s="170" t="n">
        <f aca="false">+'Info Planta'!F14</f>
        <v>0.58622512</v>
      </c>
      <c r="J36" s="105" t="n">
        <f aca="false">'Bal AL FeT'!J36</f>
        <v>16230.67</v>
      </c>
      <c r="K36" s="177" t="n">
        <f aca="false">IF(Utilidad!F11&gt;1,Utilidad!F11/100,Utilidad!F11)</f>
        <v>0.58892425235</v>
      </c>
      <c r="L36" s="105" t="n">
        <f aca="false">+J36*K36</f>
        <v>9558.63519488958</v>
      </c>
      <c r="N36" s="22"/>
      <c r="O36" s="23"/>
      <c r="P36" s="22"/>
      <c r="Q36" s="167"/>
      <c r="R36" s="171"/>
      <c r="S36" s="167"/>
      <c r="T36" s="33"/>
      <c r="U36" s="33"/>
      <c r="V36" s="33"/>
      <c r="W36" s="33"/>
      <c r="X36" s="33"/>
    </row>
    <row r="37" customFormat="false" ht="15.75" hidden="false" customHeight="true" outlineLevel="0" collapsed="false">
      <c r="E37" s="33" t="n">
        <f aca="false">+E14</f>
        <v>0</v>
      </c>
      <c r="F37" s="33" t="s">
        <v>24</v>
      </c>
      <c r="G37" s="169" t="n">
        <f aca="false">'Bal AL FeT'!G37</f>
        <v>13136</v>
      </c>
      <c r="H37" s="178" t="n">
        <f aca="false">+'Info Planta'!F9</f>
        <v>0.321851323255814</v>
      </c>
      <c r="J37" s="105" t="n">
        <f aca="false">'Bal AL FeT'!J37</f>
        <v>4229.8487616</v>
      </c>
      <c r="K37" s="177" t="n">
        <f aca="false">IF(Utilidad!F12&gt;1,Utilidad!F12/100,Utilidad!F12)</f>
        <v>0.32208141522</v>
      </c>
      <c r="L37" s="105" t="n">
        <f aca="false">+J37*K37</f>
        <v>1362.35567530269</v>
      </c>
      <c r="N37" s="22"/>
      <c r="O37" s="23"/>
      <c r="P37" s="22"/>
      <c r="Q37" s="167"/>
      <c r="R37" s="171"/>
      <c r="S37" s="167"/>
      <c r="T37" s="33"/>
      <c r="U37" s="33"/>
      <c r="V37" s="33"/>
      <c r="W37" s="33"/>
      <c r="X37" s="33"/>
    </row>
    <row r="38" customFormat="false" ht="15.75" hidden="false" customHeight="true" outlineLevel="0" collapsed="false">
      <c r="A38" s="46" t="n">
        <f aca="false">+'Calc Nodos'!F6</f>
        <v>-478</v>
      </c>
      <c r="B38" s="46"/>
      <c r="C38" s="46"/>
      <c r="D38" s="33" t="n">
        <f aca="false">+IF(A38&gt;0,1,IF(A38&lt;&gt;0,-1,0))</f>
        <v>-1</v>
      </c>
      <c r="E38" s="33" t="n">
        <f aca="false">+E15</f>
        <v>0</v>
      </c>
      <c r="F38" s="124" t="s">
        <v>25</v>
      </c>
      <c r="G38" s="169" t="n">
        <f aca="false">'Bal AL FeT'!G38</f>
        <v>-478</v>
      </c>
      <c r="H38" s="179" t="n">
        <f aca="false">+H37</f>
        <v>0.321851323255814</v>
      </c>
      <c r="I38" s="86"/>
      <c r="J38" s="105" t="n">
        <f aca="false">'Bal AL FeT'!J38</f>
        <v>-466.1512384</v>
      </c>
      <c r="K38" s="177" t="n">
        <f aca="false">IF(Utilidad!F13&gt;1,Utilidad!F13/100,Utilidad!F13)</f>
        <v>0.32183353779</v>
      </c>
      <c r="L38" s="105" t="n">
        <f aca="false">+J38*K38</f>
        <v>-150.023102199462</v>
      </c>
      <c r="M38" s="172"/>
      <c r="N38" s="22"/>
      <c r="O38" s="23"/>
      <c r="P38" s="22"/>
      <c r="Q38" s="167"/>
      <c r="R38" s="171"/>
      <c r="S38" s="167"/>
      <c r="T38" s="33"/>
      <c r="U38" s="33"/>
      <c r="V38" s="33"/>
      <c r="W38" s="33"/>
      <c r="X38" s="33"/>
    </row>
    <row r="39" customFormat="false" ht="15.75" hidden="false" customHeight="true" outlineLevel="0" collapsed="false">
      <c r="E39" s="33" t="n">
        <f aca="false">+E16</f>
        <v>0</v>
      </c>
      <c r="F39" s="33" t="s">
        <v>26</v>
      </c>
      <c r="G39" s="169" t="n">
        <f aca="false">'Bal AL FeT'!G39</f>
        <v>4696</v>
      </c>
      <c r="H39" s="180" t="n">
        <f aca="false">+'Info Planta'!F15</f>
        <v>0.321851323255814</v>
      </c>
      <c r="J39" s="105" t="n">
        <f aca="false">'Bal AL FeT'!J39</f>
        <v>4696</v>
      </c>
      <c r="K39" s="177" t="n">
        <f aca="false">IF(Utilidad!F14&gt;1,Utilidad!F14/100,Utilidad!F14)</f>
        <v>0.32205680966</v>
      </c>
      <c r="L39" s="105" t="n">
        <f aca="false">+J39*K39</f>
        <v>1512.37877816336</v>
      </c>
      <c r="N39" s="22"/>
      <c r="O39" s="23"/>
      <c r="P39" s="22"/>
      <c r="Q39" s="167"/>
      <c r="R39" s="171"/>
      <c r="S39" s="167"/>
      <c r="T39" s="33"/>
      <c r="U39" s="33"/>
      <c r="V39" s="33"/>
      <c r="W39" s="33"/>
      <c r="X39" s="33"/>
    </row>
    <row r="40" customFormat="false" ht="15.75" hidden="false" customHeight="true" outlineLevel="0" collapsed="false">
      <c r="E40" s="33" t="n">
        <f aca="false">+E17</f>
        <v>0</v>
      </c>
      <c r="F40" s="33" t="s">
        <v>27</v>
      </c>
      <c r="G40" s="169" t="n">
        <f aca="false">'Bal AL FeT'!G40</f>
        <v>25816</v>
      </c>
      <c r="H40" s="178" t="n">
        <f aca="false">+IF(G40&lt;&gt;0,(G42*H42+A41*H41)/G40,0)</f>
        <v>0.39913544778432</v>
      </c>
      <c r="J40" s="105" t="n">
        <f aca="false">'Bal AL FeT'!J40</f>
        <v>32314.812261</v>
      </c>
      <c r="K40" s="177" t="n">
        <f aca="false">IF(Utilidad!F15&gt;1,Utilidad!F15/100,Utilidad!F15)</f>
        <v>0.3540361</v>
      </c>
      <c r="L40" s="105" t="n">
        <f aca="false">+J40*K40</f>
        <v>11440.6101051166</v>
      </c>
      <c r="N40" s="22"/>
      <c r="O40" s="23"/>
      <c r="P40" s="22"/>
      <c r="Q40" s="167"/>
      <c r="R40" s="171"/>
      <c r="S40" s="167"/>
      <c r="T40" s="33"/>
      <c r="U40" s="33"/>
      <c r="V40" s="33"/>
      <c r="W40" s="33"/>
      <c r="X40" s="33"/>
    </row>
    <row r="41" customFormat="false" ht="15.75" hidden="false" customHeight="true" outlineLevel="0" collapsed="false">
      <c r="A41" s="46" t="n">
        <f aca="false">+'Calc Nodos'!F7</f>
        <v>528</v>
      </c>
      <c r="B41" s="46"/>
      <c r="C41" s="46"/>
      <c r="D41" s="33" t="n">
        <f aca="false">+IF(A41&gt;0,1,IF(A41&lt;&gt;0,-1,0))</f>
        <v>1</v>
      </c>
      <c r="E41" s="33" t="n">
        <f aca="false">+E18</f>
        <v>0</v>
      </c>
      <c r="F41" s="124" t="s">
        <v>28</v>
      </c>
      <c r="G41" s="169" t="n">
        <f aca="false">'Bal AL FeT'!G41</f>
        <v>528</v>
      </c>
      <c r="H41" s="179" t="n">
        <f aca="false">+H42</f>
        <v>0.376</v>
      </c>
      <c r="I41" s="86"/>
      <c r="J41" s="105" t="n">
        <f aca="false">'Bal AL FeT'!J41</f>
        <v>5438.3422614</v>
      </c>
      <c r="K41" s="177" t="n">
        <f aca="false">IF(Utilidad!F16&gt;1,Utilidad!F16/100,Utilidad!F16)</f>
        <v>0.3384</v>
      </c>
      <c r="L41" s="105" t="n">
        <f aca="false">+J41*K41</f>
        <v>1840.33502125776</v>
      </c>
      <c r="M41" s="172"/>
      <c r="N41" s="22"/>
      <c r="O41" s="23"/>
      <c r="P41" s="22"/>
      <c r="Q41" s="167"/>
      <c r="R41" s="171"/>
      <c r="S41" s="167"/>
      <c r="T41" s="33"/>
      <c r="U41" s="33"/>
      <c r="V41" s="33"/>
      <c r="W41" s="33"/>
      <c r="X41" s="33"/>
    </row>
    <row r="42" customFormat="false" ht="15.75" hidden="false" customHeight="true" outlineLevel="0" collapsed="false">
      <c r="E42" s="33" t="n">
        <f aca="false">+E19</f>
        <v>0</v>
      </c>
      <c r="F42" s="33" t="s">
        <v>29</v>
      </c>
      <c r="G42" s="169" t="n">
        <f aca="false">'Bal AL FeT'!G42</f>
        <v>26876.47</v>
      </c>
      <c r="H42" s="180" t="n">
        <f aca="false">+'Info Planta'!F16</f>
        <v>0.376</v>
      </c>
      <c r="J42" s="105" t="n">
        <f aca="false">'Bal AL FeT'!J42</f>
        <v>26876.47</v>
      </c>
      <c r="K42" s="177" t="n">
        <f aca="false">IF(Utilidad!F17&gt;1,Utilidad!F17/100,Utilidad!F17)</f>
        <v>0.3572</v>
      </c>
      <c r="L42" s="105" t="n">
        <f aca="false">+J42*K42</f>
        <v>9600.275084</v>
      </c>
      <c r="N42" s="22"/>
      <c r="O42" s="23"/>
      <c r="P42" s="22"/>
      <c r="Q42" s="167"/>
      <c r="R42" s="171"/>
      <c r="S42" s="167"/>
      <c r="T42" s="33"/>
      <c r="U42" s="33"/>
      <c r="V42" s="33"/>
      <c r="W42" s="33"/>
      <c r="X42" s="33"/>
    </row>
    <row r="43" customFormat="false" ht="15.75" hidden="false" customHeight="true" outlineLevel="0" collapsed="false"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customFormat="false" ht="15.75" hidden="false" customHeight="true" outlineLevel="0" collapsed="false">
      <c r="C44" s="33"/>
      <c r="D44" s="33"/>
      <c r="E44" s="33"/>
      <c r="F44" s="156"/>
      <c r="G44" s="173"/>
      <c r="H44" s="173"/>
      <c r="I44" s="33"/>
      <c r="J44" s="173"/>
      <c r="K44" s="17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customFormat="false" ht="15.75" hidden="false" customHeight="true" outlineLevel="0" collapsed="false">
      <c r="C45" s="33"/>
      <c r="D45" s="33"/>
      <c r="E45" s="33"/>
      <c r="F45" s="156"/>
      <c r="G45" s="26"/>
      <c r="H45" s="26"/>
      <c r="I45" s="33"/>
      <c r="J45" s="26"/>
      <c r="K45" s="26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customFormat="false" ht="15.75" hidden="false" customHeight="true" outlineLevel="0" collapsed="false">
      <c r="C46" s="33"/>
      <c r="D46" s="33"/>
      <c r="E46" s="33"/>
      <c r="F46" s="33"/>
      <c r="G46" s="33"/>
      <c r="H46" s="33"/>
      <c r="I46" s="33"/>
      <c r="J46" s="46"/>
      <c r="K46" s="24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 customFormat="false" ht="15.75" hidden="false" customHeight="true" outlineLevel="0" collapsed="false">
      <c r="C47" s="33"/>
      <c r="D47" s="33"/>
      <c r="E47" s="33"/>
      <c r="F47" s="33"/>
      <c r="G47" s="33"/>
      <c r="H47" s="33"/>
      <c r="I47" s="33"/>
      <c r="J47" s="46"/>
      <c r="K47" s="24"/>
      <c r="L47" s="33"/>
      <c r="M47" s="33"/>
    </row>
    <row r="48" customFormat="false" ht="15.75" hidden="false" customHeight="true" outlineLevel="0" collapsed="false">
      <c r="C48" s="33"/>
      <c r="D48" s="33"/>
      <c r="E48" s="33"/>
      <c r="F48" s="33"/>
      <c r="G48" s="33"/>
      <c r="H48" s="33"/>
      <c r="I48" s="33"/>
      <c r="J48" s="46"/>
      <c r="K48" s="24"/>
      <c r="L48" s="33"/>
      <c r="M48" s="33"/>
    </row>
    <row r="49" customFormat="false" ht="15.75" hidden="false" customHeight="true" outlineLevel="0" collapsed="false">
      <c r="C49" s="33"/>
      <c r="D49" s="33"/>
      <c r="E49" s="33"/>
      <c r="F49" s="33"/>
      <c r="G49" s="33"/>
      <c r="H49" s="33"/>
      <c r="I49" s="33"/>
      <c r="J49" s="46"/>
      <c r="K49" s="24"/>
      <c r="L49" s="33"/>
      <c r="M49" s="33"/>
    </row>
    <row r="50" customFormat="false" ht="15.75" hidden="false" customHeight="true" outlineLevel="0" collapsed="false">
      <c r="C50" s="33"/>
      <c r="D50" s="33"/>
      <c r="E50" s="33"/>
      <c r="F50" s="33"/>
      <c r="G50" s="33"/>
      <c r="H50" s="33"/>
      <c r="I50" s="33"/>
      <c r="J50" s="46"/>
      <c r="K50" s="24"/>
      <c r="L50" s="33"/>
      <c r="M50" s="33"/>
    </row>
    <row r="51" customFormat="false" ht="15.75" hidden="false" customHeight="true" outlineLevel="0" collapsed="false">
      <c r="C51" s="33"/>
      <c r="D51" s="33"/>
      <c r="E51" s="33"/>
      <c r="F51" s="33"/>
      <c r="G51" s="33"/>
      <c r="H51" s="33"/>
      <c r="I51" s="33"/>
      <c r="J51" s="46"/>
      <c r="K51" s="24"/>
      <c r="L51" s="33"/>
      <c r="M51" s="33"/>
    </row>
    <row r="52" customFormat="false" ht="15.75" hidden="false" customHeight="true" outlineLevel="0" collapsed="false">
      <c r="C52" s="33"/>
      <c r="D52" s="33"/>
      <c r="E52" s="33"/>
      <c r="F52" s="33"/>
      <c r="G52" s="33"/>
      <c r="H52" s="33"/>
      <c r="I52" s="33"/>
      <c r="J52" s="46"/>
      <c r="K52" s="24"/>
      <c r="L52" s="33"/>
      <c r="M52" s="33"/>
    </row>
    <row r="53" customFormat="false" ht="15.75" hidden="false" customHeight="true" outlineLevel="0" collapsed="false">
      <c r="C53" s="33"/>
      <c r="D53" s="33"/>
      <c r="E53" s="33"/>
      <c r="F53" s="33"/>
      <c r="G53" s="33"/>
      <c r="H53" s="33"/>
      <c r="I53" s="33"/>
      <c r="J53" s="46"/>
      <c r="K53" s="24"/>
      <c r="L53" s="33"/>
      <c r="M53" s="33"/>
    </row>
    <row r="54" customFormat="false" ht="15.75" hidden="false" customHeight="true" outlineLevel="0" collapsed="false">
      <c r="C54" s="33"/>
      <c r="D54" s="33"/>
      <c r="E54" s="33"/>
      <c r="F54" s="33"/>
      <c r="G54" s="33"/>
      <c r="H54" s="33"/>
      <c r="I54" s="33"/>
      <c r="J54" s="46"/>
      <c r="K54" s="24"/>
      <c r="L54" s="33"/>
      <c r="M54" s="33"/>
    </row>
    <row r="55" customFormat="false" ht="15.75" hidden="false" customHeight="true" outlineLevel="0" collapsed="false">
      <c r="C55" s="33"/>
      <c r="D55" s="33"/>
      <c r="E55" s="33"/>
      <c r="F55" s="33"/>
      <c r="G55" s="33"/>
      <c r="H55" s="33"/>
      <c r="I55" s="33"/>
      <c r="J55" s="46"/>
      <c r="K55" s="24"/>
      <c r="L55" s="33"/>
      <c r="M55" s="33"/>
    </row>
    <row r="56" customFormat="false" ht="15.75" hidden="false" customHeight="true" outlineLevel="0" collapsed="false">
      <c r="C56" s="33"/>
      <c r="D56" s="33"/>
      <c r="E56" s="33"/>
      <c r="F56" s="33"/>
      <c r="G56" s="33"/>
      <c r="H56" s="33"/>
      <c r="I56" s="33"/>
      <c r="J56" s="46"/>
      <c r="K56" s="24"/>
      <c r="L56" s="33"/>
      <c r="M56" s="33"/>
    </row>
    <row r="57" customFormat="false" ht="15.75" hidden="false" customHeight="true" outlineLevel="0" collapsed="false">
      <c r="C57" s="33"/>
      <c r="D57" s="33"/>
      <c r="E57" s="33"/>
      <c r="F57" s="33"/>
      <c r="G57" s="33"/>
      <c r="H57" s="33"/>
      <c r="I57" s="33"/>
      <c r="J57" s="46"/>
      <c r="K57" s="24"/>
      <c r="L57" s="33"/>
      <c r="M57" s="33"/>
    </row>
    <row r="58" customFormat="false" ht="15.75" hidden="false" customHeight="true" outlineLevel="0" collapsed="false">
      <c r="C58" s="33"/>
      <c r="D58" s="33"/>
      <c r="E58" s="33"/>
      <c r="F58" s="33"/>
      <c r="G58" s="33"/>
      <c r="H58" s="33"/>
      <c r="I58" s="33"/>
      <c r="J58" s="46"/>
      <c r="K58" s="24"/>
      <c r="L58" s="33"/>
      <c r="M58" s="33"/>
    </row>
    <row r="59" customFormat="false" ht="15.75" hidden="false" customHeight="true" outlineLevel="0" collapsed="false">
      <c r="C59" s="33"/>
      <c r="D59" s="33"/>
      <c r="E59" s="33"/>
      <c r="F59" s="33"/>
      <c r="G59" s="33"/>
      <c r="H59" s="33"/>
      <c r="I59" s="33"/>
      <c r="J59" s="46"/>
      <c r="K59" s="24"/>
      <c r="L59" s="33"/>
      <c r="M59" s="33"/>
    </row>
    <row r="60" customFormat="false" ht="15.75" hidden="false" customHeight="true" outlineLevel="0" collapsed="false">
      <c r="C60" s="33"/>
      <c r="D60" s="33"/>
      <c r="E60" s="33"/>
      <c r="F60" s="33"/>
      <c r="G60" s="33"/>
      <c r="H60" s="33"/>
      <c r="I60" s="33"/>
      <c r="J60" s="46"/>
      <c r="K60" s="24"/>
      <c r="L60" s="33"/>
      <c r="M60" s="33"/>
    </row>
    <row r="61" customFormat="false" ht="15.75" hidden="false" customHeight="true" outlineLevel="0" collapsed="false">
      <c r="C61" s="33"/>
      <c r="D61" s="33"/>
      <c r="E61" s="33"/>
      <c r="F61" s="33"/>
      <c r="G61" s="33"/>
      <c r="H61" s="33"/>
      <c r="I61" s="33"/>
      <c r="J61" s="46"/>
      <c r="K61" s="24"/>
      <c r="L61" s="33"/>
      <c r="M61" s="33"/>
    </row>
    <row r="62" customFormat="false" ht="15.75" hidden="false" customHeight="true" outlineLevel="0" collapsed="false">
      <c r="C62" s="33"/>
      <c r="D62" s="33"/>
      <c r="E62" s="33"/>
      <c r="F62" s="33"/>
      <c r="G62" s="33"/>
      <c r="H62" s="33"/>
      <c r="I62" s="33"/>
      <c r="J62" s="46"/>
      <c r="K62" s="24"/>
      <c r="L62" s="33"/>
      <c r="M62" s="33"/>
    </row>
    <row r="63" customFormat="false" ht="15.75" hidden="false" customHeight="true" outlineLevel="0" collapsed="false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customFormat="false" ht="15.75" hidden="false" customHeight="true" outlineLevel="0" collapsed="false">
      <c r="C64" s="33"/>
      <c r="D64" s="33"/>
      <c r="E64" s="33"/>
      <c r="F64" s="156"/>
      <c r="G64" s="173"/>
      <c r="H64" s="173"/>
      <c r="I64" s="33"/>
      <c r="J64" s="33"/>
      <c r="K64" s="33"/>
      <c r="L64" s="33"/>
      <c r="M64" s="33"/>
    </row>
    <row r="65" customFormat="false" ht="15.75" hidden="false" customHeight="true" outlineLevel="0" collapsed="false">
      <c r="F65" s="156"/>
      <c r="G65" s="26"/>
      <c r="H65" s="26"/>
      <c r="I65" s="33"/>
      <c r="J65" s="33"/>
    </row>
    <row r="66" customFormat="false" ht="15.75" hidden="false" customHeight="true" outlineLevel="0" collapsed="false">
      <c r="F66" s="33"/>
      <c r="G66" s="33"/>
      <c r="H66" s="33"/>
      <c r="I66" s="33"/>
      <c r="J66" s="33"/>
    </row>
    <row r="67" customFormat="false" ht="15.75" hidden="false" customHeight="true" outlineLevel="0" collapsed="false">
      <c r="F67" s="33"/>
      <c r="G67" s="33"/>
      <c r="H67" s="33"/>
      <c r="I67" s="33"/>
      <c r="J67" s="33"/>
    </row>
    <row r="68" customFormat="false" ht="15.75" hidden="false" customHeight="true" outlineLevel="0" collapsed="false">
      <c r="F68" s="33"/>
      <c r="G68" s="33"/>
      <c r="H68" s="33"/>
      <c r="I68" s="33"/>
      <c r="J68" s="33"/>
    </row>
    <row r="69" customFormat="false" ht="15.75" hidden="false" customHeight="true" outlineLevel="0" collapsed="false">
      <c r="F69" s="33"/>
      <c r="G69" s="33"/>
      <c r="H69" s="33"/>
      <c r="I69" s="33"/>
      <c r="J69" s="33"/>
    </row>
    <row r="70" customFormat="false" ht="15.75" hidden="false" customHeight="true" outlineLevel="0" collapsed="false">
      <c r="F70" s="33"/>
      <c r="G70" s="33"/>
      <c r="H70" s="33"/>
      <c r="I70" s="33"/>
      <c r="J70" s="33"/>
    </row>
    <row r="71" customFormat="false" ht="15.75" hidden="false" customHeight="true" outlineLevel="0" collapsed="false">
      <c r="F71" s="33"/>
      <c r="G71" s="33"/>
      <c r="H71" s="33"/>
      <c r="I71" s="33"/>
      <c r="J71" s="33"/>
    </row>
    <row r="72" customFormat="false" ht="15.75" hidden="false" customHeight="true" outlineLevel="0" collapsed="false">
      <c r="F72" s="33"/>
      <c r="G72" s="33"/>
      <c r="H72" s="33"/>
      <c r="I72" s="33"/>
      <c r="J72" s="33"/>
    </row>
    <row r="73" customFormat="false" ht="15.75" hidden="false" customHeight="true" outlineLevel="0" collapsed="false">
      <c r="F73" s="33"/>
      <c r="G73" s="33"/>
      <c r="H73" s="33"/>
      <c r="I73" s="33"/>
      <c r="J73" s="33"/>
    </row>
    <row r="74" customFormat="false" ht="15.75" hidden="false" customHeight="true" outlineLevel="0" collapsed="false">
      <c r="F74" s="33"/>
      <c r="G74" s="33"/>
      <c r="H74" s="33"/>
      <c r="I74" s="33"/>
      <c r="J74" s="33"/>
    </row>
    <row r="75" customFormat="false" ht="15.75" hidden="false" customHeight="true" outlineLevel="0" collapsed="false">
      <c r="F75" s="33"/>
      <c r="G75" s="33"/>
      <c r="H75" s="33"/>
      <c r="I75" s="33"/>
      <c r="J75" s="33"/>
    </row>
    <row r="76" customFormat="false" ht="15.75" hidden="false" customHeight="true" outlineLevel="0" collapsed="false">
      <c r="F76" s="33"/>
      <c r="G76" s="33"/>
      <c r="H76" s="33"/>
      <c r="I76" s="33"/>
      <c r="J76" s="33"/>
    </row>
    <row r="77" customFormat="false" ht="15.75" hidden="false" customHeight="true" outlineLevel="0" collapsed="false">
      <c r="F77" s="33"/>
      <c r="G77" s="33"/>
      <c r="H77" s="33"/>
      <c r="I77" s="33"/>
      <c r="J77" s="33"/>
    </row>
    <row r="78" customFormat="false" ht="15.75" hidden="false" customHeight="true" outlineLevel="0" collapsed="false">
      <c r="F78" s="33"/>
      <c r="G78" s="33"/>
      <c r="H78" s="33"/>
      <c r="I78" s="33"/>
      <c r="J78" s="33"/>
    </row>
    <row r="79" customFormat="false" ht="15.75" hidden="false" customHeight="true" outlineLevel="0" collapsed="false">
      <c r="F79" s="33"/>
      <c r="G79" s="33"/>
      <c r="H79" s="33"/>
      <c r="I79" s="33"/>
      <c r="J79" s="33"/>
    </row>
    <row r="80" customFormat="false" ht="15.75" hidden="false" customHeight="true" outlineLevel="0" collapsed="false">
      <c r="F80" s="33"/>
      <c r="G80" s="33"/>
      <c r="H80" s="33"/>
      <c r="I80" s="33"/>
      <c r="J80" s="33"/>
    </row>
    <row r="81" customFormat="false" ht="15.75" hidden="false" customHeight="true" outlineLevel="0" collapsed="false">
      <c r="F81" s="33"/>
      <c r="G81" s="33"/>
      <c r="H81" s="33"/>
      <c r="I81" s="33"/>
      <c r="J81" s="33"/>
    </row>
    <row r="82" customFormat="false" ht="15.75" hidden="false" customHeight="true" outlineLevel="0" collapsed="false">
      <c r="F82" s="33"/>
      <c r="G82" s="33"/>
      <c r="H82" s="33"/>
      <c r="I82" s="33"/>
      <c r="J82" s="33"/>
    </row>
    <row r="83" customFormat="false" ht="15.75" hidden="false" customHeight="true" outlineLevel="0" collapsed="false">
      <c r="F83" s="33"/>
      <c r="G83" s="33"/>
      <c r="H83" s="33"/>
      <c r="I83" s="33"/>
      <c r="J83" s="33"/>
    </row>
    <row r="84" customFormat="false" ht="15.75" hidden="false" customHeight="true" outlineLevel="0" collapsed="false">
      <c r="F84" s="33"/>
      <c r="G84" s="33"/>
      <c r="H84" s="33"/>
      <c r="I84" s="33"/>
      <c r="J84" s="33"/>
    </row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24:H24"/>
    <mergeCell ref="J24:L24"/>
    <mergeCell ref="N24:O24"/>
    <mergeCell ref="G44:H44"/>
    <mergeCell ref="J44:K44"/>
    <mergeCell ref="G64:H64"/>
  </mergeCells>
  <conditionalFormatting sqref="N26:O42">
    <cfRule type="expression" priority="2" aboveAverage="0" equalAverage="0" bottom="0" percent="0" rank="0" text="" dxfId="5">
      <formula>ABS(N26)&gt;=10%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0" activeCellId="0" sqref="E40"/>
    </sheetView>
  </sheetViews>
  <sheetFormatPr defaultColWidth="14.5078125" defaultRowHeight="15" zeroHeight="false" outlineLevelRow="0" outlineLevelCol="0"/>
  <cols>
    <col collapsed="false" customWidth="true" hidden="false" outlineLevel="0" max="26" min="1" style="1" width="11.5"/>
  </cols>
  <sheetData>
    <row r="1" customFormat="false" ht="15" hidden="false" customHeight="false" outlineLevel="0" collapsed="false">
      <c r="H1" s="46"/>
    </row>
    <row r="3" customFormat="false" ht="15" hidden="false" customHeight="false" outlineLevel="0" collapsed="false">
      <c r="G3" s="181" t="n">
        <f aca="false">Flujos!H7</f>
        <v>23736.495548</v>
      </c>
    </row>
    <row r="4" customFormat="false" ht="15" hidden="false" customHeight="false" outlineLevel="0" collapsed="false">
      <c r="G4" s="182" t="n">
        <f aca="false">Flujos!I7</f>
        <v>0.60202205505</v>
      </c>
    </row>
    <row r="5" customFormat="false" ht="13.8" hidden="false" customHeight="false" outlineLevel="0" collapsed="false">
      <c r="A5" s="183"/>
      <c r="B5" s="181" t="n">
        <f aca="false">Flujos!H4</f>
        <v>0</v>
      </c>
      <c r="C5" s="183"/>
      <c r="D5" s="183"/>
      <c r="E5" s="183"/>
      <c r="G5" s="184" t="n">
        <f aca="false">G3*G4</f>
        <v>14289.8938294921</v>
      </c>
      <c r="H5" s="183"/>
      <c r="I5" s="183"/>
      <c r="J5" s="181" t="n">
        <f aca="false">Flujos!H9</f>
        <v>0</v>
      </c>
      <c r="K5" s="183"/>
      <c r="L5" s="183"/>
      <c r="S5" s="183"/>
    </row>
    <row r="6" customFormat="false" ht="15" hidden="false" customHeight="false" outlineLevel="0" collapsed="false">
      <c r="A6" s="185"/>
      <c r="B6" s="182" t="n">
        <f aca="false">Flujos!I4</f>
        <v>0</v>
      </c>
      <c r="C6" s="183"/>
      <c r="D6" s="183"/>
      <c r="E6" s="183"/>
      <c r="G6" s="183"/>
      <c r="H6" s="183"/>
      <c r="I6" s="183"/>
      <c r="J6" s="182" t="n">
        <f aca="false">Flujos!I9</f>
        <v>0</v>
      </c>
      <c r="K6" s="183"/>
      <c r="L6" s="183"/>
      <c r="S6" s="183"/>
    </row>
    <row r="7" customFormat="false" ht="13.8" hidden="false" customHeight="false" outlineLevel="0" collapsed="false">
      <c r="A7" s="185"/>
      <c r="B7" s="184" t="n">
        <f aca="false">B5*B6</f>
        <v>0</v>
      </c>
      <c r="C7" s="183"/>
      <c r="D7" s="183"/>
      <c r="E7" s="183"/>
      <c r="F7" s="183"/>
      <c r="G7" s="183"/>
      <c r="H7" s="183"/>
      <c r="I7" s="183"/>
      <c r="J7" s="184" t="n">
        <f aca="false">J5*J6</f>
        <v>0</v>
      </c>
      <c r="K7" s="183"/>
      <c r="L7" s="183"/>
      <c r="S7" s="183"/>
    </row>
    <row r="8" customFormat="false" ht="15" hidden="false" customHeight="false" outlineLevel="0" collapsed="false">
      <c r="A8" s="185"/>
      <c r="B8" s="183"/>
      <c r="C8" s="183"/>
      <c r="D8" s="183"/>
      <c r="E8" s="183"/>
      <c r="F8" s="183"/>
      <c r="G8" s="183"/>
      <c r="H8" s="186" t="n">
        <f aca="false">Flujos!H8</f>
        <v>2857.2055475</v>
      </c>
      <c r="I8" s="183"/>
      <c r="S8" s="183"/>
    </row>
    <row r="9" customFormat="false" ht="15" hidden="false" customHeight="false" outlineLevel="0" collapsed="false">
      <c r="B9" s="183"/>
      <c r="C9" s="183"/>
      <c r="D9" s="183"/>
      <c r="E9" s="183"/>
      <c r="F9" s="183"/>
      <c r="G9" s="183"/>
      <c r="H9" s="187" t="n">
        <f aca="false">Flujos!H8*Flujos!I8</f>
        <v>1737.2564924227</v>
      </c>
      <c r="I9" s="183"/>
      <c r="J9" s="181" t="n">
        <f aca="false">Flujos!H10</f>
        <v>20879.29</v>
      </c>
      <c r="K9" s="183"/>
      <c r="L9" s="183"/>
    </row>
    <row r="10" customFormat="false" ht="15" hidden="false" customHeight="false" outlineLevel="0" collapsed="false">
      <c r="A10" s="185"/>
      <c r="B10" s="181" t="n">
        <f aca="false">Flujos!H5</f>
        <v>66085.374488</v>
      </c>
      <c r="C10" s="183"/>
      <c r="D10" s="183"/>
      <c r="E10" s="183"/>
      <c r="F10" s="183"/>
      <c r="G10" s="183"/>
      <c r="H10" s="183"/>
      <c r="I10" s="183"/>
      <c r="J10" s="182" t="n">
        <f aca="false">Flujos!I10</f>
        <v>0.60120039194</v>
      </c>
      <c r="K10" s="183"/>
      <c r="L10" s="183"/>
    </row>
    <row r="11" customFormat="false" ht="13.8" hidden="false" customHeight="false" outlineLevel="0" collapsed="false">
      <c r="A11" s="185"/>
      <c r="B11" s="182" t="n">
        <f aca="false">Flujos!I5</f>
        <v>0.50486596686</v>
      </c>
      <c r="C11" s="183"/>
      <c r="D11" s="183"/>
      <c r="E11" s="183"/>
      <c r="J11" s="184" t="n">
        <f aca="false">J9*J10</f>
        <v>12552.6373314289</v>
      </c>
    </row>
    <row r="12" customFormat="false" ht="13.8" hidden="false" customHeight="false" outlineLevel="0" collapsed="false">
      <c r="A12" s="185"/>
      <c r="B12" s="184" t="n">
        <f aca="false">B10*B11</f>
        <v>33364.2564861893</v>
      </c>
      <c r="C12" s="183"/>
      <c r="D12" s="183"/>
      <c r="E12" s="183"/>
    </row>
    <row r="13" customFormat="false" ht="15.75" hidden="false" customHeight="false" outlineLevel="0" collapsed="false">
      <c r="A13" s="185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N13" s="188" t="s">
        <v>171</v>
      </c>
    </row>
    <row r="14" customFormat="false" ht="18.75" hidden="false" customHeight="false" outlineLevel="0" collapsed="false"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N14" s="189" t="s">
        <v>172</v>
      </c>
      <c r="O14" s="189"/>
      <c r="P14" s="189"/>
      <c r="Q14" s="190" t="s">
        <v>173</v>
      </c>
      <c r="R14" s="190"/>
      <c r="S14" s="190"/>
      <c r="T14" s="191" t="s">
        <v>174</v>
      </c>
      <c r="U14" s="191"/>
      <c r="V14" s="191"/>
      <c r="W14" s="191"/>
    </row>
    <row r="15" customFormat="false" ht="15" hidden="false" customHeight="true" outlineLevel="0" collapsed="false">
      <c r="C15" s="183"/>
      <c r="D15" s="183"/>
      <c r="E15" s="183"/>
      <c r="F15" s="183"/>
      <c r="G15" s="183"/>
      <c r="H15" s="183"/>
      <c r="I15" s="183"/>
      <c r="J15" s="181" t="n">
        <f aca="false">Flujos!H13</f>
        <v>0</v>
      </c>
      <c r="K15" s="183"/>
      <c r="L15" s="183"/>
      <c r="N15" s="192" t="s">
        <v>175</v>
      </c>
      <c r="O15" s="192"/>
      <c r="P15" s="193" t="n">
        <f aca="false">+B5</f>
        <v>0</v>
      </c>
      <c r="Q15" s="192" t="s">
        <v>176</v>
      </c>
      <c r="R15" s="192"/>
      <c r="S15" s="194" t="n">
        <f aca="false">+H8</f>
        <v>2857.2055475</v>
      </c>
      <c r="T15" s="195" t="s">
        <v>18</v>
      </c>
      <c r="U15" s="195"/>
      <c r="V15" s="195"/>
      <c r="W15" s="194" t="n">
        <f aca="false">+J5</f>
        <v>0</v>
      </c>
    </row>
    <row r="16" customFormat="false" ht="15" hidden="false" customHeight="true" outlineLevel="0" collapsed="false">
      <c r="B16" s="181" t="n">
        <f aca="false">Flujos!H6</f>
        <v>10638.742332</v>
      </c>
      <c r="C16" s="183"/>
      <c r="D16" s="183"/>
      <c r="E16" s="183"/>
      <c r="F16" s="183"/>
      <c r="G16" s="183"/>
      <c r="H16" s="183"/>
      <c r="I16" s="183"/>
      <c r="J16" s="182" t="n">
        <f aca="false">Flujos!I13</f>
        <v>0</v>
      </c>
      <c r="K16" s="183"/>
      <c r="L16" s="183"/>
      <c r="N16" s="192" t="s">
        <v>177</v>
      </c>
      <c r="O16" s="192"/>
      <c r="P16" s="193" t="n">
        <f aca="false">+B10</f>
        <v>66085.374488</v>
      </c>
      <c r="Q16" s="195" t="s">
        <v>178</v>
      </c>
      <c r="R16" s="195"/>
      <c r="S16" s="194" t="n">
        <f aca="false">+H19</f>
        <v>212.29024952</v>
      </c>
      <c r="T16" s="195" t="s">
        <v>19</v>
      </c>
      <c r="U16" s="195"/>
      <c r="V16" s="195"/>
      <c r="W16" s="194" t="n">
        <f aca="false">+J9</f>
        <v>20879.29</v>
      </c>
    </row>
    <row r="17" customFormat="false" ht="15" hidden="false" customHeight="true" outlineLevel="0" collapsed="false">
      <c r="B17" s="182" t="n">
        <f aca="false">Flujos!I6</f>
        <v>0.54764364774</v>
      </c>
      <c r="C17" s="183"/>
      <c r="D17" s="183"/>
      <c r="E17" s="183"/>
      <c r="F17" s="181" t="n">
        <f aca="false">Flujos!H11</f>
        <v>16442.96025</v>
      </c>
      <c r="G17" s="183"/>
      <c r="H17" s="183"/>
      <c r="I17" s="183"/>
      <c r="J17" s="184" t="n">
        <f aca="false">J15*J16</f>
        <v>0</v>
      </c>
      <c r="K17" s="183"/>
      <c r="L17" s="183"/>
      <c r="N17" s="192" t="s">
        <v>179</v>
      </c>
      <c r="O17" s="192"/>
      <c r="P17" s="193" t="n">
        <f aca="false">+B16</f>
        <v>10638.742332</v>
      </c>
      <c r="Q17" s="195" t="s">
        <v>180</v>
      </c>
      <c r="R17" s="195"/>
      <c r="S17" s="194" t="n">
        <f aca="false">+G29</f>
        <v>-466.1512384</v>
      </c>
      <c r="T17" s="195" t="s">
        <v>22</v>
      </c>
      <c r="U17" s="195"/>
      <c r="V17" s="195"/>
      <c r="W17" s="194" t="n">
        <f aca="false">+J15</f>
        <v>0</v>
      </c>
    </row>
    <row r="18" customFormat="false" ht="13.8" hidden="false" customHeight="false" outlineLevel="0" collapsed="false">
      <c r="A18" s="185"/>
      <c r="B18" s="184" t="n">
        <f aca="false">B16*B17</f>
        <v>5826.23965806243</v>
      </c>
      <c r="C18" s="183"/>
      <c r="D18" s="183"/>
      <c r="E18" s="183"/>
      <c r="F18" s="182" t="n">
        <f aca="false">Flujos!I11</f>
        <v>0.6060561106</v>
      </c>
      <c r="H18" s="183"/>
      <c r="I18" s="183"/>
      <c r="J18" s="183"/>
      <c r="K18" s="183"/>
      <c r="L18" s="183"/>
      <c r="N18" s="195"/>
      <c r="O18" s="195"/>
      <c r="P18" s="193"/>
      <c r="Q18" s="195" t="s">
        <v>158</v>
      </c>
      <c r="R18" s="195"/>
      <c r="S18" s="194" t="n">
        <f aca="false">+G39</f>
        <v>5438.3422614</v>
      </c>
      <c r="T18" s="195" t="s">
        <v>23</v>
      </c>
      <c r="U18" s="195"/>
      <c r="V18" s="195"/>
      <c r="W18" s="194" t="n">
        <f aca="false">+J19</f>
        <v>16230.67</v>
      </c>
    </row>
    <row r="19" customFormat="false" ht="13.8" hidden="false" customHeight="false" outlineLevel="0" collapsed="false">
      <c r="A19" s="185"/>
      <c r="B19" s="183"/>
      <c r="C19" s="183"/>
      <c r="D19" s="183"/>
      <c r="E19" s="183"/>
      <c r="F19" s="184" t="n">
        <f aca="false">F17*F18</f>
        <v>9965.3565358654</v>
      </c>
      <c r="H19" s="186" t="n">
        <f aca="false">Flujos!H12</f>
        <v>212.29024952</v>
      </c>
      <c r="I19" s="183"/>
      <c r="J19" s="181" t="n">
        <f aca="false">Flujos!H14</f>
        <v>16230.67</v>
      </c>
      <c r="K19" s="183"/>
      <c r="L19" s="183"/>
      <c r="N19" s="196"/>
      <c r="O19" s="197"/>
      <c r="P19" s="193"/>
      <c r="Q19" s="195"/>
      <c r="R19" s="195"/>
      <c r="S19" s="194"/>
      <c r="T19" s="195" t="s">
        <v>181</v>
      </c>
      <c r="U19" s="195"/>
      <c r="V19" s="195"/>
      <c r="W19" s="194" t="n">
        <f aca="false">+H28</f>
        <v>4696</v>
      </c>
    </row>
    <row r="20" customFormat="false" ht="15" hidden="false" customHeight="false" outlineLevel="0" collapsed="false">
      <c r="A20" s="185"/>
      <c r="B20" s="183"/>
      <c r="H20" s="187" t="n">
        <f aca="false">Flujos!H12*Flujos!I12</f>
        <v>127.512598895426</v>
      </c>
      <c r="I20" s="183"/>
      <c r="J20" s="182" t="n">
        <f aca="false">Flujos!I14</f>
        <v>0.60612679185</v>
      </c>
      <c r="K20" s="183"/>
      <c r="L20" s="183"/>
      <c r="N20" s="196"/>
      <c r="O20" s="197"/>
      <c r="P20" s="193"/>
      <c r="Q20" s="195"/>
      <c r="R20" s="195"/>
      <c r="S20" s="194"/>
      <c r="T20" s="195" t="s">
        <v>29</v>
      </c>
      <c r="U20" s="195"/>
      <c r="V20" s="195"/>
      <c r="W20" s="194" t="n">
        <f aca="false">+H38</f>
        <v>26876.47</v>
      </c>
    </row>
    <row r="21" customFormat="false" ht="15.75" hidden="false" customHeight="true" outlineLevel="0" collapsed="false">
      <c r="F21" s="183"/>
      <c r="G21" s="183"/>
      <c r="H21" s="183"/>
      <c r="I21" s="183"/>
      <c r="J21" s="184" t="n">
        <f aca="false">J19*J20</f>
        <v>9837.84393667604</v>
      </c>
      <c r="K21" s="183"/>
      <c r="L21" s="183"/>
      <c r="N21" s="198" t="s">
        <v>182</v>
      </c>
      <c r="O21" s="198"/>
      <c r="P21" s="199" t="n">
        <f aca="false">+SUM(P15:P20)</f>
        <v>76724.11682</v>
      </c>
      <c r="Q21" s="200" t="s">
        <v>183</v>
      </c>
      <c r="R21" s="200"/>
      <c r="S21" s="201" t="n">
        <f aca="false">+SUM(S15:S20)</f>
        <v>8041.68682002</v>
      </c>
      <c r="T21" s="200"/>
      <c r="U21" s="200"/>
      <c r="V21" s="200"/>
      <c r="W21" s="199" t="n">
        <f aca="false">+SUM(W15:W20)</f>
        <v>68682.43</v>
      </c>
    </row>
    <row r="22" customFormat="false" ht="15.75" hidden="false" customHeight="true" outlineLevel="0" collapsed="false">
      <c r="L22" s="183"/>
    </row>
    <row r="23" customFormat="false" ht="15.75" hidden="false" customHeight="true" outlineLevel="0" collapsed="false"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S23" s="202" t="s">
        <v>184</v>
      </c>
      <c r="T23" s="203"/>
      <c r="U23" s="204"/>
      <c r="V23" s="203"/>
      <c r="W23" s="205" t="n">
        <f aca="false">+P21-S21-W21</f>
        <v>-2.00088834390044E-008</v>
      </c>
    </row>
    <row r="24" customFormat="false" ht="15.75" hidden="false" customHeight="true" outlineLevel="0" collapsed="false">
      <c r="C24" s="183"/>
      <c r="D24" s="183"/>
      <c r="E24" s="183"/>
      <c r="F24" s="183"/>
      <c r="G24" s="183"/>
      <c r="H24" s="183"/>
      <c r="I24" s="183"/>
      <c r="J24" s="183"/>
      <c r="K24" s="183"/>
      <c r="L24" s="183"/>
    </row>
    <row r="25" customFormat="false" ht="15.75" hidden="false" customHeight="true" outlineLevel="0" collapsed="false">
      <c r="A25" s="185"/>
      <c r="B25" s="183"/>
      <c r="C25" s="183"/>
      <c r="D25" s="183"/>
      <c r="K25" s="183"/>
      <c r="L25" s="183"/>
    </row>
    <row r="26" customFormat="false" ht="15.75" hidden="false" customHeight="true" outlineLevel="0" collapsed="false">
      <c r="A26" s="185"/>
      <c r="B26" s="183"/>
      <c r="C26" s="183"/>
      <c r="D26" s="183"/>
      <c r="K26" s="183"/>
      <c r="L26" s="183"/>
      <c r="N26" s="188" t="s">
        <v>185</v>
      </c>
    </row>
    <row r="27" customFormat="false" ht="15.75" hidden="false" customHeight="true" outlineLevel="0" collapsed="false">
      <c r="A27" s="185"/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N27" s="206" t="s">
        <v>172</v>
      </c>
      <c r="O27" s="206"/>
      <c r="P27" s="206"/>
      <c r="Q27" s="207" t="s">
        <v>173</v>
      </c>
      <c r="R27" s="207"/>
      <c r="S27" s="207"/>
      <c r="T27" s="208" t="s">
        <v>174</v>
      </c>
      <c r="U27" s="208"/>
      <c r="V27" s="208"/>
      <c r="W27" s="208"/>
    </row>
    <row r="28" customFormat="false" ht="15.75" hidden="false" customHeight="true" outlineLevel="0" collapsed="false">
      <c r="A28" s="185"/>
      <c r="B28" s="183"/>
      <c r="C28" s="183"/>
      <c r="D28" s="183"/>
      <c r="E28" s="181" t="n">
        <f aca="false">Flujos!H15</f>
        <v>4229.8487616</v>
      </c>
      <c r="F28" s="183"/>
      <c r="G28" s="183"/>
      <c r="H28" s="181" t="n">
        <f aca="false">Flujos!H17</f>
        <v>4696</v>
      </c>
      <c r="I28" s="183"/>
      <c r="J28" s="183"/>
      <c r="K28" s="183"/>
      <c r="L28" s="183"/>
      <c r="N28" s="192" t="s">
        <v>175</v>
      </c>
      <c r="O28" s="192"/>
      <c r="P28" s="193" t="n">
        <f aca="false">+B7</f>
        <v>0</v>
      </c>
      <c r="Q28" s="192" t="s">
        <v>176</v>
      </c>
      <c r="R28" s="192"/>
      <c r="S28" s="194" t="n">
        <f aca="false">+H9</f>
        <v>1737.2564924227</v>
      </c>
      <c r="T28" s="195" t="s">
        <v>18</v>
      </c>
      <c r="U28" s="195"/>
      <c r="V28" s="195"/>
      <c r="W28" s="194" t="n">
        <f aca="false">+J7</f>
        <v>0</v>
      </c>
    </row>
    <row r="29" customFormat="false" ht="15.75" hidden="false" customHeight="true" outlineLevel="0" collapsed="false">
      <c r="A29" s="183"/>
      <c r="B29" s="183"/>
      <c r="C29" s="183"/>
      <c r="D29" s="183"/>
      <c r="E29" s="182" t="n">
        <f aca="false">Flujos!I15</f>
        <v>0.35829297645</v>
      </c>
      <c r="F29" s="183"/>
      <c r="G29" s="186" t="n">
        <f aca="false">Flujos!H16</f>
        <v>-466.1512384</v>
      </c>
      <c r="H29" s="182" t="n">
        <f aca="false">Flujos!I17</f>
        <v>0.35824120328</v>
      </c>
      <c r="I29" s="183"/>
      <c r="J29" s="183"/>
      <c r="K29" s="183"/>
      <c r="L29" s="183"/>
      <c r="N29" s="192" t="s">
        <v>177</v>
      </c>
      <c r="O29" s="192"/>
      <c r="P29" s="193" t="n">
        <f aca="false">+B12</f>
        <v>33364.2564861893</v>
      </c>
      <c r="Q29" s="195" t="s">
        <v>178</v>
      </c>
      <c r="R29" s="195"/>
      <c r="S29" s="194" t="n">
        <f aca="false">+H20</f>
        <v>127.512598895426</v>
      </c>
      <c r="T29" s="195" t="s">
        <v>19</v>
      </c>
      <c r="U29" s="195"/>
      <c r="V29" s="195"/>
      <c r="W29" s="194" t="n">
        <f aca="false">+J11</f>
        <v>12552.6373314289</v>
      </c>
    </row>
    <row r="30" customFormat="false" ht="15.75" hidden="false" customHeight="true" outlineLevel="0" collapsed="false">
      <c r="A30" s="183"/>
      <c r="C30" s="183"/>
      <c r="D30" s="183"/>
      <c r="E30" s="184" t="n">
        <f aca="false">E29*E28</f>
        <v>1515.52510272701</v>
      </c>
      <c r="F30" s="183"/>
      <c r="G30" s="187" t="n">
        <f aca="false">Flujos!H16*Flujos!I16</f>
        <v>-166.775587159484</v>
      </c>
      <c r="H30" s="184" t="n">
        <f aca="false">H29*H28</f>
        <v>1682.30069060288</v>
      </c>
      <c r="I30" s="183"/>
      <c r="J30" s="183"/>
      <c r="K30" s="183"/>
      <c r="L30" s="183"/>
      <c r="N30" s="192" t="s">
        <v>179</v>
      </c>
      <c r="O30" s="192"/>
      <c r="P30" s="193" t="n">
        <f aca="false">+B18</f>
        <v>5826.23965806243</v>
      </c>
      <c r="Q30" s="195" t="s">
        <v>180</v>
      </c>
      <c r="R30" s="195"/>
      <c r="S30" s="194" t="n">
        <f aca="false">+G30</f>
        <v>-166.775587159484</v>
      </c>
      <c r="T30" s="195" t="s">
        <v>22</v>
      </c>
      <c r="U30" s="195"/>
      <c r="V30" s="195"/>
      <c r="W30" s="194" t="n">
        <f aca="false">+J17</f>
        <v>0</v>
      </c>
    </row>
    <row r="31" customFormat="false" ht="15.75" hidden="false" customHeight="true" outlineLevel="0" collapsed="false">
      <c r="A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N31" s="195"/>
      <c r="O31" s="195"/>
      <c r="P31" s="193"/>
      <c r="Q31" s="195" t="s">
        <v>158</v>
      </c>
      <c r="R31" s="195"/>
      <c r="S31" s="194" t="n">
        <f aca="false">+G40</f>
        <v>2243.08995882926</v>
      </c>
      <c r="T31" s="195" t="s">
        <v>23</v>
      </c>
      <c r="U31" s="195"/>
      <c r="V31" s="195"/>
      <c r="W31" s="194" t="n">
        <f aca="false">+J21</f>
        <v>9837.84393667604</v>
      </c>
    </row>
    <row r="32" customFormat="false" ht="15.75" hidden="false" customHeight="true" outlineLevel="0" collapsed="false">
      <c r="A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N32" s="196"/>
      <c r="O32" s="197"/>
      <c r="P32" s="193"/>
      <c r="Q32" s="195"/>
      <c r="R32" s="195"/>
      <c r="S32" s="194"/>
      <c r="T32" s="195" t="s">
        <v>181</v>
      </c>
      <c r="U32" s="195"/>
      <c r="V32" s="195"/>
      <c r="W32" s="194" t="n">
        <f aca="false">+H30</f>
        <v>1682.30069060288</v>
      </c>
    </row>
    <row r="33" customFormat="false" ht="15.75" hidden="false" customHeight="true" outlineLevel="0" collapsed="false">
      <c r="A33" s="183"/>
      <c r="C33" s="183"/>
      <c r="D33" s="183"/>
      <c r="J33" s="183"/>
      <c r="K33" s="183"/>
      <c r="L33" s="183"/>
      <c r="N33" s="196"/>
      <c r="O33" s="197"/>
      <c r="P33" s="193"/>
      <c r="Q33" s="195"/>
      <c r="R33" s="195"/>
      <c r="S33" s="194"/>
      <c r="T33" s="195" t="s">
        <v>29</v>
      </c>
      <c r="U33" s="195"/>
      <c r="V33" s="195"/>
      <c r="W33" s="194" t="n">
        <f aca="false">+H40</f>
        <v>11176.6307285781</v>
      </c>
    </row>
    <row r="34" customFormat="false" ht="15.75" hidden="false" customHeight="true" outlineLevel="0" collapsed="false">
      <c r="A34" s="183"/>
      <c r="C34" s="183"/>
      <c r="D34" s="183"/>
      <c r="J34" s="183"/>
      <c r="K34" s="183"/>
      <c r="L34" s="183"/>
      <c r="N34" s="198" t="s">
        <v>182</v>
      </c>
      <c r="O34" s="198"/>
      <c r="P34" s="199" t="n">
        <f aca="false">+SUM(P28:P33)</f>
        <v>39190.4961442517</v>
      </c>
      <c r="Q34" s="200" t="s">
        <v>183</v>
      </c>
      <c r="R34" s="200"/>
      <c r="S34" s="201" t="n">
        <f aca="false">+SUM(S28:S33)</f>
        <v>3941.0834629879</v>
      </c>
      <c r="T34" s="200"/>
      <c r="U34" s="200"/>
      <c r="V34" s="200"/>
      <c r="W34" s="199" t="n">
        <f aca="false">+SUM(W28:W33)</f>
        <v>35249.412687286</v>
      </c>
    </row>
    <row r="35" customFormat="false" ht="15.75" hidden="false" customHeight="true" outlineLevel="0" collapsed="false">
      <c r="A35" s="183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</row>
    <row r="36" customFormat="false" ht="15.75" hidden="false" customHeight="true" outlineLevel="0" collapsed="false">
      <c r="E36" s="183"/>
      <c r="F36" s="183"/>
      <c r="G36" s="183"/>
      <c r="I36" s="183"/>
      <c r="S36" s="202" t="s">
        <v>184</v>
      </c>
      <c r="T36" s="203"/>
      <c r="U36" s="204"/>
      <c r="V36" s="203"/>
      <c r="W36" s="205" t="n">
        <f aca="false">+P34-S34-W34</f>
        <v>-6.0221427702345E-006</v>
      </c>
    </row>
    <row r="37" customFormat="false" ht="15.75" hidden="false" customHeight="true" outlineLevel="0" collapsed="false">
      <c r="E37" s="183"/>
      <c r="F37" s="183"/>
      <c r="G37" s="183"/>
      <c r="H37" s="183"/>
      <c r="I37" s="183"/>
    </row>
    <row r="38" customFormat="false" ht="15.75" hidden="false" customHeight="true" outlineLevel="0" collapsed="false">
      <c r="E38" s="181" t="n">
        <f aca="false">Flujos!H18</f>
        <v>32314.812261</v>
      </c>
      <c r="F38" s="183"/>
      <c r="G38" s="183"/>
      <c r="H38" s="181" t="n">
        <f aca="false">Flujos!H20</f>
        <v>26876.47</v>
      </c>
      <c r="I38" s="183"/>
    </row>
    <row r="39" customFormat="false" ht="15.75" hidden="false" customHeight="true" outlineLevel="0" collapsed="false">
      <c r="E39" s="182" t="n">
        <f aca="false">Flujos!I18</f>
        <v>0.41528078761</v>
      </c>
      <c r="F39" s="183"/>
      <c r="G39" s="186" t="n">
        <f aca="false">Flujos!H19</f>
        <v>5438.3422614</v>
      </c>
      <c r="H39" s="182" t="n">
        <f aca="false">Flujos!I20</f>
        <v>0.41585188563</v>
      </c>
      <c r="I39" s="183"/>
    </row>
    <row r="40" customFormat="false" ht="15.75" hidden="false" customHeight="true" outlineLevel="0" collapsed="false">
      <c r="E40" s="184" t="n">
        <f aca="false">E38*E39</f>
        <v>13419.7206872174</v>
      </c>
      <c r="F40" s="183"/>
      <c r="G40" s="187" t="n">
        <f aca="false">Flujos!H19*Flujos!I19</f>
        <v>2243.08995882926</v>
      </c>
      <c r="H40" s="184" t="n">
        <f aca="false">H38*H39</f>
        <v>11176.6307285781</v>
      </c>
      <c r="I40" s="183"/>
      <c r="M40" s="209"/>
      <c r="N40" s="210" t="s">
        <v>186</v>
      </c>
      <c r="O40" s="210" t="s">
        <v>187</v>
      </c>
      <c r="P40" s="210" t="str">
        <f aca="false">+'Calc Nodos'!J3</f>
        <v>Cub final Balanceada</v>
      </c>
    </row>
    <row r="41" customFormat="false" ht="15.75" hidden="false" customHeight="true" outlineLevel="0" collapsed="false">
      <c r="E41" s="183"/>
      <c r="F41" s="183"/>
      <c r="G41" s="183"/>
      <c r="H41" s="183"/>
      <c r="I41" s="183"/>
      <c r="M41" s="46" t="str">
        <f aca="false">+'Calc Nodos'!C4</f>
        <v>stock Granzas</v>
      </c>
      <c r="N41" s="65" t="n">
        <f aca="false">+'Calc Nodos'!F4</f>
        <v>2867</v>
      </c>
      <c r="O41" s="65" t="n">
        <f aca="false">+S15</f>
        <v>2857.2055475</v>
      </c>
      <c r="P41" s="65" t="n">
        <f aca="false">+'Calc Nodos'!J4</f>
        <v>2857.2055475</v>
      </c>
    </row>
    <row r="42" customFormat="false" ht="15.75" hidden="false" customHeight="true" outlineLevel="0" collapsed="false">
      <c r="M42" s="46" t="str">
        <f aca="false">+'Calc Nodos'!C5</f>
        <v>Stock Finos</v>
      </c>
      <c r="N42" s="65" t="n">
        <f aca="false">+'Calc Nodos'!F5</f>
        <v>212</v>
      </c>
      <c r="O42" s="65" t="n">
        <f aca="false">+S16</f>
        <v>212.29024952</v>
      </c>
      <c r="P42" s="65" t="n">
        <f aca="false">+'Calc Nodos'!J5</f>
        <v>438.29024952</v>
      </c>
    </row>
    <row r="43" customFormat="false" ht="15.75" hidden="false" customHeight="true" outlineLevel="0" collapsed="false">
      <c r="M43" s="46" t="str">
        <f aca="false">+'Calc Nodos'!C6</f>
        <v>Stock Mixto 1</v>
      </c>
      <c r="N43" s="65" t="n">
        <f aca="false">+'Calc Nodos'!F6</f>
        <v>-478</v>
      </c>
      <c r="O43" s="65" t="n">
        <f aca="false">+S17</f>
        <v>-466.1512384</v>
      </c>
      <c r="P43" s="65" t="n">
        <f aca="false">+'Calc Nodos'!J6</f>
        <v>1089.8487616</v>
      </c>
    </row>
    <row r="44" customFormat="false" ht="15.75" hidden="false" customHeight="true" outlineLevel="0" collapsed="false">
      <c r="M44" s="46" t="str">
        <f aca="false">+'Calc Nodos'!C7</f>
        <v>Stock Mixto 2</v>
      </c>
      <c r="N44" s="65" t="n">
        <f aca="false">+'Calc Nodos'!F7</f>
        <v>528</v>
      </c>
      <c r="O44" s="65" t="n">
        <f aca="false">+S18</f>
        <v>5438.3422614</v>
      </c>
      <c r="P44" s="65" t="n">
        <f aca="false">+'Calc Nodos'!J7</f>
        <v>5820.3422614</v>
      </c>
    </row>
    <row r="45" customFormat="false" ht="15.75" hidden="false" customHeight="true" outlineLevel="0" collapsed="false">
      <c r="M45" s="46"/>
      <c r="N45" s="46"/>
    </row>
    <row r="46" customFormat="false" ht="15.75" hidden="false" customHeight="true" outlineLevel="0" collapsed="false">
      <c r="M46" s="46"/>
      <c r="N46" s="46"/>
    </row>
    <row r="47" customFormat="false" ht="15.75" hidden="false" customHeight="true" outlineLevel="0" collapsed="false">
      <c r="M47" s="46"/>
      <c r="N47" s="46"/>
    </row>
    <row r="48" customFormat="false" ht="15.75" hidden="false" customHeight="true" outlineLevel="0" collapsed="false">
      <c r="M48" s="46"/>
      <c r="N48" s="46"/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4">
    <mergeCell ref="N14:P14"/>
    <mergeCell ref="Q14:S14"/>
    <mergeCell ref="T14:W14"/>
    <mergeCell ref="N15:O15"/>
    <mergeCell ref="Q15:R15"/>
    <mergeCell ref="T15:V15"/>
    <mergeCell ref="N16:O16"/>
    <mergeCell ref="Q16:R16"/>
    <mergeCell ref="T16:V16"/>
    <mergeCell ref="N17:O17"/>
    <mergeCell ref="Q17:R17"/>
    <mergeCell ref="T17:V17"/>
    <mergeCell ref="N18:O18"/>
    <mergeCell ref="Q18:R18"/>
    <mergeCell ref="T18:V18"/>
    <mergeCell ref="Q19:R19"/>
    <mergeCell ref="T19:V19"/>
    <mergeCell ref="Q20:R20"/>
    <mergeCell ref="T20:V20"/>
    <mergeCell ref="N21:O21"/>
    <mergeCell ref="Q21:R21"/>
    <mergeCell ref="T21:V21"/>
    <mergeCell ref="N27:P27"/>
    <mergeCell ref="Q27:S27"/>
    <mergeCell ref="T27:W27"/>
    <mergeCell ref="N28:O28"/>
    <mergeCell ref="Q28:R28"/>
    <mergeCell ref="T28:V28"/>
    <mergeCell ref="N29:O29"/>
    <mergeCell ref="Q29:R29"/>
    <mergeCell ref="T29:V29"/>
    <mergeCell ref="N30:O30"/>
    <mergeCell ref="Q30:R30"/>
    <mergeCell ref="T30:V30"/>
    <mergeCell ref="N31:O31"/>
    <mergeCell ref="Q31:R31"/>
    <mergeCell ref="T31:V31"/>
    <mergeCell ref="Q32:R32"/>
    <mergeCell ref="T32:V32"/>
    <mergeCell ref="Q33:R33"/>
    <mergeCell ref="T33:V33"/>
    <mergeCell ref="N34:O34"/>
    <mergeCell ref="Q34:R34"/>
    <mergeCell ref="T34:V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1150</TotalTime>
  <Application>LibreOffice/7.5.1.2$Linux_X86_64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2021-11-09T13:13:40Z</dcterms:created>
  <dc:creator>Marco Arru</dc:creator>
  <dc:description/>
  <dc:language>es-CL</dc:language>
  <cp:lastModifiedBy/>
  <dcterms:modified xsi:type="dcterms:W3CDTF">2023-05-26T12:00:45Z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0x0101000CC59CB2EA37F44288B1E4A375C8655B</vt:lpwstr>
  </property>
</Properties>
</file>