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A548AC42-8B61-7943-A16D-44CC849080F9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35" i="9" l="1"/>
  <c r="G34" i="9"/>
  <c r="H27" i="9"/>
  <c r="J30" i="9"/>
  <c r="J29" i="9"/>
  <c r="I23" i="9"/>
  <c r="I22" i="9"/>
  <c r="C36" i="7"/>
  <c r="D36" i="7"/>
  <c r="G36" i="7"/>
  <c r="H36" i="7"/>
  <c r="J36" i="7"/>
  <c r="K36" i="7"/>
  <c r="M36" i="7"/>
  <c r="N36" i="7"/>
  <c r="R36" i="7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G86" i="9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B78" i="9"/>
  <c r="N77" i="9"/>
  <c r="L77" i="9"/>
  <c r="N76" i="9"/>
  <c r="L76" i="9"/>
  <c r="I76" i="9"/>
  <c r="L75" i="9"/>
  <c r="L74" i="9"/>
  <c r="L73" i="9"/>
  <c r="N72" i="9"/>
  <c r="L72" i="9"/>
  <c r="N71" i="9"/>
  <c r="L71" i="9"/>
  <c r="K71" i="9"/>
  <c r="N70" i="9"/>
  <c r="S73" i="9" s="1"/>
  <c r="L70" i="9"/>
  <c r="AQ55" i="9"/>
  <c r="AP55" i="9"/>
  <c r="AO55" i="9"/>
  <c r="AN55" i="9"/>
  <c r="AM55" i="9"/>
  <c r="AM58" i="9" s="1"/>
  <c r="T52" i="9"/>
  <c r="S52" i="9"/>
  <c r="R52" i="9"/>
  <c r="AQ50" i="9"/>
  <c r="AO50" i="9"/>
  <c r="AN50" i="9"/>
  <c r="AP50" i="9" s="1"/>
  <c r="AM50" i="9"/>
  <c r="AH50" i="9"/>
  <c r="AG50" i="9"/>
  <c r="AF50" i="9"/>
  <c r="AE50" i="9"/>
  <c r="P50" i="9"/>
  <c r="AE49" i="9"/>
  <c r="G46" i="9"/>
  <c r="E48" i="9" s="1"/>
  <c r="AQ45" i="9"/>
  <c r="AO45" i="9"/>
  <c r="AN45" i="9"/>
  <c r="AP45" i="9" s="1"/>
  <c r="AM45" i="9"/>
  <c r="AI45" i="9"/>
  <c r="AH45" i="9"/>
  <c r="AG45" i="9"/>
  <c r="AF45" i="9"/>
  <c r="AE45" i="9"/>
  <c r="AD45" i="9"/>
  <c r="AI44" i="9"/>
  <c r="AH44" i="9"/>
  <c r="AG44" i="9"/>
  <c r="AF44" i="9"/>
  <c r="W28" i="9" s="1"/>
  <c r="X20" i="9" s="1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AI41" i="9"/>
  <c r="AH41" i="9"/>
  <c r="AG41" i="9"/>
  <c r="AF41" i="9"/>
  <c r="AE41" i="9"/>
  <c r="AD41" i="9"/>
  <c r="AN40" i="9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V39" i="9"/>
  <c r="AI38" i="9"/>
  <c r="AH38" i="9"/>
  <c r="AG38" i="9"/>
  <c r="AF38" i="9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AE36" i="9"/>
  <c r="AD36" i="9"/>
  <c r="AI35" i="9"/>
  <c r="AH35" i="9"/>
  <c r="AG35" i="9"/>
  <c r="AF35" i="9"/>
  <c r="AE35" i="9"/>
  <c r="AD35" i="9"/>
  <c r="O35" i="9"/>
  <c r="AI34" i="9"/>
  <c r="AH34" i="9"/>
  <c r="AG34" i="9"/>
  <c r="AF34" i="9"/>
  <c r="AE34" i="9"/>
  <c r="AD34" i="9"/>
  <c r="AI33" i="9"/>
  <c r="AH33" i="9"/>
  <c r="AG33" i="9"/>
  <c r="AF33" i="9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1" i="9"/>
  <c r="AG28" i="9"/>
  <c r="M53" i="9" s="1"/>
  <c r="S28" i="9"/>
  <c r="W27" i="9"/>
  <c r="U27" i="9"/>
  <c r="S27" i="9"/>
  <c r="AG26" i="9"/>
  <c r="AL25" i="9"/>
  <c r="AL26" i="9" s="1"/>
  <c r="AE25" i="9"/>
  <c r="AP24" i="9"/>
  <c r="AG24" i="9"/>
  <c r="AF24" i="9"/>
  <c r="AD24" i="9"/>
  <c r="AG23" i="9"/>
  <c r="AF22" i="9"/>
  <c r="AL21" i="9"/>
  <c r="V21" i="9"/>
  <c r="AL20" i="9"/>
  <c r="AG20" i="9"/>
  <c r="W20" i="9"/>
  <c r="AF19" i="9"/>
  <c r="C41" i="9" s="1"/>
  <c r="C43" i="9" s="1"/>
  <c r="AE18" i="9"/>
  <c r="AH16" i="9"/>
  <c r="AD16" i="9"/>
  <c r="AP15" i="9"/>
  <c r="AO15" i="9"/>
  <c r="AN15" i="9"/>
  <c r="AM15" i="9"/>
  <c r="AR15" i="9" s="1"/>
  <c r="AL15" i="9"/>
  <c r="AG15" i="9"/>
  <c r="I34" i="9" s="1"/>
  <c r="J37" i="9" s="1"/>
  <c r="S15" i="9"/>
  <c r="T18" i="9" s="1"/>
  <c r="AP14" i="9"/>
  <c r="AO14" i="9"/>
  <c r="AR14" i="9" s="1"/>
  <c r="AN14" i="9"/>
  <c r="AM14" i="9"/>
  <c r="AL14" i="9"/>
  <c r="AQ14" i="9" s="1"/>
  <c r="AF14" i="9"/>
  <c r="AI14" i="9" s="1"/>
  <c r="AR13" i="9"/>
  <c r="AP13" i="9"/>
  <c r="AO13" i="9"/>
  <c r="AN13" i="9"/>
  <c r="AM13" i="9"/>
  <c r="AL13" i="9"/>
  <c r="X13" i="9"/>
  <c r="V13" i="9"/>
  <c r="AP12" i="9"/>
  <c r="AO12" i="9"/>
  <c r="AR12" i="9" s="1"/>
  <c r="P57" i="9" s="1"/>
  <c r="AN12" i="9"/>
  <c r="AM12" i="9"/>
  <c r="AL12" i="9"/>
  <c r="AG12" i="9"/>
  <c r="AE12" i="9"/>
  <c r="AD12" i="9" s="1"/>
  <c r="AP11" i="9"/>
  <c r="AO11" i="9"/>
  <c r="AN11" i="9"/>
  <c r="AM11" i="9"/>
  <c r="AR11" i="9" s="1"/>
  <c r="AL11" i="9"/>
  <c r="AE11" i="9"/>
  <c r="AP10" i="9"/>
  <c r="AO10" i="9"/>
  <c r="AR10" i="9" s="1"/>
  <c r="E36" i="9" s="1"/>
  <c r="AN10" i="9"/>
  <c r="AM10" i="9"/>
  <c r="AL10" i="9"/>
  <c r="AE10" i="9"/>
  <c r="AH10" i="9" s="1"/>
  <c r="N10" i="9"/>
  <c r="M10" i="9"/>
  <c r="L10" i="9"/>
  <c r="AP9" i="9"/>
  <c r="AO9" i="9"/>
  <c r="AN9" i="9"/>
  <c r="AM9" i="9"/>
  <c r="AL9" i="9"/>
  <c r="AG9" i="9"/>
  <c r="H10" i="9" s="1"/>
  <c r="AP8" i="9"/>
  <c r="AO8" i="9"/>
  <c r="AN8" i="9"/>
  <c r="AM8" i="9"/>
  <c r="AL8" i="9"/>
  <c r="AF8" i="9"/>
  <c r="N4" i="9" s="1"/>
  <c r="W8" i="9"/>
  <c r="U8" i="9"/>
  <c r="R8" i="9"/>
  <c r="AP7" i="9"/>
  <c r="AO7" i="9"/>
  <c r="AR7" i="9" s="1"/>
  <c r="J5" i="9" s="1"/>
  <c r="AN7" i="9"/>
  <c r="AM7" i="9"/>
  <c r="AL7" i="9"/>
  <c r="AP6" i="9"/>
  <c r="AO6" i="9"/>
  <c r="AR6" i="9" s="1"/>
  <c r="G15" i="9" s="1"/>
  <c r="AN6" i="9"/>
  <c r="AM6" i="9"/>
  <c r="AL6" i="9"/>
  <c r="N5" i="9"/>
  <c r="C4" i="9"/>
  <c r="P4" i="10" s="1"/>
  <c r="AX3" i="9"/>
  <c r="AW3" i="9"/>
  <c r="AV3" i="9"/>
  <c r="AU3" i="9"/>
  <c r="X3" i="9"/>
  <c r="R35" i="7"/>
  <c r="H35" i="7"/>
  <c r="V38" i="9" s="1"/>
  <c r="G35" i="7"/>
  <c r="V37" i="9" s="1"/>
  <c r="D35" i="7"/>
  <c r="K35" i="7" s="1"/>
  <c r="C35" i="7"/>
  <c r="J35" i="7" s="1"/>
  <c r="R34" i="7"/>
  <c r="M34" i="7"/>
  <c r="H34" i="7"/>
  <c r="K34" i="7" s="1"/>
  <c r="G34" i="7"/>
  <c r="D34" i="7"/>
  <c r="C34" i="7"/>
  <c r="J34" i="7" s="1"/>
  <c r="R33" i="7"/>
  <c r="J33" i="7"/>
  <c r="M33" i="7" s="1"/>
  <c r="H33" i="7"/>
  <c r="G33" i="7"/>
  <c r="D33" i="7"/>
  <c r="K33" i="7" s="1"/>
  <c r="C33" i="7"/>
  <c r="R32" i="7"/>
  <c r="H32" i="7"/>
  <c r="G32" i="7"/>
  <c r="D32" i="7"/>
  <c r="K32" i="7" s="1"/>
  <c r="C32" i="7"/>
  <c r="J32" i="7" s="1"/>
  <c r="R31" i="7"/>
  <c r="H31" i="7"/>
  <c r="K31" i="7" s="1"/>
  <c r="G31" i="7"/>
  <c r="D31" i="7"/>
  <c r="C31" i="7"/>
  <c r="J31" i="7" s="1"/>
  <c r="N31" i="7" s="1"/>
  <c r="R30" i="7"/>
  <c r="H30" i="7"/>
  <c r="G30" i="7"/>
  <c r="J30" i="7" s="1"/>
  <c r="D30" i="7"/>
  <c r="K30" i="7" s="1"/>
  <c r="C30" i="7"/>
  <c r="R29" i="7"/>
  <c r="K29" i="7"/>
  <c r="H29" i="7"/>
  <c r="G29" i="7"/>
  <c r="D29" i="7"/>
  <c r="C29" i="7"/>
  <c r="J29" i="7" s="1"/>
  <c r="R28" i="7"/>
  <c r="AE28" i="9" s="1"/>
  <c r="M28" i="7"/>
  <c r="K28" i="7"/>
  <c r="J28" i="7"/>
  <c r="N28" i="7" s="1"/>
  <c r="H28" i="7"/>
  <c r="G28" i="7"/>
  <c r="AF28" i="9" s="1"/>
  <c r="D28" i="7"/>
  <c r="C28" i="7"/>
  <c r="AD28" i="9" s="1"/>
  <c r="R27" i="7"/>
  <c r="AE27" i="9" s="1"/>
  <c r="K27" i="7"/>
  <c r="J27" i="7"/>
  <c r="N27" i="7" s="1"/>
  <c r="H27" i="7"/>
  <c r="AG27" i="9" s="1"/>
  <c r="G27" i="7"/>
  <c r="AF27" i="9" s="1"/>
  <c r="D27" i="7"/>
  <c r="C27" i="7"/>
  <c r="R26" i="7"/>
  <c r="AE26" i="9" s="1"/>
  <c r="H26" i="7"/>
  <c r="G26" i="7"/>
  <c r="AF26" i="9" s="1"/>
  <c r="AI26" i="9" s="1"/>
  <c r="E70" i="9" s="1"/>
  <c r="D26" i="7"/>
  <c r="K26" i="7" s="1"/>
  <c r="C26" i="7"/>
  <c r="AD26" i="9" s="1"/>
  <c r="B70" i="9" s="1"/>
  <c r="R25" i="7"/>
  <c r="H25" i="7"/>
  <c r="AG25" i="9" s="1"/>
  <c r="R37" i="9" s="1"/>
  <c r="G25" i="7"/>
  <c r="AF25" i="9" s="1"/>
  <c r="D25" i="7"/>
  <c r="K25" i="7" s="1"/>
  <c r="C25" i="7"/>
  <c r="AD25" i="9" s="1"/>
  <c r="B71" i="9" s="1"/>
  <c r="R24" i="7"/>
  <c r="AE24" i="9" s="1"/>
  <c r="AI24" i="9" s="1"/>
  <c r="M24" i="7"/>
  <c r="H24" i="7"/>
  <c r="G24" i="7"/>
  <c r="D24" i="7"/>
  <c r="K24" i="7" s="1"/>
  <c r="C24" i="7"/>
  <c r="J24" i="7" s="1"/>
  <c r="R23" i="7"/>
  <c r="AE23" i="9" s="1"/>
  <c r="K23" i="7"/>
  <c r="J23" i="7"/>
  <c r="M23" i="7" s="1"/>
  <c r="H23" i="7"/>
  <c r="G23" i="7"/>
  <c r="AF23" i="9" s="1"/>
  <c r="D23" i="7"/>
  <c r="C23" i="7"/>
  <c r="R22" i="7"/>
  <c r="AE22" i="9" s="1"/>
  <c r="AD22" i="9" s="1"/>
  <c r="M22" i="7"/>
  <c r="J22" i="7"/>
  <c r="H22" i="7"/>
  <c r="AG22" i="9" s="1"/>
  <c r="R44" i="9" s="1"/>
  <c r="G22" i="7"/>
  <c r="D22" i="7"/>
  <c r="K22" i="7" s="1"/>
  <c r="N22" i="7" s="1"/>
  <c r="C22" i="7"/>
  <c r="R21" i="7"/>
  <c r="AE21" i="9" s="1"/>
  <c r="M21" i="7"/>
  <c r="K21" i="7"/>
  <c r="H21" i="7"/>
  <c r="AG21" i="9" s="1"/>
  <c r="M40" i="9" s="1"/>
  <c r="G21" i="7"/>
  <c r="AF21" i="9" s="1"/>
  <c r="D21" i="7"/>
  <c r="C21" i="7"/>
  <c r="J21" i="7" s="1"/>
  <c r="N21" i="7" s="1"/>
  <c r="R20" i="7"/>
  <c r="AE20" i="9" s="1"/>
  <c r="J20" i="7"/>
  <c r="H20" i="7"/>
  <c r="G20" i="7"/>
  <c r="AF20" i="9" s="1"/>
  <c r="K35" i="9" s="1"/>
  <c r="D20" i="7"/>
  <c r="K20" i="7" s="1"/>
  <c r="C20" i="7"/>
  <c r="R19" i="7"/>
  <c r="H19" i="7"/>
  <c r="AG19" i="9" s="1"/>
  <c r="C42" i="9" s="1"/>
  <c r="G19" i="7"/>
  <c r="D19" i="7"/>
  <c r="K19" i="7" s="1"/>
  <c r="C19" i="7"/>
  <c r="R18" i="7"/>
  <c r="K18" i="7"/>
  <c r="H18" i="7"/>
  <c r="AG18" i="9" s="1"/>
  <c r="J40" i="9" s="1"/>
  <c r="G18" i="7"/>
  <c r="AF18" i="9" s="1"/>
  <c r="D18" i="7"/>
  <c r="C18" i="7"/>
  <c r="R17" i="7"/>
  <c r="AE17" i="9" s="1"/>
  <c r="K17" i="7"/>
  <c r="J17" i="7"/>
  <c r="H17" i="7"/>
  <c r="AG17" i="9" s="1"/>
  <c r="G17" i="7"/>
  <c r="AF17" i="9" s="1"/>
  <c r="D17" i="7"/>
  <c r="C17" i="7"/>
  <c r="R16" i="7"/>
  <c r="K16" i="7"/>
  <c r="H16" i="7"/>
  <c r="AG16" i="9" s="1"/>
  <c r="F41" i="9" s="1"/>
  <c r="G16" i="7"/>
  <c r="D16" i="7"/>
  <c r="C16" i="7"/>
  <c r="AD18" i="9" s="1"/>
  <c r="R15" i="7"/>
  <c r="H15" i="7"/>
  <c r="G15" i="7"/>
  <c r="D15" i="7"/>
  <c r="K15" i="7" s="1"/>
  <c r="C15" i="7"/>
  <c r="R14" i="7"/>
  <c r="H14" i="7"/>
  <c r="G14" i="7"/>
  <c r="D14" i="7"/>
  <c r="C14" i="7"/>
  <c r="J14" i="7" s="1"/>
  <c r="R13" i="7"/>
  <c r="AE15" i="9" s="1"/>
  <c r="K13" i="7"/>
  <c r="H13" i="7"/>
  <c r="G13" i="7"/>
  <c r="AF15" i="9" s="1"/>
  <c r="D13" i="7"/>
  <c r="C13" i="7"/>
  <c r="R12" i="7"/>
  <c r="AE14" i="9" s="1"/>
  <c r="M12" i="7"/>
  <c r="J12" i="7"/>
  <c r="H12" i="7"/>
  <c r="AG14" i="9" s="1"/>
  <c r="G12" i="7"/>
  <c r="D12" i="7"/>
  <c r="C12" i="7"/>
  <c r="R11" i="7"/>
  <c r="AE13" i="9" s="1"/>
  <c r="AD13" i="9" s="1"/>
  <c r="H11" i="7"/>
  <c r="G11" i="7"/>
  <c r="AF13" i="9" s="1"/>
  <c r="D11" i="7"/>
  <c r="C11" i="7"/>
  <c r="R10" i="7"/>
  <c r="H10" i="7"/>
  <c r="G10" i="7"/>
  <c r="D10" i="7"/>
  <c r="K10" i="7" s="1"/>
  <c r="C10" i="7"/>
  <c r="R9" i="7"/>
  <c r="H9" i="7"/>
  <c r="AG11" i="9" s="1"/>
  <c r="G9" i="7"/>
  <c r="D9" i="7"/>
  <c r="K9" i="7" s="1"/>
  <c r="C9" i="7"/>
  <c r="AD11" i="9" s="1"/>
  <c r="R8" i="7"/>
  <c r="J8" i="7"/>
  <c r="H8" i="7"/>
  <c r="AG10" i="9" s="1"/>
  <c r="G8" i="7"/>
  <c r="AF10" i="9" s="1"/>
  <c r="D8" i="7"/>
  <c r="K8" i="7" s="1"/>
  <c r="C8" i="7"/>
  <c r="AD10" i="9" s="1"/>
  <c r="B73" i="9" s="1"/>
  <c r="R7" i="7"/>
  <c r="AE9" i="9" s="1"/>
  <c r="H7" i="7"/>
  <c r="G7" i="7"/>
  <c r="AF9" i="9" s="1"/>
  <c r="D7" i="7"/>
  <c r="K7" i="7" s="1"/>
  <c r="C7" i="7"/>
  <c r="R6" i="7"/>
  <c r="AE8" i="9" s="1"/>
  <c r="K6" i="7"/>
  <c r="H6" i="7"/>
  <c r="AG8" i="9" s="1"/>
  <c r="G6" i="7"/>
  <c r="D6" i="7"/>
  <c r="C6" i="7"/>
  <c r="AD8" i="9" s="1"/>
  <c r="R5" i="7"/>
  <c r="AE7" i="9" s="1"/>
  <c r="J5" i="7"/>
  <c r="M5" i="7" s="1"/>
  <c r="H5" i="7"/>
  <c r="AG7" i="9" s="1"/>
  <c r="H5" i="9" s="1"/>
  <c r="P13" i="10" s="1"/>
  <c r="G5" i="7"/>
  <c r="AF7" i="9" s="1"/>
  <c r="D5" i="7"/>
  <c r="C5" i="7"/>
  <c r="AD7" i="9" s="1"/>
  <c r="B77" i="9" s="1"/>
  <c r="R4" i="7"/>
  <c r="AE6" i="9" s="1"/>
  <c r="K4" i="7"/>
  <c r="H4" i="7"/>
  <c r="AG6" i="9" s="1"/>
  <c r="F8" i="9" s="1"/>
  <c r="G4" i="7"/>
  <c r="AF6" i="9" s="1"/>
  <c r="D4" i="7"/>
  <c r="C4" i="7"/>
  <c r="Q126" i="6"/>
  <c r="O126" i="6"/>
  <c r="N126" i="6"/>
  <c r="P126" i="6" s="1"/>
  <c r="Q125" i="6"/>
  <c r="O125" i="6"/>
  <c r="N125" i="6"/>
  <c r="Q124" i="6"/>
  <c r="P124" i="6"/>
  <c r="O124" i="6"/>
  <c r="N124" i="6"/>
  <c r="Q123" i="6"/>
  <c r="O123" i="6"/>
  <c r="P123" i="6" s="1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Q119" i="6"/>
  <c r="O119" i="6"/>
  <c r="N119" i="6"/>
  <c r="P119" i="6" s="1"/>
  <c r="Q118" i="6"/>
  <c r="O118" i="6"/>
  <c r="P118" i="6" s="1"/>
  <c r="N118" i="6"/>
  <c r="Q117" i="6"/>
  <c r="O117" i="6"/>
  <c r="N117" i="6"/>
  <c r="P117" i="6" s="1"/>
  <c r="Q116" i="6"/>
  <c r="P116" i="6"/>
  <c r="O116" i="6"/>
  <c r="N116" i="6"/>
  <c r="Q115" i="6"/>
  <c r="O115" i="6"/>
  <c r="N115" i="6"/>
  <c r="Q114" i="6"/>
  <c r="O114" i="6"/>
  <c r="N114" i="6"/>
  <c r="P114" i="6" s="1"/>
  <c r="Q113" i="6"/>
  <c r="O113" i="6"/>
  <c r="P113" i="6" s="1"/>
  <c r="N113" i="6"/>
  <c r="Q112" i="6"/>
  <c r="P112" i="6"/>
  <c r="O112" i="6"/>
  <c r="N112" i="6"/>
  <c r="Q111" i="6"/>
  <c r="O111" i="6"/>
  <c r="P111" i="6" s="1"/>
  <c r="N111" i="6"/>
  <c r="Q110" i="6"/>
  <c r="O110" i="6"/>
  <c r="N110" i="6"/>
  <c r="P110" i="6" s="1"/>
  <c r="Q109" i="6"/>
  <c r="O109" i="6"/>
  <c r="N109" i="6"/>
  <c r="P109" i="6" s="1"/>
  <c r="Q108" i="6"/>
  <c r="P108" i="6"/>
  <c r="O108" i="6"/>
  <c r="N108" i="6"/>
  <c r="Q107" i="6"/>
  <c r="O107" i="6"/>
  <c r="P107" i="6" s="1"/>
  <c r="N107" i="6"/>
  <c r="Q106" i="6"/>
  <c r="O106" i="6"/>
  <c r="N106" i="6"/>
  <c r="P106" i="6" s="1"/>
  <c r="Q105" i="6"/>
  <c r="O105" i="6"/>
  <c r="N105" i="6"/>
  <c r="P105" i="6" s="1"/>
  <c r="Q104" i="6"/>
  <c r="P104" i="6"/>
  <c r="O104" i="6"/>
  <c r="N104" i="6"/>
  <c r="Q103" i="6"/>
  <c r="O103" i="6"/>
  <c r="P103" i="6" s="1"/>
  <c r="N103" i="6"/>
  <c r="Q102" i="6"/>
  <c r="O102" i="6"/>
  <c r="N102" i="6"/>
  <c r="Q101" i="6"/>
  <c r="O101" i="6"/>
  <c r="N101" i="6"/>
  <c r="Q100" i="6"/>
  <c r="O100" i="6"/>
  <c r="N100" i="6"/>
  <c r="P100" i="6" s="1"/>
  <c r="Q99" i="6"/>
  <c r="O99" i="6"/>
  <c r="N99" i="6"/>
  <c r="P99" i="6" s="1"/>
  <c r="Q98" i="6"/>
  <c r="P98" i="6"/>
  <c r="O98" i="6"/>
  <c r="N98" i="6"/>
  <c r="Q97" i="6"/>
  <c r="O97" i="6"/>
  <c r="N97" i="6"/>
  <c r="P97" i="6" s="1"/>
  <c r="Q96" i="6"/>
  <c r="P96" i="6"/>
  <c r="O96" i="6"/>
  <c r="N96" i="6"/>
  <c r="Q95" i="6"/>
  <c r="O95" i="6"/>
  <c r="N95" i="6"/>
  <c r="Q94" i="6"/>
  <c r="O94" i="6"/>
  <c r="N94" i="6"/>
  <c r="Q93" i="6"/>
  <c r="O93" i="6"/>
  <c r="P93" i="6" s="1"/>
  <c r="N93" i="6"/>
  <c r="Q92" i="6"/>
  <c r="O92" i="6"/>
  <c r="N92" i="6"/>
  <c r="P92" i="6" s="1"/>
  <c r="Q91" i="6"/>
  <c r="O91" i="6"/>
  <c r="P91" i="6" s="1"/>
  <c r="N91" i="6"/>
  <c r="Q90" i="6"/>
  <c r="O90" i="6"/>
  <c r="N90" i="6"/>
  <c r="Q89" i="6"/>
  <c r="O89" i="6"/>
  <c r="N89" i="6"/>
  <c r="P89" i="6" s="1"/>
  <c r="Q88" i="6"/>
  <c r="P88" i="6"/>
  <c r="O88" i="6"/>
  <c r="N88" i="6"/>
  <c r="Q87" i="6"/>
  <c r="P87" i="6"/>
  <c r="O87" i="6"/>
  <c r="N87" i="6"/>
  <c r="Q86" i="6"/>
  <c r="O86" i="6"/>
  <c r="P86" i="6" s="1"/>
  <c r="N86" i="6"/>
  <c r="Q85" i="6"/>
  <c r="O85" i="6"/>
  <c r="N85" i="6"/>
  <c r="Q84" i="6"/>
  <c r="O84" i="6"/>
  <c r="N84" i="6"/>
  <c r="P84" i="6" s="1"/>
  <c r="Q83" i="6"/>
  <c r="O83" i="6"/>
  <c r="P83" i="6" s="1"/>
  <c r="N83" i="6"/>
  <c r="Q82" i="6"/>
  <c r="P82" i="6"/>
  <c r="O82" i="6"/>
  <c r="N82" i="6"/>
  <c r="Q81" i="6"/>
  <c r="O81" i="6"/>
  <c r="N81" i="6"/>
  <c r="Q80" i="6"/>
  <c r="O80" i="6"/>
  <c r="N80" i="6"/>
  <c r="P80" i="6" s="1"/>
  <c r="Q79" i="6"/>
  <c r="P79" i="6"/>
  <c r="O79" i="6"/>
  <c r="N79" i="6"/>
  <c r="Q78" i="6"/>
  <c r="P78" i="6"/>
  <c r="O78" i="6"/>
  <c r="N78" i="6"/>
  <c r="Q77" i="6"/>
  <c r="O77" i="6"/>
  <c r="N77" i="6"/>
  <c r="P77" i="6" s="1"/>
  <c r="Q76" i="6"/>
  <c r="O76" i="6"/>
  <c r="N76" i="6"/>
  <c r="P76" i="6" s="1"/>
  <c r="Q75" i="6"/>
  <c r="O75" i="6"/>
  <c r="N75" i="6"/>
  <c r="Q74" i="6"/>
  <c r="O74" i="6"/>
  <c r="P74" i="6" s="1"/>
  <c r="N74" i="6"/>
  <c r="Q73" i="6"/>
  <c r="O73" i="6"/>
  <c r="P73" i="6" s="1"/>
  <c r="N73" i="6"/>
  <c r="Q72" i="6"/>
  <c r="O72" i="6"/>
  <c r="N72" i="6"/>
  <c r="Q71" i="6"/>
  <c r="O71" i="6"/>
  <c r="N71" i="6"/>
  <c r="P71" i="6" s="1"/>
  <c r="Q70" i="6"/>
  <c r="O70" i="6"/>
  <c r="N70" i="6"/>
  <c r="P70" i="6" s="1"/>
  <c r="Q69" i="6"/>
  <c r="P69" i="6"/>
  <c r="O69" i="6"/>
  <c r="Q68" i="6"/>
  <c r="O68" i="6"/>
  <c r="N68" i="6"/>
  <c r="P68" i="6" s="1"/>
  <c r="Q67" i="6"/>
  <c r="P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G56" i="3"/>
  <c r="G61" i="3" s="1"/>
  <c r="N48" i="3"/>
  <c r="N46" i="3"/>
  <c r="S37" i="3"/>
  <c r="G37" i="3"/>
  <c r="S36" i="3"/>
  <c r="G36" i="3"/>
  <c r="N49" i="3" s="1"/>
  <c r="O35" i="3"/>
  <c r="O34" i="3"/>
  <c r="O33" i="3"/>
  <c r="M32" i="3"/>
  <c r="M31" i="3"/>
  <c r="S30" i="3"/>
  <c r="N59" i="3" s="1"/>
  <c r="M30" i="3"/>
  <c r="Q11" i="3" s="1"/>
  <c r="C30" i="3"/>
  <c r="N57" i="3" s="1"/>
  <c r="S29" i="3"/>
  <c r="C29" i="3"/>
  <c r="S28" i="3"/>
  <c r="C28" i="3"/>
  <c r="L26" i="3"/>
  <c r="I26" i="3"/>
  <c r="L25" i="3"/>
  <c r="I25" i="3"/>
  <c r="Q8" i="3" s="1"/>
  <c r="P23" i="3"/>
  <c r="P22" i="3"/>
  <c r="K21" i="3"/>
  <c r="X20" i="3"/>
  <c r="O20" i="3"/>
  <c r="J48" i="3" s="1"/>
  <c r="K20" i="3"/>
  <c r="Y19" i="3"/>
  <c r="J19" i="3"/>
  <c r="J46" i="3" s="1"/>
  <c r="D18" i="3"/>
  <c r="D17" i="3"/>
  <c r="M16" i="3"/>
  <c r="D16" i="3"/>
  <c r="M15" i="3"/>
  <c r="H14" i="3"/>
  <c r="J13" i="3"/>
  <c r="H13" i="3"/>
  <c r="J12" i="3"/>
  <c r="H12" i="3"/>
  <c r="J11" i="3"/>
  <c r="C9" i="3"/>
  <c r="I8" i="3"/>
  <c r="C8" i="3"/>
  <c r="I7" i="3"/>
  <c r="F7" i="3"/>
  <c r="I6" i="3"/>
  <c r="G45" i="3" s="1"/>
  <c r="G50" i="3" s="1"/>
  <c r="F6" i="3"/>
  <c r="J123" i="2"/>
  <c r="J120" i="2"/>
  <c r="I120" i="2"/>
  <c r="J118" i="2"/>
  <c r="I115" i="2"/>
  <c r="J114" i="2"/>
  <c r="J112" i="2"/>
  <c r="J111" i="2"/>
  <c r="I111" i="2"/>
  <c r="K109" i="2"/>
  <c r="K108" i="2"/>
  <c r="J108" i="2"/>
  <c r="I101" i="2"/>
  <c r="I95" i="2"/>
  <c r="I122" i="2" s="1"/>
  <c r="I94" i="2"/>
  <c r="I121" i="2" s="1"/>
  <c r="N93" i="2"/>
  <c r="K120" i="2" s="1"/>
  <c r="M93" i="2"/>
  <c r="N92" i="2"/>
  <c r="K119" i="2" s="1"/>
  <c r="M92" i="2"/>
  <c r="J119" i="2" s="1"/>
  <c r="M91" i="2"/>
  <c r="I91" i="2"/>
  <c r="I118" i="2" s="1"/>
  <c r="I90" i="2"/>
  <c r="I117" i="2" s="1"/>
  <c r="I89" i="2"/>
  <c r="I116" i="2" s="1"/>
  <c r="N87" i="2"/>
  <c r="K114" i="2" s="1"/>
  <c r="M87" i="2"/>
  <c r="N86" i="2"/>
  <c r="K113" i="2" s="1"/>
  <c r="I86" i="2"/>
  <c r="I113" i="2" s="1"/>
  <c r="M85" i="2"/>
  <c r="M84" i="2"/>
  <c r="I84" i="2"/>
  <c r="M83" i="2"/>
  <c r="J110" i="2" s="1"/>
  <c r="N82" i="2"/>
  <c r="M82" i="2"/>
  <c r="J109" i="2" s="1"/>
  <c r="I82" i="2"/>
  <c r="I109" i="2" s="1"/>
  <c r="N81" i="2"/>
  <c r="M78" i="2"/>
  <c r="J105" i="2" s="1"/>
  <c r="I78" i="2"/>
  <c r="I105" i="2" s="1"/>
  <c r="I76" i="2"/>
  <c r="I103" i="2" s="1"/>
  <c r="R71" i="2"/>
  <c r="R69" i="2"/>
  <c r="T69" i="2" s="1"/>
  <c r="O69" i="2"/>
  <c r="AH42" i="2" s="1"/>
  <c r="K69" i="2"/>
  <c r="S69" i="2" s="1"/>
  <c r="V69" i="2" s="1"/>
  <c r="J69" i="2"/>
  <c r="M96" i="2" s="1"/>
  <c r="I69" i="2"/>
  <c r="I96" i="2" s="1"/>
  <c r="I123" i="2" s="1"/>
  <c r="H69" i="2"/>
  <c r="O68" i="2"/>
  <c r="S38" i="3" s="1"/>
  <c r="N58" i="3" s="1"/>
  <c r="K68" i="2"/>
  <c r="N95" i="2" s="1"/>
  <c r="K122" i="2" s="1"/>
  <c r="J68" i="2"/>
  <c r="I68" i="2"/>
  <c r="H68" i="2"/>
  <c r="P67" i="2"/>
  <c r="O67" i="2"/>
  <c r="J67" i="2"/>
  <c r="M94" i="2" s="1"/>
  <c r="J121" i="2" s="1"/>
  <c r="I67" i="2"/>
  <c r="H67" i="2"/>
  <c r="F67" i="2"/>
  <c r="K67" i="2" s="1"/>
  <c r="E67" i="2"/>
  <c r="D67" i="2"/>
  <c r="G67" i="2" s="1"/>
  <c r="S66" i="2"/>
  <c r="V66" i="2" s="1"/>
  <c r="R66" i="2"/>
  <c r="T66" i="2" s="1"/>
  <c r="O66" i="2"/>
  <c r="K66" i="2"/>
  <c r="J66" i="2"/>
  <c r="I66" i="2"/>
  <c r="I93" i="2" s="1"/>
  <c r="H66" i="2"/>
  <c r="V65" i="2"/>
  <c r="S65" i="2"/>
  <c r="R65" i="2"/>
  <c r="T65" i="2" s="1"/>
  <c r="O65" i="2"/>
  <c r="AH38" i="2" s="1"/>
  <c r="K65" i="2"/>
  <c r="J65" i="2"/>
  <c r="I65" i="2"/>
  <c r="I92" i="2" s="1"/>
  <c r="I119" i="2" s="1"/>
  <c r="H65" i="2"/>
  <c r="T64" i="2"/>
  <c r="R64" i="2"/>
  <c r="O64" i="2"/>
  <c r="AH37" i="2" s="1"/>
  <c r="K64" i="2"/>
  <c r="J64" i="2"/>
  <c r="I64" i="2"/>
  <c r="H64" i="2"/>
  <c r="O63" i="2"/>
  <c r="AH36" i="2" s="1"/>
  <c r="K63" i="2"/>
  <c r="S63" i="2" s="1"/>
  <c r="V63" i="2" s="1"/>
  <c r="J63" i="2"/>
  <c r="I63" i="2"/>
  <c r="H63" i="2"/>
  <c r="R62" i="2"/>
  <c r="T62" i="2" s="1"/>
  <c r="P62" i="2"/>
  <c r="O62" i="2"/>
  <c r="K62" i="2"/>
  <c r="N89" i="2" s="1"/>
  <c r="K116" i="2" s="1"/>
  <c r="I62" i="2"/>
  <c r="H62" i="2"/>
  <c r="G62" i="2"/>
  <c r="F62" i="2"/>
  <c r="E62" i="2"/>
  <c r="J62" i="2" s="1"/>
  <c r="Q62" i="2" s="1"/>
  <c r="D62" i="2"/>
  <c r="V61" i="2"/>
  <c r="S61" i="2"/>
  <c r="O61" i="2"/>
  <c r="K61" i="2"/>
  <c r="N88" i="2" s="1"/>
  <c r="K115" i="2" s="1"/>
  <c r="J61" i="2"/>
  <c r="I61" i="2"/>
  <c r="I88" i="2" s="1"/>
  <c r="H61" i="2"/>
  <c r="S60" i="2"/>
  <c r="V60" i="2" s="1"/>
  <c r="R60" i="2"/>
  <c r="T60" i="2" s="1"/>
  <c r="O60" i="2"/>
  <c r="M17" i="3" s="1"/>
  <c r="K60" i="2"/>
  <c r="J60" i="2"/>
  <c r="I60" i="2"/>
  <c r="I87" i="2" s="1"/>
  <c r="I114" i="2" s="1"/>
  <c r="H60" i="2"/>
  <c r="V59" i="2"/>
  <c r="S59" i="2"/>
  <c r="O59" i="2"/>
  <c r="K59" i="2"/>
  <c r="I59" i="2"/>
  <c r="H59" i="2"/>
  <c r="V58" i="2"/>
  <c r="T58" i="2"/>
  <c r="R58" i="2"/>
  <c r="O58" i="2"/>
  <c r="I27" i="3" s="1"/>
  <c r="K58" i="2"/>
  <c r="S58" i="2" s="1"/>
  <c r="J58" i="2"/>
  <c r="I58" i="2"/>
  <c r="I85" i="2" s="1"/>
  <c r="I112" i="2" s="1"/>
  <c r="H58" i="2"/>
  <c r="AB57" i="2"/>
  <c r="T57" i="2"/>
  <c r="R57" i="2"/>
  <c r="O57" i="2"/>
  <c r="AH30" i="2" s="1"/>
  <c r="K57" i="2"/>
  <c r="J57" i="2"/>
  <c r="I57" i="2"/>
  <c r="H57" i="2"/>
  <c r="T56" i="2"/>
  <c r="Q56" i="2"/>
  <c r="P56" i="2"/>
  <c r="O56" i="2"/>
  <c r="J58" i="3" s="1"/>
  <c r="I56" i="2"/>
  <c r="I83" i="2" s="1"/>
  <c r="I110" i="2" s="1"/>
  <c r="H56" i="2"/>
  <c r="G56" i="2"/>
  <c r="E56" i="2"/>
  <c r="J56" i="2" s="1"/>
  <c r="R56" i="2" s="1"/>
  <c r="V55" i="2"/>
  <c r="T55" i="2"/>
  <c r="R55" i="2"/>
  <c r="O55" i="2"/>
  <c r="K55" i="2"/>
  <c r="S55" i="2" s="1"/>
  <c r="J55" i="2"/>
  <c r="D56" i="2" s="1"/>
  <c r="I55" i="2"/>
  <c r="H55" i="2"/>
  <c r="V54" i="2"/>
  <c r="S54" i="2"/>
  <c r="R54" i="2"/>
  <c r="T54" i="2" s="1"/>
  <c r="O54" i="2"/>
  <c r="K54" i="2"/>
  <c r="J54" i="2"/>
  <c r="M81" i="2" s="1"/>
  <c r="I54" i="2"/>
  <c r="I81" i="2" s="1"/>
  <c r="I108" i="2" s="1"/>
  <c r="H54" i="2"/>
  <c r="R53" i="2"/>
  <c r="T53" i="2" s="1"/>
  <c r="P53" i="2"/>
  <c r="O53" i="2"/>
  <c r="I53" i="2"/>
  <c r="I80" i="2" s="1"/>
  <c r="I107" i="2" s="1"/>
  <c r="H53" i="2"/>
  <c r="F53" i="2"/>
  <c r="E53" i="2"/>
  <c r="J53" i="2" s="1"/>
  <c r="K53" i="2" s="1"/>
  <c r="D53" i="2"/>
  <c r="G53" i="2" s="1"/>
  <c r="J57" i="3" s="1"/>
  <c r="O52" i="2"/>
  <c r="AH25" i="2" s="1"/>
  <c r="I52" i="2"/>
  <c r="I79" i="2" s="1"/>
  <c r="I106" i="2" s="1"/>
  <c r="H52" i="2"/>
  <c r="T51" i="2"/>
  <c r="R51" i="2"/>
  <c r="O51" i="2"/>
  <c r="K51" i="2"/>
  <c r="S51" i="2" s="1"/>
  <c r="V51" i="2" s="1"/>
  <c r="I51" i="2"/>
  <c r="H51" i="2"/>
  <c r="O50" i="2"/>
  <c r="I50" i="2"/>
  <c r="I77" i="2" s="1"/>
  <c r="I104" i="2" s="1"/>
  <c r="H50" i="2"/>
  <c r="S49" i="2"/>
  <c r="V49" i="2" s="1"/>
  <c r="P49" i="2"/>
  <c r="O49" i="2"/>
  <c r="I49" i="2"/>
  <c r="H49" i="2"/>
  <c r="F49" i="2"/>
  <c r="K49" i="2" s="1"/>
  <c r="N76" i="2" s="1"/>
  <c r="K103" i="2" s="1"/>
  <c r="E49" i="2"/>
  <c r="J49" i="2" s="1"/>
  <c r="D49" i="2"/>
  <c r="G49" i="2" s="1"/>
  <c r="J56" i="3" s="1"/>
  <c r="J61" i="3" s="1"/>
  <c r="R48" i="2"/>
  <c r="T48" i="2" s="1"/>
  <c r="O48" i="2"/>
  <c r="C10" i="3" s="1"/>
  <c r="N56" i="3" s="1"/>
  <c r="K48" i="2"/>
  <c r="S48" i="2" s="1"/>
  <c r="V48" i="2" s="1"/>
  <c r="J48" i="2"/>
  <c r="M75" i="2" s="1"/>
  <c r="J102" i="2" s="1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I74" i="2" s="1"/>
  <c r="H47" i="2"/>
  <c r="O46" i="2"/>
  <c r="AH19" i="2" s="1"/>
  <c r="K46" i="2"/>
  <c r="J46" i="2"/>
  <c r="I46" i="2"/>
  <c r="I73" i="2" s="1"/>
  <c r="I100" i="2" s="1"/>
  <c r="H46" i="2"/>
  <c r="AB45" i="2" a="1"/>
  <c r="AB45" i="2"/>
  <c r="AG42" i="2"/>
  <c r="AG41" i="2"/>
  <c r="AG40" i="2"/>
  <c r="AH39" i="2"/>
  <c r="AG39" i="2"/>
  <c r="AG38" i="2"/>
  <c r="AG37" i="2"/>
  <c r="AG36" i="2"/>
  <c r="AG35" i="2"/>
  <c r="AH34" i="2"/>
  <c r="AG34" i="2"/>
  <c r="AH33" i="2"/>
  <c r="AG33" i="2"/>
  <c r="AG32" i="2"/>
  <c r="AH31" i="2"/>
  <c r="AG31" i="2"/>
  <c r="AG30" i="2"/>
  <c r="AH29" i="2"/>
  <c r="AG29" i="2"/>
  <c r="AH28" i="2"/>
  <c r="AG28" i="2"/>
  <c r="AG27" i="2"/>
  <c r="AH26" i="2"/>
  <c r="AG26" i="2"/>
  <c r="AG25" i="2"/>
  <c r="T25" i="2"/>
  <c r="AH24" i="2"/>
  <c r="AG24" i="2"/>
  <c r="AH23" i="2"/>
  <c r="AG23" i="2"/>
  <c r="AH22" i="2"/>
  <c r="AG22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0"/>
  <c r="J21" i="10" s="1"/>
  <c r="H21" i="10"/>
  <c r="G21" i="10"/>
  <c r="I20" i="10"/>
  <c r="J20" i="10" s="1"/>
  <c r="H20" i="10"/>
  <c r="I19" i="10"/>
  <c r="N18" i="10"/>
  <c r="I18" i="10"/>
  <c r="I17" i="10"/>
  <c r="P14" i="10"/>
  <c r="Q14" i="10" s="1"/>
  <c r="O14" i="10"/>
  <c r="N14" i="10"/>
  <c r="O12" i="10"/>
  <c r="Q12" i="10" s="1"/>
  <c r="J11" i="10"/>
  <c r="G10" i="10"/>
  <c r="G15" i="10" s="1"/>
  <c r="S67" i="2" l="1"/>
  <c r="V67" i="2" s="1"/>
  <c r="N94" i="2"/>
  <c r="K121" i="2" s="1"/>
  <c r="M76" i="2"/>
  <c r="J103" i="2" s="1"/>
  <c r="R49" i="2"/>
  <c r="T49" i="2" s="1"/>
  <c r="Q49" i="2"/>
  <c r="AH21" i="2"/>
  <c r="R46" i="2"/>
  <c r="T46" i="2" s="1"/>
  <c r="T45" i="2" s="1"/>
  <c r="M73" i="2"/>
  <c r="J100" i="2" s="1"/>
  <c r="AB58" i="2" s="1"/>
  <c r="J50" i="2"/>
  <c r="N84" i="2"/>
  <c r="K111" i="2" s="1"/>
  <c r="S57" i="2"/>
  <c r="V57" i="2" s="1"/>
  <c r="P72" i="6"/>
  <c r="P101" i="6"/>
  <c r="P115" i="6"/>
  <c r="J4" i="7"/>
  <c r="AD6" i="9"/>
  <c r="I33" i="9"/>
  <c r="AI15" i="9"/>
  <c r="E94" i="9"/>
  <c r="H94" i="9" s="1"/>
  <c r="J39" i="9"/>
  <c r="AI18" i="9"/>
  <c r="F56" i="2"/>
  <c r="K56" i="2" s="1"/>
  <c r="S62" i="2"/>
  <c r="V62" i="2" s="1"/>
  <c r="S46" i="2"/>
  <c r="V46" i="2" s="1"/>
  <c r="V45" i="2" s="1"/>
  <c r="AE44" i="2" s="1"/>
  <c r="N73" i="2"/>
  <c r="K100" i="2" s="1"/>
  <c r="N91" i="2"/>
  <c r="K118" i="2" s="1"/>
  <c r="S64" i="2"/>
  <c r="V64" i="2" s="1"/>
  <c r="Q67" i="2"/>
  <c r="M74" i="2"/>
  <c r="J101" i="2" s="1"/>
  <c r="N90" i="2"/>
  <c r="K117" i="2" s="1"/>
  <c r="P81" i="6"/>
  <c r="AD17" i="9"/>
  <c r="J70" i="9"/>
  <c r="R61" i="2"/>
  <c r="T61" i="2" s="1"/>
  <c r="M88" i="2"/>
  <c r="J115" i="2" s="1"/>
  <c r="M90" i="2"/>
  <c r="J117" i="2" s="1"/>
  <c r="R63" i="2"/>
  <c r="T63" i="2" s="1"/>
  <c r="R67" i="2"/>
  <c r="T67" i="2" s="1"/>
  <c r="N74" i="2"/>
  <c r="K101" i="2" s="1"/>
  <c r="M80" i="2"/>
  <c r="J107" i="2" s="1"/>
  <c r="N85" i="2"/>
  <c r="K112" i="2" s="1"/>
  <c r="N96" i="2"/>
  <c r="K123" i="2" s="1"/>
  <c r="F7" i="9"/>
  <c r="F9" i="9" s="1"/>
  <c r="AI6" i="9"/>
  <c r="AD9" i="9"/>
  <c r="B76" i="9" s="1"/>
  <c r="J7" i="7"/>
  <c r="N8" i="7"/>
  <c r="M8" i="7"/>
  <c r="AF12" i="9"/>
  <c r="J10" i="7"/>
  <c r="M35" i="7"/>
  <c r="N35" i="7"/>
  <c r="AH32" i="2"/>
  <c r="L27" i="3"/>
  <c r="AH41" i="2"/>
  <c r="Q12" i="3"/>
  <c r="P90" i="6"/>
  <c r="P102" i="6"/>
  <c r="G45" i="9"/>
  <c r="AI17" i="9"/>
  <c r="M52" i="9"/>
  <c r="AI28" i="9"/>
  <c r="F70" i="9" s="1"/>
  <c r="H9" i="9"/>
  <c r="H11" i="9" s="1"/>
  <c r="AQ6" i="9"/>
  <c r="AI9" i="9"/>
  <c r="E76" i="9" s="1"/>
  <c r="J76" i="9" s="1"/>
  <c r="F15" i="9"/>
  <c r="AH27" i="2"/>
  <c r="K22" i="3"/>
  <c r="Q15" i="3" s="1"/>
  <c r="N75" i="2"/>
  <c r="K102" i="2" s="1"/>
  <c r="P24" i="3"/>
  <c r="J59" i="3"/>
  <c r="AH35" i="2"/>
  <c r="P40" i="3"/>
  <c r="J49" i="3" s="1"/>
  <c r="N47" i="3"/>
  <c r="P85" i="6"/>
  <c r="K14" i="7"/>
  <c r="N14" i="7" s="1"/>
  <c r="N17" i="7"/>
  <c r="M17" i="7"/>
  <c r="N20" i="7"/>
  <c r="N32" i="7"/>
  <c r="M32" i="7"/>
  <c r="Q53" i="2"/>
  <c r="M95" i="2"/>
  <c r="J122" i="2" s="1"/>
  <c r="R68" i="2"/>
  <c r="T68" i="2" s="1"/>
  <c r="P94" i="6"/>
  <c r="AI25" i="9"/>
  <c r="E71" i="9" s="1"/>
  <c r="J71" i="9" s="1"/>
  <c r="R36" i="9"/>
  <c r="R38" i="9" s="1"/>
  <c r="AQ13" i="9"/>
  <c r="AI27" i="9"/>
  <c r="AQ12" i="9"/>
  <c r="O57" i="9" s="1"/>
  <c r="AF16" i="9"/>
  <c r="J16" i="7"/>
  <c r="N30" i="7"/>
  <c r="M30" i="7"/>
  <c r="G16" i="9"/>
  <c r="N6" i="9"/>
  <c r="H17" i="10"/>
  <c r="N45" i="3"/>
  <c r="E7" i="3"/>
  <c r="J45" i="3" s="1"/>
  <c r="G38" i="3"/>
  <c r="N60" i="3" s="1"/>
  <c r="N61" i="3" s="1"/>
  <c r="N63" i="3" s="1"/>
  <c r="P120" i="6"/>
  <c r="J6" i="7"/>
  <c r="AI13" i="9"/>
  <c r="E75" i="9" s="1"/>
  <c r="K75" i="9" s="1"/>
  <c r="N80" i="2"/>
  <c r="K107" i="2" s="1"/>
  <c r="S53" i="2"/>
  <c r="V53" i="2" s="1"/>
  <c r="J60" i="3"/>
  <c r="AH40" i="2"/>
  <c r="S68" i="2"/>
  <c r="V68" i="2" s="1"/>
  <c r="N78" i="2"/>
  <c r="K105" i="2" s="1"/>
  <c r="M89" i="2"/>
  <c r="J116" i="2" s="1"/>
  <c r="Q14" i="3"/>
  <c r="G27" i="3"/>
  <c r="J47" i="3" s="1"/>
  <c r="I32" i="3"/>
  <c r="H4" i="9"/>
  <c r="H6" i="9" s="1"/>
  <c r="AI7" i="9"/>
  <c r="E77" i="9" s="1"/>
  <c r="J77" i="9" s="1"/>
  <c r="AQ7" i="9"/>
  <c r="I5" i="9" s="1"/>
  <c r="J6" i="9" s="1"/>
  <c r="AG13" i="9"/>
  <c r="F28" i="9" s="1"/>
  <c r="P17" i="10" s="1"/>
  <c r="K11" i="7"/>
  <c r="J15" i="7"/>
  <c r="M39" i="9"/>
  <c r="AI21" i="9"/>
  <c r="N29" i="7"/>
  <c r="M29" i="7"/>
  <c r="P58" i="9"/>
  <c r="R45" i="9"/>
  <c r="H87" i="9"/>
  <c r="AI8" i="9"/>
  <c r="F77" i="9" s="1"/>
  <c r="K77" i="9" s="1"/>
  <c r="G17" i="10" s="1"/>
  <c r="B72" i="9"/>
  <c r="E95" i="9"/>
  <c r="P49" i="9"/>
  <c r="AF11" i="9"/>
  <c r="AI11" i="9" s="1"/>
  <c r="AI20" i="9"/>
  <c r="F27" i="9"/>
  <c r="P75" i="6"/>
  <c r="P125" i="6"/>
  <c r="AD21" i="9"/>
  <c r="N23" i="7"/>
  <c r="AI22" i="9"/>
  <c r="G20" i="9"/>
  <c r="E93" i="9"/>
  <c r="H93" i="9" s="1"/>
  <c r="AD20" i="9"/>
  <c r="J26" i="7"/>
  <c r="M27" i="7"/>
  <c r="AI10" i="9"/>
  <c r="E73" i="9" s="1"/>
  <c r="G21" i="9"/>
  <c r="J9" i="7"/>
  <c r="AD15" i="9"/>
  <c r="Z15" i="9" s="1"/>
  <c r="N24" i="7"/>
  <c r="N33" i="7"/>
  <c r="AQ10" i="9"/>
  <c r="J25" i="7"/>
  <c r="O78" i="9"/>
  <c r="AD14" i="9"/>
  <c r="J19" i="7"/>
  <c r="N34" i="7"/>
  <c r="AQ19" i="9"/>
  <c r="AD23" i="9"/>
  <c r="J59" i="2"/>
  <c r="K12" i="7"/>
  <c r="N12" i="7" s="1"/>
  <c r="M14" i="7"/>
  <c r="J18" i="7"/>
  <c r="M20" i="7"/>
  <c r="AD27" i="9"/>
  <c r="M31" i="7"/>
  <c r="AQ40" i="9"/>
  <c r="AE19" i="9" s="1"/>
  <c r="AI19" i="9" s="1"/>
  <c r="F72" i="9" s="1"/>
  <c r="K72" i="9" s="1"/>
  <c r="G18" i="10" s="1"/>
  <c r="H18" i="10" s="1"/>
  <c r="J18" i="10" s="1"/>
  <c r="AP40" i="9"/>
  <c r="P95" i="6"/>
  <c r="K5" i="7"/>
  <c r="N5" i="7" s="1"/>
  <c r="J11" i="7"/>
  <c r="J13" i="7"/>
  <c r="AI23" i="9"/>
  <c r="X4" i="9"/>
  <c r="AP25" i="9"/>
  <c r="AO40" i="9"/>
  <c r="L22" i="9" s="1"/>
  <c r="G91" i="9"/>
  <c r="H86" i="9"/>
  <c r="AD19" i="9"/>
  <c r="AN58" i="9"/>
  <c r="AO58" i="9" s="1"/>
  <c r="AQ17" i="9" l="1"/>
  <c r="D36" i="9"/>
  <c r="E37" i="9" s="1"/>
  <c r="M6" i="7"/>
  <c r="N6" i="7"/>
  <c r="M16" i="7"/>
  <c r="N16" i="7"/>
  <c r="E96" i="9"/>
  <c r="H96" i="9" s="1"/>
  <c r="H95" i="9"/>
  <c r="H97" i="9" s="1"/>
  <c r="M19" i="7"/>
  <c r="N19" i="7"/>
  <c r="I10" i="10"/>
  <c r="Q17" i="10"/>
  <c r="P18" i="10"/>
  <c r="Q18" i="10" s="1"/>
  <c r="J17" i="10"/>
  <c r="E81" i="9"/>
  <c r="Q9" i="3"/>
  <c r="N12" i="10"/>
  <c r="M71" i="9"/>
  <c r="O71" i="9" s="1"/>
  <c r="Q71" i="9" s="1"/>
  <c r="G47" i="9"/>
  <c r="E47" i="9"/>
  <c r="E49" i="9" s="1"/>
  <c r="S56" i="2"/>
  <c r="V56" i="2" s="1"/>
  <c r="N83" i="2"/>
  <c r="K110" i="2" s="1"/>
  <c r="P43" i="9"/>
  <c r="M46" i="9" s="1"/>
  <c r="N13" i="10"/>
  <c r="O13" i="10"/>
  <c r="Q13" i="10" s="1"/>
  <c r="N10" i="7"/>
  <c r="M10" i="7"/>
  <c r="K76" i="9"/>
  <c r="M76" i="9" s="1"/>
  <c r="O76" i="9" s="1"/>
  <c r="K73" i="9"/>
  <c r="M26" i="7"/>
  <c r="N26" i="7"/>
  <c r="F29" i="9"/>
  <c r="O17" i="10"/>
  <c r="O18" i="10" s="1"/>
  <c r="I25" i="9"/>
  <c r="AI12" i="9"/>
  <c r="K40" i="9"/>
  <c r="N18" i="7"/>
  <c r="M18" i="7"/>
  <c r="M13" i="7"/>
  <c r="N13" i="7"/>
  <c r="N25" i="7"/>
  <c r="M25" i="7"/>
  <c r="AN24" i="9"/>
  <c r="E74" i="9"/>
  <c r="K74" i="9" s="1"/>
  <c r="J85" i="9" s="1"/>
  <c r="M77" i="2"/>
  <c r="J104" i="2" s="1"/>
  <c r="J52" i="2"/>
  <c r="R50" i="2"/>
  <c r="T50" i="2" s="1"/>
  <c r="M86" i="2"/>
  <c r="J113" i="2" s="1"/>
  <c r="R59" i="2"/>
  <c r="T59" i="2" s="1"/>
  <c r="G22" i="9"/>
  <c r="I27" i="9" s="1"/>
  <c r="F94" i="9"/>
  <c r="P51" i="9"/>
  <c r="P41" i="9"/>
  <c r="M45" i="9" s="1"/>
  <c r="O11" i="10"/>
  <c r="Q11" i="10" s="1"/>
  <c r="AI16" i="9"/>
  <c r="E72" i="9" s="1"/>
  <c r="J72" i="9" s="1"/>
  <c r="F40" i="9"/>
  <c r="M77" i="9"/>
  <c r="O77" i="9" s="1"/>
  <c r="Q77" i="9" s="1"/>
  <c r="N7" i="7"/>
  <c r="M7" i="7"/>
  <c r="I35" i="9"/>
  <c r="O19" i="9"/>
  <c r="F93" i="9" s="1"/>
  <c r="N11" i="7"/>
  <c r="M11" i="7"/>
  <c r="M15" i="7"/>
  <c r="N15" i="7"/>
  <c r="J50" i="3"/>
  <c r="K70" i="9"/>
  <c r="F81" i="9"/>
  <c r="Z6" i="9"/>
  <c r="K50" i="2"/>
  <c r="M41" i="9"/>
  <c r="Q37" i="9"/>
  <c r="H91" i="9"/>
  <c r="N9" i="7"/>
  <c r="M9" i="7"/>
  <c r="N50" i="3"/>
  <c r="M54" i="9"/>
  <c r="H19" i="10"/>
  <c r="J19" i="10" s="1"/>
  <c r="J81" i="9"/>
  <c r="N11" i="10"/>
  <c r="M4" i="7"/>
  <c r="N4" i="7"/>
  <c r="I46" i="9" l="1"/>
  <c r="L19" i="9"/>
  <c r="F24" i="9"/>
  <c r="H10" i="10"/>
  <c r="H15" i="10" s="1"/>
  <c r="P42" i="9"/>
  <c r="J41" i="9"/>
  <c r="K41" i="9" s="1"/>
  <c r="Q38" i="9"/>
  <c r="J22" i="10"/>
  <c r="H98" i="9"/>
  <c r="H99" i="9" s="1"/>
  <c r="H22" i="10"/>
  <c r="I22" i="10" s="1"/>
  <c r="N77" i="2"/>
  <c r="K104" i="2" s="1"/>
  <c r="K52" i="2"/>
  <c r="S50" i="2"/>
  <c r="V50" i="2" s="1"/>
  <c r="O21" i="9"/>
  <c r="P21" i="9"/>
  <c r="K36" i="10" s="1"/>
  <c r="M20" i="9"/>
  <c r="I26" i="9"/>
  <c r="H28" i="9"/>
  <c r="M19" i="9"/>
  <c r="K81" i="9"/>
  <c r="K82" i="9" s="1"/>
  <c r="G19" i="10"/>
  <c r="G22" i="10" s="1"/>
  <c r="M70" i="9"/>
  <c r="O70" i="9" s="1"/>
  <c r="O82" i="9" s="1"/>
  <c r="N52" i="3"/>
  <c r="J10" i="10"/>
  <c r="J15" i="10" s="1"/>
  <c r="I15" i="10"/>
  <c r="Q76" i="9"/>
  <c r="F42" i="9"/>
  <c r="H42" i="9" s="1"/>
  <c r="H40" i="9"/>
  <c r="K29" i="9" s="1"/>
  <c r="M72" i="9"/>
  <c r="O72" i="9" s="1"/>
  <c r="Q72" i="9" s="1"/>
  <c r="N10" i="10"/>
  <c r="N15" i="10" s="1"/>
  <c r="R52" i="2"/>
  <c r="T52" i="2" s="1"/>
  <c r="M79" i="2"/>
  <c r="J106" i="2" s="1"/>
  <c r="AQ18" i="9"/>
  <c r="M21" i="9" l="1"/>
  <c r="G38" i="9"/>
  <c r="N79" i="2"/>
  <c r="K106" i="2" s="1"/>
  <c r="S52" i="2"/>
  <c r="V52" i="2" s="1"/>
  <c r="Q70" i="9"/>
  <c r="Q81" i="9" s="1"/>
  <c r="O81" i="9"/>
  <c r="O10" i="10"/>
  <c r="O15" i="10" s="1"/>
  <c r="L20" i="9"/>
  <c r="L21" i="9" s="1"/>
  <c r="L23" i="9" s="1"/>
  <c r="G37" i="9"/>
  <c r="P19" i="9"/>
  <c r="H41" i="9"/>
  <c r="P10" i="10" s="1"/>
  <c r="F95" i="9" l="1"/>
  <c r="D36" i="10"/>
  <c r="Q82" i="9"/>
  <c r="Q10" i="10"/>
  <c r="Q15" i="10" s="1"/>
  <c r="P15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<sst xmlns="http://schemas.openxmlformats.org/spreadsheetml/2006/main" count="629" uniqueCount="299">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</sst>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9" fillId="0" borderId="68" xfId="1" applyNumberFormat="1" applyFont="1" applyAlignment="1">
      <alignment horizontal="center"/>
    </xf>
    <xf numFmtId="3" fontId="51" fillId="0" borderId="68" xfId="1" applyNumberFormat="1" applyFont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56" fillId="16" borderId="1" xfId="0" applyFont="1" applyFill="1" applyBorder="1" applyAlignment="1">
      <alignment horizontal="center" vertical="center" wrapText="1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1014" y="1553682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798" y="774302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6228" y="5985857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1493" y="5088695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0867" y="3382442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0081" y="6678067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3960" y="7071496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7427" y="1522288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6479" y="1447538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2165" y="1516840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210" y="5295893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7451" y="5359279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7814" y="8613678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2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4"/>
      <c r="Q1" s="354"/>
      <c r="R1" s="35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6"/>
      <c r="C2" s="357"/>
      <c r="D2" s="546"/>
      <c r="E2" s="542"/>
      <c r="F2" s="549" t="s">
        <v>97</v>
      </c>
      <c r="G2" s="550"/>
      <c r="H2" s="488"/>
      <c r="I2" s="488"/>
      <c r="J2" s="488"/>
      <c r="K2" s="488"/>
      <c r="L2" s="488"/>
      <c r="M2" s="488"/>
      <c r="N2" s="488"/>
      <c r="O2" s="488"/>
      <c r="P2" s="488"/>
      <c r="Q2" s="489"/>
      <c r="R2" s="35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6"/>
      <c r="C3" s="357"/>
      <c r="D3" s="547"/>
      <c r="E3" s="548"/>
      <c r="F3" s="551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52"/>
      <c r="R3" s="35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6"/>
      <c r="C4" s="357"/>
      <c r="D4" s="547"/>
      <c r="E4" s="548"/>
      <c r="F4" s="553" t="s">
        <v>98</v>
      </c>
      <c r="G4" s="554"/>
      <c r="H4" s="555"/>
      <c r="I4" s="555"/>
      <c r="J4" s="555"/>
      <c r="K4" s="555"/>
      <c r="L4" s="556"/>
      <c r="M4" s="553" t="s">
        <v>99</v>
      </c>
      <c r="N4" s="554"/>
      <c r="O4" s="556"/>
      <c r="P4" s="558">
        <f ca="1">+Diagrama!C4</f>
        <v>45246</v>
      </c>
      <c r="Q4" s="559"/>
      <c r="R4" s="35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6"/>
      <c r="C5" s="357"/>
      <c r="D5" s="490"/>
      <c r="E5" s="545"/>
      <c r="F5" s="557"/>
      <c r="G5" s="491"/>
      <c r="H5" s="491"/>
      <c r="I5" s="491"/>
      <c r="J5" s="491"/>
      <c r="K5" s="491"/>
      <c r="L5" s="545"/>
      <c r="M5" s="557"/>
      <c r="N5" s="491"/>
      <c r="O5" s="545"/>
      <c r="P5" s="557"/>
      <c r="Q5" s="492"/>
      <c r="R5" s="35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6"/>
      <c r="C6" s="357"/>
      <c r="D6" s="360"/>
      <c r="E6" s="360"/>
      <c r="F6" s="360"/>
      <c r="G6" s="360"/>
      <c r="H6" s="360"/>
      <c r="I6" s="360"/>
      <c r="J6" s="360"/>
      <c r="K6" s="360"/>
      <c r="L6" s="360"/>
      <c r="M6" s="361"/>
      <c r="N6" s="361"/>
      <c r="O6" s="357"/>
      <c r="P6" s="133"/>
      <c r="Q6" s="133"/>
      <c r="R6" s="35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2"/>
      <c r="C7" s="363"/>
      <c r="D7" s="541"/>
      <c r="E7" s="488"/>
      <c r="F7" s="542"/>
      <c r="G7" s="364" t="s">
        <v>100</v>
      </c>
      <c r="H7" s="364" t="s">
        <v>100</v>
      </c>
      <c r="I7" s="364" t="s">
        <v>101</v>
      </c>
      <c r="J7" s="365" t="s">
        <v>102</v>
      </c>
      <c r="K7" s="544"/>
      <c r="L7" s="488"/>
      <c r="M7" s="542"/>
      <c r="N7" s="364" t="s">
        <v>100</v>
      </c>
      <c r="O7" s="364" t="s">
        <v>100</v>
      </c>
      <c r="P7" s="364" t="s">
        <v>101</v>
      </c>
      <c r="Q7" s="365" t="s">
        <v>102</v>
      </c>
      <c r="R7" s="35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2"/>
      <c r="C8" s="363"/>
      <c r="D8" s="543"/>
      <c r="E8" s="515"/>
      <c r="F8" s="516"/>
      <c r="G8" s="367" t="s">
        <v>270</v>
      </c>
      <c r="H8" s="367" t="s">
        <v>40</v>
      </c>
      <c r="I8" s="367" t="s">
        <v>103</v>
      </c>
      <c r="J8" s="368" t="s">
        <v>41</v>
      </c>
      <c r="K8" s="491"/>
      <c r="L8" s="491"/>
      <c r="M8" s="545"/>
      <c r="N8" s="367" t="s">
        <v>270</v>
      </c>
      <c r="O8" s="367" t="s">
        <v>40</v>
      </c>
      <c r="P8" s="367" t="s">
        <v>103</v>
      </c>
      <c r="Q8" s="368" t="s">
        <v>41</v>
      </c>
      <c r="R8" s="35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2"/>
      <c r="C9" s="363"/>
      <c r="D9" s="529" t="s">
        <v>68</v>
      </c>
      <c r="E9" s="530"/>
      <c r="F9" s="530"/>
      <c r="G9" s="530"/>
      <c r="H9" s="530"/>
      <c r="I9" s="530"/>
      <c r="J9" s="531"/>
      <c r="K9" s="533" t="s">
        <v>104</v>
      </c>
      <c r="L9" s="534"/>
      <c r="M9" s="534"/>
      <c r="N9" s="534"/>
      <c r="O9" s="534"/>
      <c r="P9" s="534"/>
      <c r="Q9" s="535"/>
      <c r="R9" s="35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2"/>
      <c r="C10" s="363" t="s">
        <v>105</v>
      </c>
      <c r="D10" s="517" t="s">
        <v>106</v>
      </c>
      <c r="E10" s="518"/>
      <c r="F10" s="519"/>
      <c r="G10" s="468">
        <f>+Diagrama!AD12</f>
        <v>233629.58484482064</v>
      </c>
      <c r="H10" s="468">
        <f>+Diagrama!I25</f>
        <v>231622.14600000001</v>
      </c>
      <c r="I10" s="469">
        <f>+Diagrama!G21</f>
        <v>0.603576</v>
      </c>
      <c r="J10" s="465">
        <f>I10*H10</f>
        <v>139801.56839409602</v>
      </c>
      <c r="K10" s="536" t="s">
        <v>107</v>
      </c>
      <c r="L10" s="530"/>
      <c r="M10" s="537"/>
      <c r="N10" s="466">
        <f>+Diagrama!J72</f>
        <v>208048.07606227766</v>
      </c>
      <c r="O10" s="466">
        <f>+Diagrama!H40</f>
        <v>192143</v>
      </c>
      <c r="P10" s="467">
        <f>+Diagrama!H41</f>
        <v>0.69336500000000001</v>
      </c>
      <c r="Q10" s="465">
        <f t="shared" ref="Q10:Q14" si="0">P10*O10</f>
        <v>133225.231195</v>
      </c>
      <c r="R10" s="35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2"/>
      <c r="C11" s="363"/>
      <c r="D11" s="517" t="s">
        <v>108</v>
      </c>
      <c r="E11" s="518"/>
      <c r="F11" s="519"/>
      <c r="G11" s="463">
        <v>0</v>
      </c>
      <c r="H11" s="463">
        <v>0</v>
      </c>
      <c r="I11" s="464">
        <v>0</v>
      </c>
      <c r="J11" s="465">
        <f t="shared" ref="J11" si="1">I11*H11</f>
        <v>0</v>
      </c>
      <c r="K11" s="517" t="s">
        <v>109</v>
      </c>
      <c r="L11" s="518"/>
      <c r="M11" s="519"/>
      <c r="N11" s="468">
        <f>+Diagrama!J70</f>
        <v>0</v>
      </c>
      <c r="O11" s="468">
        <f>+Diagrama!P49</f>
        <v>0</v>
      </c>
      <c r="P11" s="469">
        <v>0</v>
      </c>
      <c r="Q11" s="465">
        <f>P11*O11</f>
        <v>0</v>
      </c>
      <c r="R11" s="35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2"/>
      <c r="C12" s="363"/>
      <c r="D12" s="517" t="s">
        <v>110</v>
      </c>
      <c r="E12" s="518"/>
      <c r="F12" s="519"/>
      <c r="G12" s="463">
        <v>0</v>
      </c>
      <c r="H12" s="463">
        <v>0</v>
      </c>
      <c r="I12" s="464">
        <v>0</v>
      </c>
      <c r="J12" s="465">
        <v>0</v>
      </c>
      <c r="K12" s="517" t="s">
        <v>111</v>
      </c>
      <c r="L12" s="518"/>
      <c r="M12" s="519"/>
      <c r="N12" s="468">
        <f>+Diagrama!J71</f>
        <v>0</v>
      </c>
      <c r="O12" s="468">
        <f>+Diagrama!R47</f>
        <v>0</v>
      </c>
      <c r="P12" s="469">
        <v>0</v>
      </c>
      <c r="Q12" s="465">
        <f t="shared" si="0"/>
        <v>0</v>
      </c>
      <c r="R12" s="35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2"/>
      <c r="C13" s="363"/>
      <c r="D13" s="538" t="s">
        <v>112</v>
      </c>
      <c r="E13" s="539"/>
      <c r="F13" s="540"/>
      <c r="G13" s="463">
        <v>0</v>
      </c>
      <c r="H13" s="463">
        <v>0</v>
      </c>
      <c r="I13" s="464">
        <v>0</v>
      </c>
      <c r="J13" s="465">
        <v>0</v>
      </c>
      <c r="K13" s="517" t="s">
        <v>113</v>
      </c>
      <c r="L13" s="518"/>
      <c r="M13" s="519"/>
      <c r="N13" s="468">
        <f>+Diagrama!J77</f>
        <v>164651.1418469153</v>
      </c>
      <c r="O13" s="468">
        <f>+Diagrama!J77*(1-Diagrama!AE7)</f>
        <v>163082</v>
      </c>
      <c r="P13" s="469">
        <f>+Diagrama!H5</f>
        <v>0.63438773739999998</v>
      </c>
      <c r="Q13" s="465">
        <f>P13*O13</f>
        <v>103457.2209906668</v>
      </c>
      <c r="R13" s="358"/>
      <c r="S13" s="133"/>
      <c r="T13" s="37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2"/>
      <c r="C14" s="363" t="s">
        <v>114</v>
      </c>
      <c r="D14" s="538"/>
      <c r="E14" s="539"/>
      <c r="F14" s="540"/>
      <c r="G14" s="463"/>
      <c r="H14" s="463"/>
      <c r="I14" s="464"/>
      <c r="J14" s="465"/>
      <c r="K14" s="470" t="s">
        <v>275</v>
      </c>
      <c r="L14" s="471"/>
      <c r="M14" s="472"/>
      <c r="N14" s="473">
        <f>+Diagrama!J78</f>
        <v>1837.2749805450439</v>
      </c>
      <c r="O14" s="473">
        <f>+Diagrama!J78*(1-Diagrama!AE33)</f>
        <v>1837.2749805450439</v>
      </c>
      <c r="P14" s="469">
        <f>+Diagrama!AG33</f>
        <v>0</v>
      </c>
      <c r="Q14" s="465">
        <f t="shared" si="0"/>
        <v>0</v>
      </c>
      <c r="R14" s="358"/>
      <c r="S14" s="374"/>
      <c r="T14" s="37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2"/>
      <c r="C15" s="363"/>
      <c r="D15" s="532" t="s">
        <v>115</v>
      </c>
      <c r="E15" s="525"/>
      <c r="F15" s="528"/>
      <c r="G15" s="474">
        <f>SUM(G10:G14)</f>
        <v>233629.58484482064</v>
      </c>
      <c r="H15" s="474">
        <f>SUM(H10:H14)</f>
        <v>231622.14600000001</v>
      </c>
      <c r="I15" s="475">
        <f>I10</f>
        <v>0.603576</v>
      </c>
      <c r="J15" s="474">
        <f>J10</f>
        <v>139801.56839409602</v>
      </c>
      <c r="K15" s="527" t="s">
        <v>115</v>
      </c>
      <c r="L15" s="525"/>
      <c r="M15" s="528"/>
      <c r="N15" s="474">
        <f>SUM(N10:N14)</f>
        <v>374536.492889738</v>
      </c>
      <c r="O15" s="474">
        <f>SUM(O10:O14)</f>
        <v>357062.27498054504</v>
      </c>
      <c r="P15" s="475">
        <f>+Q15/O15</f>
        <v>0.66286042735419959</v>
      </c>
      <c r="Q15" s="474">
        <f>SUM(Q10:Q14)</f>
        <v>236682.4521856668</v>
      </c>
      <c r="R15" s="35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2"/>
      <c r="C16" s="363"/>
      <c r="D16" s="529" t="s">
        <v>116</v>
      </c>
      <c r="E16" s="530"/>
      <c r="F16" s="530"/>
      <c r="G16" s="530"/>
      <c r="H16" s="530"/>
      <c r="I16" s="530"/>
      <c r="J16" s="531"/>
      <c r="K16" s="524" t="s">
        <v>117</v>
      </c>
      <c r="L16" s="525"/>
      <c r="M16" s="525"/>
      <c r="N16" s="525"/>
      <c r="O16" s="525"/>
      <c r="P16" s="525"/>
      <c r="Q16" s="526"/>
      <c r="R16" s="358"/>
      <c r="S16" s="37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2"/>
      <c r="C17" s="363"/>
      <c r="D17" s="517" t="s">
        <v>118</v>
      </c>
      <c r="E17" s="518"/>
      <c r="F17" s="519"/>
      <c r="G17" s="463">
        <f>+Diagrama!K77</f>
        <v>204999.49418310571</v>
      </c>
      <c r="H17" s="463">
        <f>+Diagrama!N4</f>
        <v>202642</v>
      </c>
      <c r="I17" s="464">
        <f>+Diagrama!N5</f>
        <v>0.63360749102000002</v>
      </c>
      <c r="J17" s="465">
        <f t="shared" ref="J17:J21" si="2">I17*H17</f>
        <v>128395.48919527484</v>
      </c>
      <c r="K17" s="476" t="s">
        <v>276</v>
      </c>
      <c r="L17" s="476"/>
      <c r="M17" s="477"/>
      <c r="N17" s="468" t="s">
        <v>277</v>
      </c>
      <c r="O17" s="468">
        <f>+Diagrama!F27</f>
        <v>22756</v>
      </c>
      <c r="P17" s="469">
        <f>+Diagrama!F28</f>
        <v>0.11310000000000001</v>
      </c>
      <c r="Q17" s="465">
        <f t="shared" ref="Q17:Q18" si="3">P17*O17</f>
        <v>2573.7036000000003</v>
      </c>
      <c r="R17" s="358"/>
      <c r="S17" s="37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2"/>
      <c r="C18" s="363"/>
      <c r="D18" s="517" t="s">
        <v>107</v>
      </c>
      <c r="E18" s="518"/>
      <c r="F18" s="519"/>
      <c r="G18" s="463">
        <f>+Diagrama!K72</f>
        <v>112389.43290575763</v>
      </c>
      <c r="H18" s="463">
        <f>+G18*(1-Diagrama!AE19)</f>
        <v>103878</v>
      </c>
      <c r="I18" s="464">
        <f>+Diagrama!C42</f>
        <v>0.68680000000000008</v>
      </c>
      <c r="J18" s="465">
        <f t="shared" si="2"/>
        <v>71343.410400000008</v>
      </c>
      <c r="K18" s="527" t="s">
        <v>115</v>
      </c>
      <c r="L18" s="525"/>
      <c r="M18" s="528"/>
      <c r="N18" s="478" t="str">
        <f>N17</f>
        <v>-</v>
      </c>
      <c r="O18" s="478">
        <f t="shared" ref="O18:P18" si="4">O17</f>
        <v>22756</v>
      </c>
      <c r="P18" s="479">
        <f t="shared" si="4"/>
        <v>0.11310000000000001</v>
      </c>
      <c r="Q18" s="480">
        <f t="shared" si="3"/>
        <v>2573.7036000000003</v>
      </c>
      <c r="R18" s="358"/>
      <c r="S18" s="37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2"/>
      <c r="C19" s="363"/>
      <c r="D19" s="517" t="s">
        <v>109</v>
      </c>
      <c r="E19" s="518"/>
      <c r="F19" s="519"/>
      <c r="G19" s="463">
        <f>+Diagrama!K70</f>
        <v>0</v>
      </c>
      <c r="H19" s="463">
        <f>+Diagrama!M52</f>
        <v>0</v>
      </c>
      <c r="I19" s="464">
        <f>+Diagrama!M53</f>
        <v>0</v>
      </c>
      <c r="J19" s="465">
        <f t="shared" si="2"/>
        <v>0</v>
      </c>
      <c r="K19" s="520"/>
      <c r="L19" s="521"/>
      <c r="M19" s="521"/>
      <c r="O19" s="379"/>
      <c r="P19" s="380"/>
      <c r="Q19" s="381"/>
      <c r="R19" s="35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2"/>
      <c r="C20" s="363"/>
      <c r="D20" s="517" t="s">
        <v>94</v>
      </c>
      <c r="E20" s="518"/>
      <c r="F20" s="519"/>
      <c r="G20" s="463">
        <v>0</v>
      </c>
      <c r="H20" s="463">
        <f>Diagrama!K78*(1-'Datos Extra'!D28)</f>
        <v>0</v>
      </c>
      <c r="I20" s="464">
        <f>+Diagrama!T34</f>
        <v>0</v>
      </c>
      <c r="J20" s="465">
        <f t="shared" si="2"/>
        <v>0</v>
      </c>
      <c r="K20" s="522"/>
      <c r="L20" s="521"/>
      <c r="M20" s="521"/>
      <c r="O20" s="383"/>
      <c r="P20" s="384"/>
      <c r="Q20" s="385"/>
      <c r="R20" s="35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2"/>
      <c r="C21" s="363"/>
      <c r="D21" s="517" t="s">
        <v>111</v>
      </c>
      <c r="E21" s="518"/>
      <c r="F21" s="519"/>
      <c r="G21" s="463">
        <f>+Diagrama!K71</f>
        <v>0</v>
      </c>
      <c r="H21" s="463">
        <f>IF(G21=0,0,G21*(1-Diagrama!AE26))</f>
        <v>0</v>
      </c>
      <c r="I21" s="464">
        <f>IF(G21=0,0,Diagrama!AG26)</f>
        <v>0</v>
      </c>
      <c r="J21" s="465">
        <f t="shared" si="2"/>
        <v>0</v>
      </c>
      <c r="K21" s="522"/>
      <c r="L21" s="521"/>
      <c r="M21" s="521"/>
      <c r="O21" s="383"/>
      <c r="P21" s="384"/>
      <c r="Q21" s="385"/>
      <c r="R21" s="35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2"/>
      <c r="C22" s="363"/>
      <c r="D22" s="532" t="s">
        <v>115</v>
      </c>
      <c r="E22" s="525"/>
      <c r="F22" s="528"/>
      <c r="G22" s="474">
        <f>SUM(G17:G21)</f>
        <v>317388.92708886333</v>
      </c>
      <c r="H22" s="474">
        <f>SUM(H17:H21)</f>
        <v>306520</v>
      </c>
      <c r="I22" s="475">
        <f>SUMPRODUCT(H17:H21,I17:I21)/H22</f>
        <v>0.6516341497953636</v>
      </c>
      <c r="J22" s="474">
        <f>SUM(J17:J21)</f>
        <v>199738.89959527485</v>
      </c>
      <c r="K22" s="382"/>
      <c r="L22" s="382"/>
      <c r="M22" s="382"/>
      <c r="N22" s="382"/>
      <c r="O22" s="383"/>
      <c r="P22" s="384"/>
      <c r="Q22" s="385"/>
      <c r="R22" s="35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2"/>
      <c r="C23" s="363"/>
      <c r="D23" s="523" t="s">
        <v>119</v>
      </c>
      <c r="E23" s="507"/>
      <c r="F23" s="508"/>
      <c r="G23" s="373"/>
      <c r="H23" s="387" t="s">
        <v>40</v>
      </c>
      <c r="I23" s="387" t="s">
        <v>103</v>
      </c>
      <c r="J23" s="388" t="s">
        <v>41</v>
      </c>
      <c r="K23" s="386" t="s">
        <v>120</v>
      </c>
      <c r="L23" s="389" t="s">
        <v>121</v>
      </c>
      <c r="M23" s="390"/>
      <c r="N23" s="390"/>
      <c r="O23" s="391"/>
      <c r="P23" s="390"/>
      <c r="Q23" s="390"/>
      <c r="R23" s="39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2"/>
      <c r="C24" s="363"/>
      <c r="D24" s="514" t="s">
        <v>122</v>
      </c>
      <c r="E24" s="515"/>
      <c r="F24" s="516"/>
      <c r="G24" s="366"/>
      <c r="H24" s="393"/>
      <c r="I24" s="394"/>
      <c r="J24" s="395"/>
      <c r="K24" s="396"/>
      <c r="L24" s="397"/>
      <c r="M24" s="398"/>
      <c r="N24" s="398"/>
      <c r="O24" s="399">
        <v>0.76</v>
      </c>
      <c r="P24" s="380"/>
      <c r="Q24" s="381"/>
      <c r="R24" s="358"/>
      <c r="S24" s="133"/>
      <c r="T24" s="133"/>
      <c r="U24" s="40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2"/>
      <c r="C25" s="363"/>
      <c r="D25" s="499" t="s">
        <v>123</v>
      </c>
      <c r="E25" s="500"/>
      <c r="F25" s="501"/>
      <c r="G25" s="359"/>
      <c r="H25" s="369"/>
      <c r="I25" s="370"/>
      <c r="J25" s="402"/>
      <c r="K25" s="396"/>
      <c r="L25" s="403"/>
      <c r="M25" s="398"/>
      <c r="N25" s="398"/>
      <c r="O25" s="399">
        <v>8.68</v>
      </c>
      <c r="P25" s="380"/>
      <c r="Q25" s="381"/>
      <c r="R25" s="358"/>
      <c r="S25" s="133"/>
      <c r="T25" s="133"/>
      <c r="U25" s="40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2"/>
      <c r="C26" s="363"/>
      <c r="D26" s="499" t="s">
        <v>124</v>
      </c>
      <c r="E26" s="500"/>
      <c r="F26" s="501"/>
      <c r="G26" s="359"/>
      <c r="H26" s="369"/>
      <c r="I26" s="370"/>
      <c r="J26" s="402"/>
      <c r="K26" s="396"/>
      <c r="L26" s="403"/>
      <c r="M26" s="398"/>
      <c r="N26" s="398"/>
      <c r="O26" s="399">
        <v>0.76</v>
      </c>
      <c r="P26" s="380"/>
      <c r="Q26" s="381"/>
      <c r="R26" s="358"/>
      <c r="S26" s="133"/>
      <c r="T26" s="133"/>
      <c r="U26" s="40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2"/>
      <c r="C27" s="363"/>
      <c r="D27" s="499" t="s">
        <v>125</v>
      </c>
      <c r="E27" s="500"/>
      <c r="F27" s="501"/>
      <c r="G27" s="359"/>
      <c r="H27" s="369"/>
      <c r="I27" s="370"/>
      <c r="J27" s="402"/>
      <c r="K27" s="396"/>
      <c r="L27" s="403"/>
      <c r="M27" s="398"/>
      <c r="N27" s="398"/>
      <c r="O27" s="399">
        <v>8.39</v>
      </c>
      <c r="P27" s="380"/>
      <c r="Q27" s="381"/>
      <c r="R27" s="358"/>
      <c r="S27" s="133"/>
      <c r="T27" s="133"/>
      <c r="U27" s="40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2"/>
      <c r="C28" s="363"/>
      <c r="D28" s="401" t="s">
        <v>126</v>
      </c>
      <c r="E28" s="404"/>
      <c r="F28" s="405"/>
      <c r="G28" s="406"/>
      <c r="H28" s="369"/>
      <c r="I28" s="370"/>
      <c r="J28" s="407"/>
      <c r="K28" s="408"/>
      <c r="L28" s="409"/>
      <c r="M28" s="398"/>
      <c r="N28" s="398"/>
      <c r="O28" s="399"/>
      <c r="P28" s="380"/>
      <c r="Q28" s="381"/>
      <c r="R28" s="358"/>
      <c r="S28" s="133"/>
      <c r="T28" s="133"/>
      <c r="U28" s="40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2"/>
      <c r="C29" s="363"/>
      <c r="D29" s="502" t="s">
        <v>127</v>
      </c>
      <c r="E29" s="500"/>
      <c r="F29" s="501"/>
      <c r="G29" s="359"/>
      <c r="H29" s="369"/>
      <c r="I29" s="370"/>
      <c r="J29" s="402"/>
      <c r="K29" s="396"/>
      <c r="L29" s="403"/>
      <c r="M29" s="398"/>
      <c r="N29" s="398"/>
      <c r="O29" s="399">
        <v>0.05</v>
      </c>
      <c r="P29" s="380"/>
      <c r="Q29" s="381"/>
      <c r="R29" s="358"/>
      <c r="S29" s="133"/>
      <c r="T29" s="133"/>
      <c r="U29" s="40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2"/>
      <c r="C30" s="363"/>
      <c r="D30" s="503" t="s">
        <v>128</v>
      </c>
      <c r="E30" s="504"/>
      <c r="F30" s="505"/>
      <c r="G30" s="371"/>
      <c r="H30" s="410"/>
      <c r="I30" s="411"/>
      <c r="J30" s="412"/>
      <c r="K30" s="396"/>
      <c r="L30" s="409"/>
      <c r="M30" s="398"/>
      <c r="N30" s="398"/>
      <c r="O30" s="399">
        <v>0.05</v>
      </c>
      <c r="P30" s="380"/>
      <c r="Q30" s="381"/>
      <c r="R30" s="358"/>
      <c r="S30" s="133"/>
      <c r="T30" s="133"/>
      <c r="U30" s="40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2"/>
      <c r="C31" s="363"/>
      <c r="D31" s="506" t="s">
        <v>115</v>
      </c>
      <c r="E31" s="507"/>
      <c r="F31" s="508"/>
      <c r="G31" s="373"/>
      <c r="H31" s="376">
        <v>0</v>
      </c>
      <c r="I31" s="377"/>
      <c r="J31" s="413">
        <v>0</v>
      </c>
      <c r="K31" s="414">
        <v>0</v>
      </c>
      <c r="L31" s="378">
        <v>0</v>
      </c>
      <c r="M31" s="390"/>
      <c r="N31" s="390"/>
      <c r="O31" s="385"/>
      <c r="P31" s="384"/>
      <c r="Q31" s="385"/>
      <c r="R31" s="358"/>
      <c r="S31" s="133"/>
      <c r="T31" s="133"/>
      <c r="U31" s="40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2"/>
      <c r="C32" s="133"/>
      <c r="D32" s="415"/>
      <c r="E32" s="133"/>
      <c r="F32" s="133"/>
      <c r="G32" s="133"/>
      <c r="H32" s="133"/>
      <c r="I32" s="416"/>
      <c r="J32" s="416"/>
      <c r="K32" s="416"/>
      <c r="L32" s="417"/>
      <c r="M32" s="416"/>
      <c r="N32" s="416"/>
      <c r="O32" s="133"/>
      <c r="P32" s="418"/>
      <c r="Q32" s="133"/>
      <c r="R32" s="35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2"/>
      <c r="C33" s="133"/>
      <c r="D33" s="509" t="s">
        <v>129</v>
      </c>
      <c r="E33" s="507"/>
      <c r="F33" s="507"/>
      <c r="G33" s="507"/>
      <c r="H33" s="507"/>
      <c r="I33" s="507"/>
      <c r="J33" s="507"/>
      <c r="K33" s="507"/>
      <c r="L33" s="507"/>
      <c r="M33" s="507"/>
      <c r="N33" s="507"/>
      <c r="O33" s="507"/>
      <c r="P33" s="507"/>
      <c r="Q33" s="510"/>
      <c r="R33" s="35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2"/>
      <c r="C35" s="133"/>
      <c r="D35" s="511" t="s">
        <v>130</v>
      </c>
      <c r="E35" s="507"/>
      <c r="F35" s="510"/>
      <c r="G35" s="419"/>
      <c r="H35" s="512"/>
      <c r="I35" s="513"/>
      <c r="J35" s="133"/>
      <c r="K35" s="511" t="s">
        <v>131</v>
      </c>
      <c r="L35" s="507"/>
      <c r="M35" s="510"/>
      <c r="N35" s="419"/>
      <c r="O35" s="512"/>
      <c r="P35" s="513"/>
      <c r="Q35" s="133"/>
      <c r="R35" s="35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2"/>
      <c r="C36" s="133"/>
      <c r="D36" s="487">
        <f>Diagrama!P19</f>
        <v>0.82955366452739798</v>
      </c>
      <c r="E36" s="488"/>
      <c r="F36" s="489"/>
      <c r="G36" s="419"/>
      <c r="H36" s="420"/>
      <c r="I36" s="421"/>
      <c r="J36" s="133"/>
      <c r="K36" s="493">
        <f>Diagrama!P21</f>
        <v>0.97124048311003663</v>
      </c>
      <c r="L36" s="494"/>
      <c r="M36" s="495"/>
      <c r="N36" s="422"/>
      <c r="O36" s="421"/>
      <c r="P36" s="421"/>
      <c r="Q36" s="133"/>
      <c r="R36" s="35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2"/>
      <c r="C37" s="133"/>
      <c r="D37" s="490"/>
      <c r="E37" s="491"/>
      <c r="F37" s="492"/>
      <c r="G37" s="419"/>
      <c r="H37" s="423"/>
      <c r="I37" s="424"/>
      <c r="J37" s="133"/>
      <c r="K37" s="496"/>
      <c r="L37" s="497"/>
      <c r="M37" s="498"/>
      <c r="N37" s="422"/>
      <c r="O37" s="425"/>
      <c r="P37" s="424"/>
      <c r="Q37" s="133"/>
      <c r="R37" s="35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2"/>
      <c r="C38" s="133"/>
      <c r="D38" s="426"/>
      <c r="E38" s="426"/>
      <c r="F38" s="426"/>
      <c r="G38" s="426"/>
      <c r="H38" s="427"/>
      <c r="I38" s="428"/>
      <c r="J38" s="133"/>
      <c r="K38" s="426"/>
      <c r="L38" s="426"/>
      <c r="M38" s="426"/>
      <c r="N38" s="426"/>
      <c r="O38" s="429"/>
      <c r="P38" s="430"/>
      <c r="Q38" s="133"/>
      <c r="R38" s="35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31"/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60" t="s">
        <v>45</v>
      </c>
      <c r="K44" s="519"/>
      <c r="M44" s="561" t="s">
        <v>46</v>
      </c>
      <c r="N44" s="530"/>
      <c r="O44" s="531"/>
      <c r="R44" s="562" t="s">
        <v>47</v>
      </c>
      <c r="S44" s="519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63" t="s">
        <v>59</v>
      </c>
      <c r="K71" s="519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4" t="s">
        <v>63</v>
      </c>
      <c r="Q7" s="519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4" t="s">
        <v>20</v>
      </c>
      <c r="Q10" s="519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5" t="s">
        <v>66</v>
      </c>
      <c r="Q13" s="519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6" t="s">
        <v>68</v>
      </c>
      <c r="F44" s="567"/>
      <c r="G44" s="518"/>
      <c r="H44" s="566" t="s">
        <v>69</v>
      </c>
      <c r="I44" s="567"/>
      <c r="J44" s="519"/>
      <c r="K44" s="568" t="s">
        <v>70</v>
      </c>
      <c r="L44" s="567"/>
      <c r="M44" s="567"/>
      <c r="N44" s="519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9" t="s">
        <v>72</v>
      </c>
      <c r="I45" s="519"/>
      <c r="J45" s="27">
        <f>+E7</f>
        <v>1770.5761999999995</v>
      </c>
      <c r="K45" s="569" t="s">
        <v>73</v>
      </c>
      <c r="L45" s="567"/>
      <c r="M45" s="519"/>
      <c r="N45" s="27">
        <f>+C8</f>
        <v>12961.629000000001</v>
      </c>
    </row>
    <row r="46" spans="2:20" ht="15.75" customHeight="1" x14ac:dyDescent="0.2">
      <c r="E46" s="563"/>
      <c r="F46" s="519"/>
      <c r="G46" s="16"/>
      <c r="H46" s="569" t="s">
        <v>74</v>
      </c>
      <c r="I46" s="519"/>
      <c r="J46" s="27">
        <f>+J19</f>
        <v>44584.890479986498</v>
      </c>
      <c r="K46" s="569" t="s">
        <v>75</v>
      </c>
      <c r="L46" s="567"/>
      <c r="M46" s="519"/>
      <c r="N46" s="27">
        <f>+C28</f>
        <v>16162.331</v>
      </c>
    </row>
    <row r="47" spans="2:20" ht="15.75" customHeight="1" x14ac:dyDescent="0.2">
      <c r="E47" s="563"/>
      <c r="F47" s="519"/>
      <c r="G47" s="16"/>
      <c r="H47" s="569" t="s">
        <v>76</v>
      </c>
      <c r="I47" s="519"/>
      <c r="J47" s="27">
        <f>+G27</f>
        <v>-359512.14169349719</v>
      </c>
      <c r="K47" s="569" t="s">
        <v>77</v>
      </c>
      <c r="L47" s="567"/>
      <c r="M47" s="519"/>
      <c r="N47" s="27">
        <f>+S36</f>
        <v>19130.865000000002</v>
      </c>
    </row>
    <row r="48" spans="2:20" ht="15.75" customHeight="1" x14ac:dyDescent="0.2">
      <c r="E48" s="563"/>
      <c r="F48" s="519"/>
      <c r="G48" s="16"/>
      <c r="H48" s="77" t="s">
        <v>78</v>
      </c>
      <c r="I48" s="77"/>
      <c r="J48" s="27">
        <f>+O20</f>
        <v>-14174.322317347061</v>
      </c>
      <c r="K48" s="569" t="s">
        <v>79</v>
      </c>
      <c r="L48" s="567"/>
      <c r="M48" s="519"/>
      <c r="N48" s="27">
        <f>+S28</f>
        <v>108284.65870939114</v>
      </c>
    </row>
    <row r="49" spans="5:14" ht="15.75" customHeight="1" x14ac:dyDescent="0.2">
      <c r="E49" s="563"/>
      <c r="F49" s="519"/>
      <c r="G49" s="16"/>
      <c r="H49" s="569" t="s">
        <v>80</v>
      </c>
      <c r="I49" s="519"/>
      <c r="J49" s="27">
        <f>+P40</f>
        <v>-311.60807004405433</v>
      </c>
      <c r="K49" s="569" t="s">
        <v>81</v>
      </c>
      <c r="L49" s="567"/>
      <c r="M49" s="519"/>
      <c r="N49" s="27">
        <f>+G36</f>
        <v>673884.94200000004</v>
      </c>
    </row>
    <row r="50" spans="5:14" ht="15.75" customHeight="1" x14ac:dyDescent="0.25">
      <c r="E50" s="572" t="s">
        <v>82</v>
      </c>
      <c r="F50" s="519"/>
      <c r="G50" s="78">
        <f>+G45</f>
        <v>502781.82030850503</v>
      </c>
      <c r="H50" s="570" t="s">
        <v>83</v>
      </c>
      <c r="I50" s="519"/>
      <c r="J50" s="79">
        <f>+SUM(J45:J49)</f>
        <v>-327642.60540090181</v>
      </c>
      <c r="K50" s="570" t="s">
        <v>84</v>
      </c>
      <c r="L50" s="567"/>
      <c r="M50" s="519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3" t="s">
        <v>68</v>
      </c>
      <c r="F55" s="567"/>
      <c r="G55" s="518"/>
      <c r="H55" s="573" t="s">
        <v>69</v>
      </c>
      <c r="I55" s="567"/>
      <c r="J55" s="519"/>
      <c r="K55" s="571" t="s">
        <v>70</v>
      </c>
      <c r="L55" s="567"/>
      <c r="M55" s="567"/>
      <c r="N55" s="519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9" t="s">
        <v>72</v>
      </c>
      <c r="I56" s="519"/>
      <c r="J56" s="27" t="e">
        <f>+'Bal Los Colorados'!O49*'Bal Los Colorados'!G49</f>
        <v>#REF!</v>
      </c>
      <c r="K56" s="569" t="s">
        <v>73</v>
      </c>
      <c r="L56" s="567"/>
      <c r="M56" s="519"/>
      <c r="N56" s="27">
        <f>+C10</f>
        <v>7704.8210577451482</v>
      </c>
    </row>
    <row r="57" spans="5:14" ht="15.75" customHeight="1" x14ac:dyDescent="0.2">
      <c r="E57" s="563"/>
      <c r="F57" s="519"/>
      <c r="G57" s="16"/>
      <c r="H57" s="569" t="s">
        <v>74</v>
      </c>
      <c r="I57" s="519"/>
      <c r="J57" s="27" t="e">
        <f>+'Bal Los Colorados'!O53*'Bal Los Colorados'!G53</f>
        <v>#REF!</v>
      </c>
      <c r="K57" s="569" t="s">
        <v>75</v>
      </c>
      <c r="L57" s="567"/>
      <c r="M57" s="519"/>
      <c r="N57" s="27">
        <f>+C30</f>
        <v>9675.4587302503223</v>
      </c>
    </row>
    <row r="58" spans="5:14" ht="15.75" customHeight="1" x14ac:dyDescent="0.2">
      <c r="E58" s="563"/>
      <c r="F58" s="519"/>
      <c r="G58" s="16"/>
      <c r="H58" s="569" t="s">
        <v>76</v>
      </c>
      <c r="I58" s="519"/>
      <c r="J58" s="27" t="e">
        <f>+'Bal Los Colorados'!O56*'Bal Los Colorados'!G56</f>
        <v>#REF!</v>
      </c>
      <c r="K58" s="569" t="s">
        <v>77</v>
      </c>
      <c r="L58" s="567"/>
      <c r="M58" s="519"/>
      <c r="N58" s="27">
        <f>+S38</f>
        <v>7620.3234035700007</v>
      </c>
    </row>
    <row r="59" spans="5:14" ht="15.75" customHeight="1" x14ac:dyDescent="0.2">
      <c r="E59" s="563"/>
      <c r="F59" s="519"/>
      <c r="G59" s="16"/>
      <c r="H59" s="77" t="s">
        <v>78</v>
      </c>
      <c r="I59" s="77"/>
      <c r="J59" s="27" t="e">
        <f>+'Bal Los Colorados'!O62*'Bal Los Colorados'!G62</f>
        <v>#REF!</v>
      </c>
      <c r="K59" s="569" t="s">
        <v>79</v>
      </c>
      <c r="L59" s="567"/>
      <c r="M59" s="519"/>
      <c r="N59" s="27">
        <f>+S30</f>
        <v>14049.347154701374</v>
      </c>
    </row>
    <row r="60" spans="5:14" ht="15.75" customHeight="1" x14ac:dyDescent="0.2">
      <c r="E60" s="563"/>
      <c r="F60" s="519"/>
      <c r="G60" s="16"/>
      <c r="H60" s="569" t="s">
        <v>80</v>
      </c>
      <c r="I60" s="519"/>
      <c r="J60" s="27" t="e">
        <f>+'Bal Los Colorados'!O67*'Bal Los Colorados'!G67</f>
        <v>#REF!</v>
      </c>
      <c r="K60" s="569" t="s">
        <v>81</v>
      </c>
      <c r="L60" s="567"/>
      <c r="M60" s="519"/>
      <c r="N60" s="27">
        <f>+G38</f>
        <v>410848.95586592209</v>
      </c>
    </row>
    <row r="61" spans="5:14" ht="15.75" customHeight="1" x14ac:dyDescent="0.25">
      <c r="E61" s="572" t="s">
        <v>82</v>
      </c>
      <c r="F61" s="519"/>
      <c r="G61" s="78">
        <f>+G56</f>
        <v>231983.78607040126</v>
      </c>
      <c r="H61" s="570" t="s">
        <v>83</v>
      </c>
      <c r="I61" s="519"/>
      <c r="J61" s="79" t="e">
        <f>+SUM(J56:J60)</f>
        <v>#REF!</v>
      </c>
      <c r="K61" s="570" t="s">
        <v>84</v>
      </c>
      <c r="L61" s="567"/>
      <c r="M61" s="519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29" workbookViewId="0">
      <selection activeCell="A38" sqref="A38:H47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8" t="s">
        <v>279</v>
      </c>
      <c r="B1" s="449">
        <v>66753</v>
      </c>
      <c r="C1" s="450">
        <v>0</v>
      </c>
      <c r="D1" s="451">
        <v>0</v>
      </c>
      <c r="E1" s="314">
        <v>0</v>
      </c>
      <c r="F1" s="331"/>
    </row>
    <row r="2" spans="1:6" ht="24" x14ac:dyDescent="0.3">
      <c r="A2" s="452" t="s">
        <v>88</v>
      </c>
      <c r="B2" s="453">
        <v>24736</v>
      </c>
      <c r="C2" s="452">
        <v>0</v>
      </c>
      <c r="D2" s="454">
        <v>0</v>
      </c>
      <c r="E2" s="314">
        <v>0</v>
      </c>
      <c r="F2" s="331"/>
    </row>
    <row r="3" spans="1:6" ht="24" x14ac:dyDescent="0.3">
      <c r="A3" s="452" t="s">
        <v>89</v>
      </c>
      <c r="B3" s="453">
        <v>50490</v>
      </c>
      <c r="C3" s="452">
        <v>0</v>
      </c>
      <c r="D3" s="454">
        <v>0</v>
      </c>
      <c r="E3" s="314">
        <v>0</v>
      </c>
      <c r="F3" s="316"/>
    </row>
    <row r="4" spans="1:6" ht="24" x14ac:dyDescent="0.3">
      <c r="A4" s="452" t="s">
        <v>280</v>
      </c>
      <c r="B4" s="453">
        <v>0</v>
      </c>
      <c r="C4" s="452">
        <v>0</v>
      </c>
      <c r="D4" s="454">
        <v>0</v>
      </c>
      <c r="E4" s="314">
        <v>0</v>
      </c>
      <c r="F4" s="314"/>
    </row>
    <row r="5" spans="1:6" ht="24" x14ac:dyDescent="0.3">
      <c r="A5" s="452" t="s">
        <v>90</v>
      </c>
      <c r="B5" s="453">
        <v>0</v>
      </c>
      <c r="C5" s="452">
        <v>0</v>
      </c>
      <c r="D5" s="454">
        <v>0</v>
      </c>
      <c r="E5" s="314">
        <v>0</v>
      </c>
      <c r="F5" s="314"/>
    </row>
    <row r="6" spans="1:6" ht="24" x14ac:dyDescent="0.3">
      <c r="A6" s="452" t="s">
        <v>91</v>
      </c>
      <c r="B6" s="453">
        <v>0</v>
      </c>
      <c r="C6" s="452">
        <v>0</v>
      </c>
      <c r="D6" s="454">
        <v>0</v>
      </c>
      <c r="E6">
        <v>0</v>
      </c>
    </row>
    <row r="7" spans="1:6" ht="24" x14ac:dyDescent="0.3">
      <c r="A7" s="452" t="s">
        <v>92</v>
      </c>
      <c r="B7" s="453">
        <v>150617</v>
      </c>
      <c r="C7" s="452">
        <v>0</v>
      </c>
      <c r="D7" s="454">
        <v>0</v>
      </c>
      <c r="E7">
        <v>0</v>
      </c>
    </row>
    <row r="8" spans="1:6" ht="24" x14ac:dyDescent="0.3">
      <c r="A8" s="452" t="s">
        <v>93</v>
      </c>
      <c r="B8" s="453">
        <v>435811</v>
      </c>
      <c r="C8" s="452">
        <v>0</v>
      </c>
      <c r="D8" s="454">
        <v>0</v>
      </c>
      <c r="E8">
        <v>0</v>
      </c>
    </row>
    <row r="9" spans="1:6" ht="24" x14ac:dyDescent="0.3">
      <c r="A9" s="452" t="s">
        <v>94</v>
      </c>
      <c r="B9" s="453">
        <v>2203</v>
      </c>
      <c r="C9" s="452">
        <v>0</v>
      </c>
      <c r="D9" s="454">
        <v>0</v>
      </c>
      <c r="E9">
        <v>0</v>
      </c>
    </row>
    <row r="10" spans="1:6" ht="24" x14ac:dyDescent="0.3">
      <c r="A10" s="452" t="s">
        <v>95</v>
      </c>
      <c r="B10" s="453">
        <v>27</v>
      </c>
      <c r="C10" s="452">
        <v>0</v>
      </c>
      <c r="D10" s="454">
        <v>0</v>
      </c>
      <c r="E10">
        <v>0</v>
      </c>
    </row>
    <row r="11" spans="1:6" ht="24" x14ac:dyDescent="0.3">
      <c r="A11" s="452" t="s">
        <v>96</v>
      </c>
      <c r="B11" s="453">
        <v>25122</v>
      </c>
      <c r="C11" s="452">
        <v>0</v>
      </c>
      <c r="D11" s="454">
        <v>0</v>
      </c>
      <c r="E11">
        <v>0</v>
      </c>
    </row>
    <row r="12" spans="1:6" ht="24" x14ac:dyDescent="0.3">
      <c r="A12" s="452" t="s">
        <v>247</v>
      </c>
      <c r="B12" s="453">
        <v>841140</v>
      </c>
      <c r="C12" s="452">
        <v>1</v>
      </c>
      <c r="D12" s="454">
        <v>2.65</v>
      </c>
      <c r="E12">
        <v>0</v>
      </c>
    </row>
    <row r="13" spans="1:6" ht="24" x14ac:dyDescent="0.3">
      <c r="A13" s="452" t="s">
        <v>248</v>
      </c>
      <c r="B13" s="453">
        <v>841140</v>
      </c>
      <c r="C13" s="452">
        <v>1</v>
      </c>
      <c r="D13" s="454">
        <v>1.7937498607364257</v>
      </c>
      <c r="E13">
        <v>0</v>
      </c>
    </row>
    <row r="14" spans="1:6" ht="24" x14ac:dyDescent="0.3">
      <c r="A14" s="452" t="s">
        <v>249</v>
      </c>
      <c r="B14" s="453">
        <v>799464</v>
      </c>
      <c r="C14" s="452">
        <v>0.85</v>
      </c>
      <c r="D14" s="454">
        <v>0.93275003802393297</v>
      </c>
      <c r="E14">
        <v>0</v>
      </c>
    </row>
    <row r="15" spans="1:6" ht="24" x14ac:dyDescent="0.3">
      <c r="A15" s="452" t="s">
        <v>250</v>
      </c>
      <c r="B15" s="453">
        <v>309440</v>
      </c>
      <c r="C15" s="452">
        <v>0.15</v>
      </c>
      <c r="D15" s="454">
        <v>1.1554858656662388</v>
      </c>
      <c r="E15">
        <v>0</v>
      </c>
    </row>
    <row r="16" spans="1:6" ht="24" x14ac:dyDescent="0.3">
      <c r="A16" s="452" t="s">
        <v>251</v>
      </c>
      <c r="B16" s="453">
        <v>719345</v>
      </c>
      <c r="C16" s="452">
        <v>1</v>
      </c>
      <c r="D16" s="454">
        <v>6.7708475606506466</v>
      </c>
      <c r="E16">
        <v>0</v>
      </c>
    </row>
    <row r="17" spans="1:5" ht="24" x14ac:dyDescent="0.3">
      <c r="A17" s="452" t="s">
        <v>253</v>
      </c>
      <c r="B17" s="453">
        <v>0</v>
      </c>
      <c r="C17" s="452">
        <v>0</v>
      </c>
      <c r="D17" s="454">
        <v>12.73464883638535</v>
      </c>
      <c r="E17">
        <v>0</v>
      </c>
    </row>
    <row r="18" spans="1:5" ht="24" x14ac:dyDescent="0.3">
      <c r="A18" s="452" t="s">
        <v>254</v>
      </c>
      <c r="B18" s="453">
        <v>0</v>
      </c>
      <c r="C18" s="452">
        <v>0</v>
      </c>
      <c r="D18" s="454">
        <v>20.331616421326252</v>
      </c>
      <c r="E18">
        <v>0</v>
      </c>
    </row>
    <row r="19" spans="1:5" ht="24" x14ac:dyDescent="0.3">
      <c r="A19" s="452" t="s">
        <v>255</v>
      </c>
      <c r="B19" s="453">
        <v>0</v>
      </c>
      <c r="C19" s="452">
        <v>0</v>
      </c>
      <c r="D19" s="454">
        <v>8.225477491060424</v>
      </c>
      <c r="E19">
        <v>0</v>
      </c>
    </row>
    <row r="20" spans="1:5" ht="24" x14ac:dyDescent="0.3">
      <c r="A20" s="452" t="s">
        <v>256</v>
      </c>
      <c r="B20" s="453">
        <v>0</v>
      </c>
      <c r="C20" s="452">
        <v>0</v>
      </c>
      <c r="D20" s="454">
        <v>2.7579753151123789</v>
      </c>
      <c r="E20">
        <v>0</v>
      </c>
    </row>
    <row r="21" spans="1:5" ht="24" x14ac:dyDescent="0.3">
      <c r="A21" s="452" t="s">
        <v>256</v>
      </c>
      <c r="B21" s="453">
        <v>0</v>
      </c>
      <c r="C21" s="452">
        <v>0</v>
      </c>
      <c r="D21" s="454">
        <v>2.7579753151123789</v>
      </c>
      <c r="E21">
        <v>0</v>
      </c>
    </row>
    <row r="22" spans="1:5" ht="24" x14ac:dyDescent="0.3">
      <c r="A22" s="452" t="s">
        <v>201</v>
      </c>
      <c r="B22" s="453">
        <v>0</v>
      </c>
      <c r="C22" s="452">
        <v>0.04</v>
      </c>
      <c r="D22" s="454">
        <v>0</v>
      </c>
      <c r="E22">
        <v>0.57999999999999996</v>
      </c>
    </row>
    <row r="23" spans="1:5" ht="24" x14ac:dyDescent="0.3">
      <c r="A23" s="452" t="s">
        <v>281</v>
      </c>
      <c r="B23" s="453">
        <v>9444</v>
      </c>
      <c r="C23" s="452">
        <v>0.04</v>
      </c>
      <c r="D23" s="454">
        <v>9066.24</v>
      </c>
      <c r="E23">
        <v>0.57999999999999996</v>
      </c>
    </row>
    <row r="24" spans="1:5" ht="24" x14ac:dyDescent="0.3">
      <c r="A24" s="452" t="s">
        <v>282</v>
      </c>
      <c r="B24" s="453">
        <v>2203</v>
      </c>
      <c r="C24" s="452">
        <v>2.8000000000000001E-2</v>
      </c>
      <c r="D24" s="454">
        <v>2141.3159999999998</v>
      </c>
      <c r="E24">
        <v>0.62560000000000004</v>
      </c>
    </row>
    <row r="25" spans="1:5" ht="24" x14ac:dyDescent="0.3">
      <c r="A25" s="455" t="s">
        <v>204</v>
      </c>
      <c r="B25" s="453">
        <v>0</v>
      </c>
      <c r="C25" s="456">
        <v>0</v>
      </c>
      <c r="D25" s="457">
        <v>0</v>
      </c>
      <c r="E25">
        <v>0</v>
      </c>
    </row>
    <row r="26" spans="1:5" ht="24" x14ac:dyDescent="0.3">
      <c r="A26" s="455" t="s">
        <v>208</v>
      </c>
      <c r="B26" s="453">
        <v>0</v>
      </c>
      <c r="C26" s="456">
        <v>2.6944684E-2</v>
      </c>
      <c r="D26" s="457">
        <v>0</v>
      </c>
      <c r="E26">
        <v>0.62503473099999995</v>
      </c>
    </row>
    <row r="27" spans="1:5" ht="24" x14ac:dyDescent="0.3">
      <c r="A27" s="455" t="s">
        <v>210</v>
      </c>
      <c r="B27" s="453">
        <v>0</v>
      </c>
      <c r="C27" s="456">
        <v>0</v>
      </c>
      <c r="D27" s="457">
        <v>0</v>
      </c>
      <c r="E27">
        <v>0</v>
      </c>
    </row>
    <row r="28" spans="1:5" ht="24" x14ac:dyDescent="0.3">
      <c r="A28" s="455" t="s">
        <v>283</v>
      </c>
      <c r="B28" s="453">
        <v>24345</v>
      </c>
      <c r="C28" s="456">
        <v>0</v>
      </c>
      <c r="D28" s="457">
        <v>24345</v>
      </c>
      <c r="E28">
        <v>0.65</v>
      </c>
    </row>
    <row r="29" spans="1:5" ht="24" x14ac:dyDescent="0.3">
      <c r="A29" s="455" t="s">
        <v>212</v>
      </c>
      <c r="B29" s="453">
        <v>24345</v>
      </c>
      <c r="C29" s="456">
        <v>0</v>
      </c>
      <c r="D29" s="457">
        <v>24345</v>
      </c>
      <c r="E29">
        <v>0.65</v>
      </c>
    </row>
    <row r="30" spans="1:5" ht="24" x14ac:dyDescent="0.3">
      <c r="A30" s="455" t="s">
        <v>213</v>
      </c>
      <c r="B30" s="453">
        <v>0</v>
      </c>
      <c r="C30" s="456">
        <v>0</v>
      </c>
      <c r="D30" s="457">
        <v>0</v>
      </c>
      <c r="E30">
        <v>0</v>
      </c>
    </row>
    <row r="31" spans="1:5" ht="24" x14ac:dyDescent="0.3">
      <c r="A31" s="455" t="s">
        <v>214</v>
      </c>
      <c r="B31" s="453">
        <v>0</v>
      </c>
      <c r="C31" s="456">
        <v>0</v>
      </c>
      <c r="D31" s="457">
        <v>0</v>
      </c>
      <c r="E31">
        <v>0</v>
      </c>
    </row>
    <row r="32" spans="1:5" ht="24" x14ac:dyDescent="0.3">
      <c r="A32" s="455" t="s">
        <v>219</v>
      </c>
      <c r="B32" s="453">
        <v>0</v>
      </c>
      <c r="C32" s="456">
        <v>0</v>
      </c>
      <c r="D32" s="457">
        <v>0</v>
      </c>
      <c r="E32">
        <v>0</v>
      </c>
    </row>
    <row r="33" spans="1:8" ht="24" x14ac:dyDescent="0.3">
      <c r="A33" s="455" t="s">
        <v>220</v>
      </c>
      <c r="B33" s="453">
        <v>0</v>
      </c>
      <c r="C33" s="456">
        <v>0</v>
      </c>
      <c r="D33" s="457">
        <v>0</v>
      </c>
      <c r="E33">
        <v>0</v>
      </c>
    </row>
    <row r="34" spans="1:8" ht="24" x14ac:dyDescent="0.3">
      <c r="A34" s="458" t="s">
        <v>284</v>
      </c>
      <c r="B34" s="449">
        <v>0</v>
      </c>
      <c r="C34" s="449">
        <v>0</v>
      </c>
      <c r="D34" s="449">
        <v>0</v>
      </c>
      <c r="E34">
        <v>0</v>
      </c>
    </row>
    <row r="35" spans="1:8" ht="24" x14ac:dyDescent="0.3">
      <c r="A35" s="458" t="s">
        <v>224</v>
      </c>
      <c r="B35" s="449">
        <v>0</v>
      </c>
      <c r="C35" s="449">
        <v>0</v>
      </c>
      <c r="D35" s="449">
        <v>0</v>
      </c>
      <c r="E35">
        <v>0</v>
      </c>
    </row>
    <row r="36" spans="1:8" ht="24" x14ac:dyDescent="0.3">
      <c r="A36" s="458" t="s">
        <v>226</v>
      </c>
      <c r="B36" s="449">
        <v>0</v>
      </c>
      <c r="C36" s="449">
        <v>0</v>
      </c>
      <c r="D36" s="449">
        <v>0</v>
      </c>
      <c r="E36">
        <v>0</v>
      </c>
    </row>
    <row r="37" spans="1:8" ht="24" x14ac:dyDescent="0.3">
      <c r="A37" s="458" t="s">
        <v>228</v>
      </c>
      <c r="B37" s="449">
        <v>0</v>
      </c>
      <c r="C37" s="449">
        <v>0</v>
      </c>
      <c r="D37" s="449">
        <v>0</v>
      </c>
      <c r="E37">
        <v>0</v>
      </c>
    </row>
    <row r="38" spans="1:8" ht="24" x14ac:dyDescent="0.3">
      <c r="A38" s="458" t="s">
        <v>92</v>
      </c>
      <c r="B38" s="449">
        <v>149936</v>
      </c>
      <c r="C38" s="449">
        <v>150934.60122179985</v>
      </c>
      <c r="D38" s="449">
        <v>998.60122179985046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8" t="s">
        <v>93</v>
      </c>
      <c r="B39" s="449">
        <v>435765</v>
      </c>
      <c r="C39" s="449">
        <v>395462.99999999988</v>
      </c>
      <c r="D39" s="449">
        <v>-40302.000000000116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8" t="s">
        <v>285</v>
      </c>
      <c r="B40" s="449">
        <v>0</v>
      </c>
      <c r="C40" s="449">
        <v>-2927.9471969604492</v>
      </c>
      <c r="D40" s="449">
        <v>-2927.9471969604492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8" t="s">
        <v>286</v>
      </c>
      <c r="B41" s="449">
        <v>0</v>
      </c>
      <c r="C41" s="449">
        <v>-1980</v>
      </c>
      <c r="D41" s="449">
        <v>-1980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8" t="s">
        <v>107</v>
      </c>
      <c r="B42" s="449">
        <v>48104</v>
      </c>
      <c r="C42" s="449">
        <v>147374.00000000003</v>
      </c>
      <c r="D42" s="449">
        <v>99270.000000000029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8" t="s">
        <v>287</v>
      </c>
      <c r="B43" s="449">
        <v>0</v>
      </c>
      <c r="C43" s="449">
        <v>0</v>
      </c>
      <c r="D43" s="449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5" t="s">
        <v>109</v>
      </c>
      <c r="B44" s="436">
        <v>65746</v>
      </c>
      <c r="C44" s="459">
        <v>14273.091962099075</v>
      </c>
      <c r="D44" s="460">
        <v>-51472.908037900925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4" t="s">
        <v>288</v>
      </c>
      <c r="B45" s="335">
        <v>24742</v>
      </c>
      <c r="C45" s="461">
        <v>12095.744312286377</v>
      </c>
      <c r="D45" s="461">
        <v>-12646.255687713623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4" t="s">
        <v>289</v>
      </c>
      <c r="B46" s="335">
        <v>2203</v>
      </c>
      <c r="C46" s="461">
        <v>1837.2749805450439</v>
      </c>
      <c r="D46" s="461">
        <v>-365.72501945495605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4" t="s">
        <v>290</v>
      </c>
      <c r="B47" s="335">
        <v>0</v>
      </c>
      <c r="C47" s="461">
        <v>0</v>
      </c>
      <c r="D47" s="461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74" t="s">
        <v>221</v>
      </c>
      <c r="B48" s="575">
        <v>0</v>
      </c>
      <c r="C48" s="224">
        <v>115642</v>
      </c>
      <c r="D48" s="224">
        <v>112764</v>
      </c>
      <c r="E48" s="225"/>
      <c r="F48" s="446">
        <v>68.849999999999994</v>
      </c>
      <c r="G48" s="446">
        <v>7.7</v>
      </c>
    </row>
    <row r="49" spans="1:7" x14ac:dyDescent="0.2">
      <c r="A49" s="574" t="s">
        <v>223</v>
      </c>
      <c r="B49" s="575">
        <v>0</v>
      </c>
      <c r="C49" s="226">
        <v>0</v>
      </c>
      <c r="D49" s="226">
        <v>0</v>
      </c>
      <c r="E49" s="225"/>
      <c r="F49" s="446">
        <v>68.77</v>
      </c>
      <c r="G49" s="446">
        <v>7.74</v>
      </c>
    </row>
    <row r="50" spans="1:7" x14ac:dyDescent="0.2">
      <c r="A50" s="574" t="s">
        <v>225</v>
      </c>
      <c r="B50" s="575">
        <v>0</v>
      </c>
      <c r="C50" s="226">
        <v>0</v>
      </c>
      <c r="D50" s="226">
        <v>0</v>
      </c>
      <c r="E50" s="225"/>
      <c r="F50" s="446">
        <v>69.150000000000006</v>
      </c>
      <c r="G50" s="446">
        <v>7.37</v>
      </c>
    </row>
    <row r="51" spans="1:7" x14ac:dyDescent="0.2">
      <c r="A51" s="574" t="s">
        <v>227</v>
      </c>
      <c r="B51" s="575">
        <v>0</v>
      </c>
      <c r="C51" s="226">
        <v>0</v>
      </c>
      <c r="D51" s="226">
        <v>0</v>
      </c>
      <c r="E51" s="225"/>
      <c r="F51" s="446">
        <v>69.150000000000006</v>
      </c>
      <c r="G51" s="446">
        <v>7.37</v>
      </c>
    </row>
    <row r="52" spans="1:7" x14ac:dyDescent="0.2">
      <c r="A52" s="574" t="s">
        <v>221</v>
      </c>
      <c r="B52" s="575">
        <v>0</v>
      </c>
      <c r="C52" s="442">
        <v>0</v>
      </c>
      <c r="D52" s="442">
        <v>0</v>
      </c>
      <c r="E52" s="225"/>
      <c r="F52" s="444">
        <v>65.34</v>
      </c>
      <c r="G52" s="444">
        <v>1.1200000000000001</v>
      </c>
    </row>
    <row r="53" spans="1:7" x14ac:dyDescent="0.2">
      <c r="A53" s="574" t="s">
        <v>223</v>
      </c>
      <c r="B53" s="575">
        <v>0</v>
      </c>
      <c r="C53" s="442">
        <v>0</v>
      </c>
      <c r="D53" s="442">
        <v>0</v>
      </c>
      <c r="E53" s="229"/>
      <c r="F53" s="444">
        <v>65.180000000000007</v>
      </c>
      <c r="G53" s="444">
        <v>0.69</v>
      </c>
    </row>
    <row r="54" spans="1:7" x14ac:dyDescent="0.2">
      <c r="A54" s="574" t="s">
        <v>225</v>
      </c>
      <c r="B54" s="575">
        <v>0</v>
      </c>
      <c r="C54" s="442">
        <v>0</v>
      </c>
      <c r="D54" s="443">
        <v>0</v>
      </c>
      <c r="E54" s="229"/>
      <c r="F54" s="444">
        <v>65.55</v>
      </c>
      <c r="G54" s="444">
        <v>0.71</v>
      </c>
    </row>
    <row r="55" spans="1:7" x14ac:dyDescent="0.2">
      <c r="A55" s="574" t="s">
        <v>227</v>
      </c>
      <c r="B55" s="575">
        <v>0</v>
      </c>
      <c r="C55" s="226">
        <v>0</v>
      </c>
      <c r="D55" s="226">
        <v>0</v>
      </c>
      <c r="E55" s="229"/>
      <c r="F55" s="444"/>
      <c r="G55" s="444"/>
    </row>
    <row r="56" spans="1:7" x14ac:dyDescent="0.2">
      <c r="A56" s="574" t="s">
        <v>221</v>
      </c>
      <c r="B56" s="575">
        <v>0</v>
      </c>
      <c r="C56" s="443">
        <v>62770</v>
      </c>
      <c r="D56" s="443">
        <v>65510</v>
      </c>
      <c r="E56" s="229"/>
      <c r="F56" s="444">
        <v>64.069999999999993</v>
      </c>
      <c r="G56" s="444">
        <v>1.19</v>
      </c>
    </row>
    <row r="57" spans="1:7" x14ac:dyDescent="0.2">
      <c r="A57" s="574" t="s">
        <v>223</v>
      </c>
      <c r="B57" s="575">
        <v>0</v>
      </c>
      <c r="C57" s="443">
        <v>136102</v>
      </c>
      <c r="D57" s="443">
        <v>139489</v>
      </c>
      <c r="E57" s="229"/>
      <c r="F57" s="444">
        <v>64.069999999999993</v>
      </c>
      <c r="G57" s="444">
        <v>1.19</v>
      </c>
    </row>
    <row r="58" spans="1:7" x14ac:dyDescent="0.2">
      <c r="A58" s="574" t="s">
        <v>225</v>
      </c>
      <c r="B58" s="575">
        <v>0</v>
      </c>
      <c r="C58" s="443">
        <v>0</v>
      </c>
      <c r="D58" s="443">
        <v>0</v>
      </c>
      <c r="E58" s="229"/>
      <c r="F58" s="444"/>
      <c r="G58" s="444"/>
    </row>
    <row r="59" spans="1:7" x14ac:dyDescent="0.2">
      <c r="A59" s="574" t="s">
        <v>227</v>
      </c>
      <c r="B59" s="575">
        <v>0</v>
      </c>
      <c r="C59" s="443">
        <v>0</v>
      </c>
      <c r="D59" s="443">
        <v>0</v>
      </c>
      <c r="E59" s="235"/>
      <c r="F59" s="444"/>
      <c r="G59" s="444"/>
    </row>
    <row r="60" spans="1:7" ht="15.75" customHeight="1" x14ac:dyDescent="0.2">
      <c r="A60" s="574" t="s">
        <v>221</v>
      </c>
      <c r="B60" s="575">
        <v>0</v>
      </c>
      <c r="C60" s="226">
        <v>67282</v>
      </c>
      <c r="D60" s="226">
        <v>66000</v>
      </c>
      <c r="E60" s="229"/>
      <c r="F60" s="444"/>
      <c r="G60" s="444"/>
    </row>
    <row r="61" spans="1:7" ht="15.75" customHeight="1" x14ac:dyDescent="0.2">
      <c r="A61" s="574" t="s">
        <v>223</v>
      </c>
      <c r="B61" s="575">
        <v>0</v>
      </c>
      <c r="C61" s="226">
        <v>0</v>
      </c>
      <c r="D61" s="226">
        <v>0</v>
      </c>
      <c r="E61" s="229"/>
      <c r="F61" s="444"/>
      <c r="G61" s="444"/>
    </row>
    <row r="62" spans="1:7" ht="15.75" customHeight="1" x14ac:dyDescent="0.3">
      <c r="A62" s="336"/>
      <c r="B62" s="336"/>
      <c r="C62" s="337"/>
      <c r="D62" s="338"/>
    </row>
    <row r="63" spans="1:7" ht="15.75" customHeight="1" x14ac:dyDescent="0.3">
      <c r="A63" s="336"/>
      <c r="B63" s="336"/>
      <c r="C63" s="337"/>
      <c r="D63" s="338"/>
    </row>
    <row r="64" spans="1:7" ht="15.75" customHeight="1" x14ac:dyDescent="0.3">
      <c r="A64" s="336"/>
      <c r="B64" s="336"/>
      <c r="C64" s="337"/>
      <c r="D64" s="338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8">
        <v>61.25</v>
      </c>
      <c r="D1" s="308">
        <v>61.651064964</v>
      </c>
      <c r="E1" s="440">
        <v>9.2167453407737462E-3</v>
      </c>
      <c r="F1" s="441">
        <f t="shared" ref="F1:F27" si="0">D1*B1</f>
        <v>23950144.066149756</v>
      </c>
      <c r="G1" s="301"/>
      <c r="H1" s="305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8">
        <v>63.3</v>
      </c>
      <c r="D2" s="308">
        <v>63.438773740000002</v>
      </c>
      <c r="E2" s="440">
        <v>9.5300999999999997E-3</v>
      </c>
      <c r="F2" s="441">
        <f t="shared" si="0"/>
        <v>10345722.09906668</v>
      </c>
      <c r="G2" s="301"/>
      <c r="H2" s="305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8">
        <v>63.7</v>
      </c>
      <c r="D3" s="308">
        <v>63.360749102</v>
      </c>
      <c r="E3" s="440">
        <v>1.15E-2</v>
      </c>
      <c r="F3" s="441">
        <f t="shared" si="0"/>
        <v>12839548.919527484</v>
      </c>
      <c r="G3" s="302"/>
      <c r="H3" s="305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8">
        <v>59.76</v>
      </c>
      <c r="D4" s="308">
        <v>60.357599999999998</v>
      </c>
      <c r="E4" s="440">
        <v>8.9899000000000003E-3</v>
      </c>
      <c r="F4" s="441">
        <f t="shared" si="0"/>
        <v>13604421.9672</v>
      </c>
      <c r="G4" s="302"/>
      <c r="H4" s="305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8">
        <v>60.29</v>
      </c>
      <c r="D5" s="308">
        <v>59.687100000000001</v>
      </c>
      <c r="E5" s="440">
        <v>8.9899000000000003E-3</v>
      </c>
      <c r="F5" s="441">
        <f t="shared" si="0"/>
        <v>13646142.298800001</v>
      </c>
      <c r="G5" s="301"/>
      <c r="H5" s="306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-2878</v>
      </c>
      <c r="B6">
        <v>-1439.0000001999999</v>
      </c>
      <c r="C6" s="308">
        <v>60.29</v>
      </c>
      <c r="D6" s="308">
        <v>57.275500000000001</v>
      </c>
      <c r="E6" s="440">
        <v>8.6E-3</v>
      </c>
      <c r="F6" s="441">
        <f t="shared" si="0"/>
        <v>-82419.444511455091</v>
      </c>
      <c r="G6" s="301"/>
      <c r="H6" s="306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231854</v>
      </c>
      <c r="B7">
        <v>231622.14600000001</v>
      </c>
      <c r="C7" s="308">
        <v>58.82</v>
      </c>
      <c r="D7" s="308">
        <v>59.271369255000003</v>
      </c>
      <c r="E7" s="440">
        <v>7.6E-3</v>
      </c>
      <c r="F7" s="441">
        <f t="shared" si="0"/>
        <v>13728561.743201522</v>
      </c>
      <c r="G7" s="301"/>
      <c r="H7" s="306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22756</v>
      </c>
      <c r="B8">
        <v>22756</v>
      </c>
      <c r="C8" s="308">
        <v>11.31</v>
      </c>
      <c r="D8" s="308">
        <v>11.31</v>
      </c>
      <c r="E8" s="440">
        <v>0</v>
      </c>
      <c r="F8" s="441">
        <f t="shared" si="0"/>
        <v>257370.36000000002</v>
      </c>
      <c r="G8" s="301"/>
      <c r="H8" s="306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208774</v>
      </c>
      <c r="B9">
        <v>208774</v>
      </c>
      <c r="C9" s="308">
        <v>68.7</v>
      </c>
      <c r="D9" s="308">
        <v>68.7</v>
      </c>
      <c r="E9" s="440">
        <v>9.9546339989804444E-3</v>
      </c>
      <c r="F9" s="441">
        <f t="shared" si="0"/>
        <v>14342773.800000001</v>
      </c>
      <c r="G9" s="301"/>
      <c r="H9" s="306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192143</v>
      </c>
      <c r="B10">
        <v>200667.37151</v>
      </c>
      <c r="C10" s="308">
        <v>68.650000000000006</v>
      </c>
      <c r="D10" s="308">
        <v>67.113643273999998</v>
      </c>
      <c r="E10" s="440">
        <v>8.3495571339466099E-2</v>
      </c>
      <c r="F10" s="441">
        <f t="shared" si="0"/>
        <v>13467518.38825337</v>
      </c>
      <c r="G10" s="301"/>
      <c r="H10" s="306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5">
        <v>0</v>
      </c>
      <c r="B11" s="305">
        <v>0</v>
      </c>
      <c r="C11" s="309">
        <v>60</v>
      </c>
      <c r="D11" s="309">
        <v>60</v>
      </c>
      <c r="E11" s="440">
        <v>0.57999999999999996</v>
      </c>
      <c r="F11" s="441">
        <f t="shared" si="0"/>
        <v>0</v>
      </c>
      <c r="G11" s="301"/>
      <c r="H11" s="306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192143</v>
      </c>
      <c r="B12">
        <v>200207.00507000001</v>
      </c>
      <c r="C12" s="308">
        <v>68.650000000000006</v>
      </c>
      <c r="D12" s="308">
        <v>66.608770763999999</v>
      </c>
      <c r="E12" s="440">
        <v>8.3495571339466099E-2</v>
      </c>
      <c r="F12" s="441">
        <f t="shared" si="0"/>
        <v>13335542.506054616</v>
      </c>
      <c r="G12" s="301"/>
      <c r="H12" s="306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192143</v>
      </c>
      <c r="B13">
        <v>192143</v>
      </c>
      <c r="C13" s="159">
        <v>68.650000000000006</v>
      </c>
      <c r="D13" s="159">
        <v>69.336500000000001</v>
      </c>
      <c r="E13" s="440">
        <v>8.3495571339466099E-2</v>
      </c>
      <c r="F13" s="441">
        <f t="shared" si="0"/>
        <v>13322523.1195</v>
      </c>
      <c r="G13" s="301"/>
      <c r="H13" s="306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68.650000000000006</v>
      </c>
      <c r="D14" s="159">
        <v>68.650000000000006</v>
      </c>
      <c r="E14" s="440">
        <v>8.3495571339466099E-2</v>
      </c>
      <c r="F14" s="441">
        <f t="shared" si="0"/>
        <v>0</v>
      </c>
      <c r="G14" s="301"/>
      <c r="H14" s="306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0</v>
      </c>
      <c r="B15">
        <v>0</v>
      </c>
      <c r="C15" s="157">
        <v>0</v>
      </c>
      <c r="D15" s="157">
        <v>0</v>
      </c>
      <c r="E15" s="440">
        <v>8.3495571339466099E-2</v>
      </c>
      <c r="F15" s="441">
        <f t="shared" si="0"/>
        <v>0</v>
      </c>
      <c r="G15" s="301"/>
      <c r="H15" s="306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103878</v>
      </c>
      <c r="B16">
        <v>103878</v>
      </c>
      <c r="C16" s="159">
        <v>68.680000000000007</v>
      </c>
      <c r="D16" s="159">
        <v>68.680000000000007</v>
      </c>
      <c r="E16" s="440">
        <v>7.8799999999999995E-2</v>
      </c>
      <c r="F16" s="441">
        <f t="shared" si="0"/>
        <v>7134341.040000001</v>
      </c>
      <c r="G16" s="301"/>
      <c r="H16" s="306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40">
        <v>0</v>
      </c>
      <c r="F17" s="441">
        <f t="shared" si="0"/>
        <v>0</v>
      </c>
      <c r="G17" s="301"/>
      <c r="H17" s="306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40">
        <v>0</v>
      </c>
      <c r="F18" s="441">
        <f t="shared" si="0"/>
        <v>0</v>
      </c>
      <c r="G18" s="301"/>
      <c r="H18" s="306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40">
        <v>0</v>
      </c>
      <c r="F19" s="441">
        <f t="shared" si="0"/>
        <v>0</v>
      </c>
      <c r="G19" s="301"/>
      <c r="H19" s="306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40">
        <v>0</v>
      </c>
      <c r="F20" s="441">
        <f t="shared" si="0"/>
        <v>0</v>
      </c>
      <c r="G20" s="301"/>
      <c r="H20" s="306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40">
        <v>0</v>
      </c>
      <c r="F21" s="441">
        <f t="shared" si="0"/>
        <v>0</v>
      </c>
      <c r="G21" s="301"/>
      <c r="H21" s="306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40">
        <v>0</v>
      </c>
      <c r="F22" s="441">
        <f t="shared" si="0"/>
        <v>0</v>
      </c>
      <c r="G22" s="301"/>
      <c r="H22" s="306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40">
        <v>0</v>
      </c>
      <c r="F23" s="441">
        <f t="shared" si="0"/>
        <v>0</v>
      </c>
      <c r="G23" s="301"/>
      <c r="H23" s="306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-51216</v>
      </c>
      <c r="B24">
        <v>-25608</v>
      </c>
      <c r="C24" s="157">
        <v>0</v>
      </c>
      <c r="D24" s="157">
        <v>0</v>
      </c>
      <c r="E24" s="440">
        <v>5.0000000000000001E-3</v>
      </c>
      <c r="F24" s="441">
        <f t="shared" si="0"/>
        <v>0</v>
      </c>
      <c r="G24" s="301"/>
      <c r="H24" s="306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39">
        <v>0</v>
      </c>
      <c r="D25" s="439">
        <v>0</v>
      </c>
      <c r="E25" s="440">
        <v>0</v>
      </c>
      <c r="F25" s="441">
        <f t="shared" si="0"/>
        <v>0</v>
      </c>
      <c r="G25" s="301"/>
      <c r="H25" s="306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5">
        <v>0</v>
      </c>
      <c r="B26" s="305">
        <v>0</v>
      </c>
      <c r="C26" s="310">
        <v>0</v>
      </c>
      <c r="D26" s="310">
        <v>0</v>
      </c>
      <c r="E26" s="440">
        <v>0.01</v>
      </c>
      <c r="F26" s="441">
        <f t="shared" si="0"/>
        <v>0</v>
      </c>
      <c r="G26" s="301"/>
      <c r="H26" s="306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5">
        <v>0</v>
      </c>
      <c r="B27" s="305">
        <v>0</v>
      </c>
      <c r="C27" s="308">
        <v>68.650000000000006</v>
      </c>
      <c r="D27" s="308">
        <v>68.650000000000006</v>
      </c>
      <c r="E27" s="440">
        <v>0.01</v>
      </c>
      <c r="F27" s="441">
        <f t="shared" si="0"/>
        <v>0</v>
      </c>
      <c r="G27" s="301"/>
      <c r="H27" s="307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8">
        <v>989</v>
      </c>
      <c r="B28" s="298">
        <v>692.30000017999998</v>
      </c>
      <c r="C28" s="299">
        <v>59.76</v>
      </c>
      <c r="D28" s="299">
        <v>56.771999999999998</v>
      </c>
      <c r="E28" s="440">
        <v>9.6968121743781464E-3</v>
      </c>
      <c r="F28" s="441"/>
      <c r="G28" s="301"/>
      <c r="H28" s="301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8">
        <v>91681</v>
      </c>
      <c r="B29" s="298">
        <v>89248.549893000003</v>
      </c>
      <c r="C29" s="299">
        <v>68.650000000000006</v>
      </c>
      <c r="D29" s="299">
        <v>69.336499997999994</v>
      </c>
      <c r="E29" s="440">
        <v>7.6449041795111791E-2</v>
      </c>
      <c r="F29" s="441"/>
      <c r="G29" s="301"/>
      <c r="H29" s="301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8">
        <v>-39912</v>
      </c>
      <c r="B30" s="298">
        <v>-39560</v>
      </c>
      <c r="C30" s="299">
        <v>63.3</v>
      </c>
      <c r="D30" s="299">
        <v>63.039100619999999</v>
      </c>
      <c r="E30" s="440">
        <v>9.6713366074297497E-3</v>
      </c>
      <c r="F30" s="441"/>
      <c r="G30" s="301"/>
      <c r="H30" s="301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8">
        <v>-12583</v>
      </c>
      <c r="B31" s="298">
        <v>-16357.9</v>
      </c>
      <c r="C31" s="299">
        <v>65</v>
      </c>
      <c r="D31" s="299">
        <v>68.25</v>
      </c>
      <c r="E31" s="440">
        <v>5.0000000000000001E-3</v>
      </c>
      <c r="F31" s="441"/>
      <c r="G31" s="301"/>
      <c r="H31" s="301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8">
        <v>65670</v>
      </c>
      <c r="B32" s="298">
        <v>65670</v>
      </c>
      <c r="C32" s="299">
        <v>65</v>
      </c>
      <c r="D32" s="299">
        <v>65</v>
      </c>
      <c r="E32" s="440">
        <v>5.0000000000000001E-3</v>
      </c>
      <c r="F32" s="441"/>
      <c r="G32" s="301"/>
      <c r="H32" s="301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8">
        <v>-1980</v>
      </c>
      <c r="B33" s="298">
        <v>-1386.0000026</v>
      </c>
      <c r="C33" s="299">
        <v>0</v>
      </c>
      <c r="D33" s="299">
        <v>0</v>
      </c>
      <c r="E33" s="300">
        <v>0</v>
      </c>
      <c r="F33" s="301"/>
      <c r="G33" s="301"/>
      <c r="H33" s="301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8"/>
      <c r="B34" s="298"/>
      <c r="C34" s="299"/>
      <c r="D34" s="299"/>
      <c r="E34" s="300"/>
      <c r="F34" s="301"/>
      <c r="G34" s="301"/>
      <c r="H34" s="301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8"/>
      <c r="B35" s="298"/>
      <c r="C35" s="299"/>
      <c r="D35" s="299"/>
      <c r="E35" s="300"/>
      <c r="F35" s="301"/>
      <c r="G35" s="301"/>
      <c r="H35" s="301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5"/>
      <c r="B36" s="305"/>
      <c r="C36" s="305"/>
      <c r="D36" s="305"/>
      <c r="E36" s="305"/>
      <c r="F36" s="305"/>
      <c r="G36" s="305"/>
      <c r="H36" s="305"/>
      <c r="I36" s="305"/>
      <c r="J36" s="305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5"/>
      <c r="B37" s="305"/>
      <c r="C37" s="305"/>
      <c r="D37" s="305"/>
      <c r="E37" s="305"/>
      <c r="F37" s="305"/>
      <c r="G37" s="305"/>
      <c r="H37" s="305"/>
      <c r="I37" s="305"/>
      <c r="J37" s="305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5"/>
      <c r="B38" s="305"/>
      <c r="C38" s="305"/>
      <c r="D38" s="305"/>
      <c r="E38" s="305"/>
      <c r="F38" s="305"/>
      <c r="G38" s="305"/>
      <c r="H38" s="305"/>
      <c r="I38" s="305"/>
      <c r="J38" s="305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5"/>
      <c r="B39" s="305"/>
      <c r="C39" s="305"/>
      <c r="D39" s="305"/>
      <c r="E39" s="305"/>
      <c r="F39" s="305"/>
      <c r="G39" s="305"/>
      <c r="H39" s="305"/>
      <c r="I39" s="305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6"/>
      <c r="B43" s="306"/>
      <c r="C43" s="306"/>
      <c r="D43" s="306"/>
      <c r="E43" s="306"/>
      <c r="F43" s="306"/>
      <c r="G43" s="305"/>
      <c r="H43" s="306"/>
      <c r="I43" s="306"/>
      <c r="J43" s="306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1"/>
      <c r="B63" s="300"/>
      <c r="C63" s="300"/>
      <c r="D63" s="301"/>
      <c r="E63" s="300"/>
      <c r="F63" s="301"/>
      <c r="G63" s="301"/>
      <c r="H63" s="301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1"/>
      <c r="B64" s="301"/>
      <c r="C64" s="301"/>
      <c r="D64" s="301"/>
      <c r="E64" s="300"/>
      <c r="F64" s="301"/>
      <c r="G64" s="301"/>
      <c r="H64" s="301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1"/>
      <c r="B65" s="301"/>
      <c r="C65" s="301"/>
      <c r="D65" s="301"/>
      <c r="E65" s="300"/>
      <c r="F65" s="301"/>
      <c r="G65" s="301"/>
      <c r="H65" s="301"/>
      <c r="I65" s="88"/>
      <c r="J65" s="88"/>
      <c r="K65" s="576"/>
      <c r="L65" s="577"/>
      <c r="M65" s="88"/>
      <c r="N65" s="578" t="s">
        <v>46</v>
      </c>
      <c r="O65" s="579"/>
      <c r="P65" s="577"/>
      <c r="Q65" s="93"/>
      <c r="R65" s="580"/>
      <c r="S65" s="581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1"/>
      <c r="B66" s="301"/>
      <c r="C66" s="301"/>
      <c r="D66" s="301"/>
      <c r="E66" s="300"/>
      <c r="F66" s="301"/>
      <c r="G66" s="301"/>
      <c r="H66" s="301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1"/>
      <c r="B67" s="301"/>
      <c r="C67" s="301"/>
      <c r="D67" s="301"/>
      <c r="E67" s="300"/>
      <c r="F67" s="301"/>
      <c r="G67" s="301"/>
      <c r="H67" s="301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0.61651064964000002</v>
      </c>
      <c r="P67" s="101">
        <f t="shared" ref="P67:P126" si="3">N67*O67</f>
        <v>239501.44066149756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1"/>
      <c r="B68" s="301"/>
      <c r="C68" s="301"/>
      <c r="D68" s="301"/>
      <c r="E68" s="300"/>
      <c r="F68" s="301"/>
      <c r="G68" s="301"/>
      <c r="H68" s="301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0.63438773739999998</v>
      </c>
      <c r="P68" s="101">
        <f t="shared" si="3"/>
        <v>103457.2209906668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1"/>
      <c r="B69" s="301"/>
      <c r="C69" s="301"/>
      <c r="D69" s="301"/>
      <c r="E69" s="300"/>
      <c r="F69" s="301"/>
      <c r="G69" s="301"/>
      <c r="H69" s="301"/>
      <c r="I69" s="88"/>
      <c r="J69" s="88"/>
      <c r="K69" s="106"/>
      <c r="L69" s="87"/>
      <c r="M69" s="88"/>
      <c r="N69" s="1">
        <v>642376.55039999995</v>
      </c>
      <c r="O69" s="87">
        <f t="shared" si="2"/>
        <v>0.63360749102000002</v>
      </c>
      <c r="P69" s="101">
        <f t="shared" si="3"/>
        <v>407014.59438902658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1"/>
      <c r="B70" s="301"/>
      <c r="C70" s="301"/>
      <c r="D70" s="303"/>
      <c r="E70" s="300"/>
      <c r="F70" s="304"/>
      <c r="G70" s="301"/>
      <c r="H70" s="301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1"/>
      <c r="B71" s="301"/>
      <c r="C71" s="301"/>
      <c r="D71" s="301"/>
      <c r="E71" s="300"/>
      <c r="F71" s="301"/>
      <c r="G71" s="301"/>
      <c r="H71" s="301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1"/>
      <c r="B72" s="301"/>
      <c r="C72" s="301"/>
      <c r="D72" s="303"/>
      <c r="E72" s="300"/>
      <c r="F72" s="304"/>
      <c r="G72" s="301"/>
      <c r="H72" s="301"/>
      <c r="I72" s="88"/>
      <c r="J72" s="88"/>
      <c r="K72" s="106"/>
      <c r="L72" s="87"/>
      <c r="M72" s="88"/>
      <c r="N72" s="93">
        <f t="shared" si="5"/>
        <v>-1439.0000001999999</v>
      </c>
      <c r="O72" s="87">
        <f t="shared" si="2"/>
        <v>0.57275500000000001</v>
      </c>
      <c r="P72" s="101">
        <f t="shared" si="3"/>
        <v>-824.19444511455094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231622.14600000001</v>
      </c>
      <c r="O73" s="87">
        <f t="shared" si="2"/>
        <v>0.59271369255000006</v>
      </c>
      <c r="P73" s="101">
        <f t="shared" si="3"/>
        <v>137285.61743201522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22756</v>
      </c>
      <c r="O74" s="87">
        <f t="shared" si="2"/>
        <v>0.11310000000000001</v>
      </c>
      <c r="P74" s="101">
        <f t="shared" si="3"/>
        <v>2573.7036000000003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208774</v>
      </c>
      <c r="O75" s="87">
        <f t="shared" si="2"/>
        <v>0.68700000000000006</v>
      </c>
      <c r="P75" s="101">
        <f t="shared" si="3"/>
        <v>143427.73800000001</v>
      </c>
      <c r="Q75" s="102">
        <f t="shared" si="4"/>
        <v>9.9546339989804444E-3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200667.37151</v>
      </c>
      <c r="O76" s="87">
        <f t="shared" si="2"/>
        <v>0.67113643274000001</v>
      </c>
      <c r="P76" s="101">
        <f t="shared" si="3"/>
        <v>134675.18388253372</v>
      </c>
      <c r="Q76" s="102">
        <f t="shared" si="4"/>
        <v>8.3495571339466099E-2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0</v>
      </c>
      <c r="O77" s="87">
        <f t="shared" si="2"/>
        <v>0.6</v>
      </c>
      <c r="P77" s="101">
        <f t="shared" si="3"/>
        <v>0</v>
      </c>
      <c r="Q77" s="102">
        <f t="shared" si="4"/>
        <v>0.57999999999999996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200207.00507000001</v>
      </c>
      <c r="O78" s="87">
        <f t="shared" si="2"/>
        <v>0.66608770764000003</v>
      </c>
      <c r="P78" s="101">
        <f t="shared" si="3"/>
        <v>133355.42506054617</v>
      </c>
      <c r="Q78" s="102">
        <f t="shared" si="4"/>
        <v>8.3495571339466099E-2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192143</v>
      </c>
      <c r="O79" s="87">
        <f t="shared" si="2"/>
        <v>0.69336500000000001</v>
      </c>
      <c r="P79" s="101">
        <f t="shared" si="3"/>
        <v>133225.231195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0.68650000000000011</v>
      </c>
      <c r="P80" s="101">
        <f t="shared" si="3"/>
        <v>0</v>
      </c>
      <c r="Q80" s="102">
        <f t="shared" si="4"/>
        <v>8.3495571339466099E-2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0</v>
      </c>
      <c r="O81" s="87">
        <f t="shared" si="2"/>
        <v>0</v>
      </c>
      <c r="P81" s="101">
        <f t="shared" si="3"/>
        <v>0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103878</v>
      </c>
      <c r="O82" s="87">
        <f t="shared" si="2"/>
        <v>0.68680000000000008</v>
      </c>
      <c r="P82" s="101">
        <f t="shared" si="3"/>
        <v>71343.410400000008</v>
      </c>
      <c r="Q82" s="102">
        <f t="shared" si="4"/>
        <v>7.8799999999999995E-2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0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-25608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0.68650000000000011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692.30000017999998</v>
      </c>
      <c r="O94" s="87">
        <f t="shared" si="2"/>
        <v>0.56772</v>
      </c>
      <c r="P94" s="101">
        <f t="shared" si="3"/>
        <v>393.03255610218957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89248.549893000003</v>
      </c>
      <c r="O95" s="87">
        <f t="shared" si="2"/>
        <v>0.6933649999799999</v>
      </c>
      <c r="P95" s="101">
        <f t="shared" si="3"/>
        <v>61881.820794774969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-39560</v>
      </c>
      <c r="O96" s="87">
        <f t="shared" si="2"/>
        <v>0.63039100619999999</v>
      </c>
      <c r="P96" s="101">
        <f t="shared" si="3"/>
        <v>-24938.268205272001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-16357.9</v>
      </c>
      <c r="O97" s="87">
        <f t="shared" si="2"/>
        <v>0.6825</v>
      </c>
      <c r="P97" s="101">
        <f t="shared" si="3"/>
        <v>-11164.266749999999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65670</v>
      </c>
      <c r="O98" s="87">
        <f t="shared" si="2"/>
        <v>0.65</v>
      </c>
      <c r="P98" s="101">
        <f t="shared" si="3"/>
        <v>42685.5</v>
      </c>
      <c r="Q98" s="102">
        <f t="shared" si="4"/>
        <v>5.0000000000000001E-3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-1386.0000026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2"/>
      <c r="L129" s="577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" workbookViewId="0">
      <selection activeCell="B39" sqref="B39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3" t="s">
        <v>133</v>
      </c>
      <c r="C2" s="584"/>
      <c r="D2" s="585"/>
      <c r="F2" s="583" t="s">
        <v>134</v>
      </c>
      <c r="G2" s="584"/>
      <c r="H2" s="585"/>
      <c r="J2" s="586" t="s">
        <v>135</v>
      </c>
      <c r="K2" s="519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0.61651064964000002</v>
      </c>
      <c r="J4" s="125">
        <f t="shared" ref="J4:J30" si="0">+IF(C4&lt;&gt;0,(G4-C4)/C4,ABS(G4-C4))</f>
        <v>0</v>
      </c>
      <c r="K4" s="125">
        <f t="shared" ref="K4:K30" si="1">+IF(D4&lt;&gt;0,(H4-D4)/D4,0)</f>
        <v>6.547999412244856E-3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6.547999412244856E-3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0.63438773739999998</v>
      </c>
      <c r="J5" s="125">
        <f t="shared" si="0"/>
        <v>0</v>
      </c>
      <c r="K5" s="125">
        <f t="shared" si="1"/>
        <v>2.1923181674565208E-3</v>
      </c>
      <c r="L5" s="126"/>
      <c r="M5" s="127">
        <f t="shared" si="2"/>
        <v>0</v>
      </c>
      <c r="N5" s="127">
        <f t="shared" si="3"/>
        <v>2.1923181674565208E-3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0.63360749102000002</v>
      </c>
      <c r="J6" s="125">
        <f t="shared" si="0"/>
        <v>0</v>
      </c>
      <c r="K6" s="125">
        <f t="shared" si="1"/>
        <v>-5.3257597802197588E-3</v>
      </c>
      <c r="L6" s="1"/>
      <c r="M6" s="127">
        <f t="shared" si="2"/>
        <v>0</v>
      </c>
      <c r="N6" s="127">
        <f t="shared" si="3"/>
        <v>5.3257597802197588E-3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-2878</v>
      </c>
      <c r="D9" s="124">
        <f>IF(Utilidad!C6&gt;1,Utilidad!C6/100,Utilidad!C6)</f>
        <v>0.60289999999999999</v>
      </c>
      <c r="F9" s="118" t="s">
        <v>8</v>
      </c>
      <c r="G9" s="123">
        <f>Utilidad!B6</f>
        <v>-1439.0000001999999</v>
      </c>
      <c r="H9" s="124">
        <f>IF(Utilidad!D6&gt;1,Utilidad!D6/100,Utilidad!D6)</f>
        <v>0.57275500000000001</v>
      </c>
      <c r="J9" s="125">
        <f t="shared" si="0"/>
        <v>-0.49999999993050731</v>
      </c>
      <c r="K9" s="125">
        <f t="shared" si="1"/>
        <v>-4.9999999999999961E-2</v>
      </c>
      <c r="L9" s="1"/>
      <c r="M9" s="127">
        <f t="shared" si="2"/>
        <v>0.49999999993050731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231854</v>
      </c>
      <c r="D10" s="124">
        <f>IF(Utilidad!C7&gt;1,Utilidad!C7/100,Utilidad!C7)</f>
        <v>0.58820000000000006</v>
      </c>
      <c r="F10" s="118" t="s">
        <v>139</v>
      </c>
      <c r="G10" s="123">
        <f>Utilidad!B7</f>
        <v>231622.14600000001</v>
      </c>
      <c r="H10" s="124">
        <f>IF(Utilidad!D7&gt;1,Utilidad!D7/100,Utilidad!D7)</f>
        <v>0.59271369255000006</v>
      </c>
      <c r="J10" s="125">
        <f t="shared" si="0"/>
        <v>-9.9999999999996576E-4</v>
      </c>
      <c r="K10" s="125">
        <f t="shared" si="1"/>
        <v>7.6737377592655609E-3</v>
      </c>
      <c r="L10" s="1"/>
      <c r="M10" s="127">
        <f t="shared" si="2"/>
        <v>9.9999999999996576E-4</v>
      </c>
      <c r="N10" s="127">
        <f t="shared" si="3"/>
        <v>7.6737377592655609E-3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22756</v>
      </c>
      <c r="D11" s="124">
        <f>IF(Utilidad!C8&gt;1,Utilidad!C8/100,Utilidad!C8)</f>
        <v>0.11310000000000001</v>
      </c>
      <c r="F11" s="118" t="s">
        <v>87</v>
      </c>
      <c r="G11" s="123">
        <f>Utilidad!B8</f>
        <v>22756</v>
      </c>
      <c r="H11" s="124">
        <f>IF(Utilidad!D8&gt;1,Utilidad!D8/100,Utilidad!D8)</f>
        <v>0.11310000000000001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208774</v>
      </c>
      <c r="D12" s="124">
        <f>IF(Utilidad!C9&gt;1,Utilidad!C9/100,Utilidad!C9)</f>
        <v>0.68700000000000006</v>
      </c>
      <c r="F12" s="118" t="s">
        <v>140</v>
      </c>
      <c r="G12" s="123">
        <f>Utilidad!B9</f>
        <v>208774</v>
      </c>
      <c r="H12" s="124">
        <f>IF(Utilidad!D9&gt;1,Utilidad!D9/100,Utilidad!D9)</f>
        <v>0.68700000000000006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9.9546339989804444E-3</v>
      </c>
    </row>
    <row r="13" spans="2:18" ht="24" x14ac:dyDescent="0.3">
      <c r="B13" s="118" t="s">
        <v>141</v>
      </c>
      <c r="C13" s="123">
        <f>Utilidad!A10</f>
        <v>192143</v>
      </c>
      <c r="D13" s="124">
        <f>IF(Utilidad!C10&gt;1,Utilidad!C10/100,Utilidad!C10)</f>
        <v>0.68650000000000011</v>
      </c>
      <c r="F13" s="118" t="s">
        <v>141</v>
      </c>
      <c r="G13" s="123">
        <f>Utilidad!B10</f>
        <v>200667.37151</v>
      </c>
      <c r="H13" s="124">
        <f>IF(Utilidad!D10&gt;1,Utilidad!D10/100,Utilidad!D10)</f>
        <v>0.67113643274000001</v>
      </c>
      <c r="J13" s="125">
        <f t="shared" si="0"/>
        <v>4.4364725803177824E-2</v>
      </c>
      <c r="K13" s="125">
        <f t="shared" si="1"/>
        <v>-2.2379559009468458E-2</v>
      </c>
      <c r="L13" s="1"/>
      <c r="M13" s="127">
        <f t="shared" si="2"/>
        <v>4.4364725803177824E-2</v>
      </c>
      <c r="N13" s="127">
        <f t="shared" si="3"/>
        <v>2.2379559009468458E-2</v>
      </c>
      <c r="Q13" s="118" t="s">
        <v>141</v>
      </c>
      <c r="R13" s="124">
        <f>Utilidad!E10</f>
        <v>8.3495571339466099E-2</v>
      </c>
    </row>
    <row r="14" spans="2:18" ht="24" x14ac:dyDescent="0.3">
      <c r="B14" s="118" t="s">
        <v>197</v>
      </c>
      <c r="C14" s="123">
        <f>Utilidad!A11</f>
        <v>0</v>
      </c>
      <c r="D14" s="124">
        <f>IF(Utilidad!C11&gt;1,Utilidad!C11/100,Utilidad!C11)</f>
        <v>0.6</v>
      </c>
      <c r="F14" s="118" t="s">
        <v>197</v>
      </c>
      <c r="G14" s="123">
        <f>Utilidad!B11</f>
        <v>0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197</v>
      </c>
      <c r="R14" s="124">
        <f>Utilidad!E11</f>
        <v>0.57999999999999996</v>
      </c>
    </row>
    <row r="15" spans="2:18" ht="24" x14ac:dyDescent="0.3">
      <c r="B15" s="118" t="s">
        <v>259</v>
      </c>
      <c r="C15" s="123">
        <f>Utilidad!A12</f>
        <v>192143</v>
      </c>
      <c r="D15" s="124">
        <f>IF(Utilidad!C12&gt;1,Utilidad!C12/100,Utilidad!C12)</f>
        <v>0.68650000000000011</v>
      </c>
      <c r="F15" s="118" t="s">
        <v>259</v>
      </c>
      <c r="G15" s="123">
        <f>Utilidad!B12</f>
        <v>200207.00507000001</v>
      </c>
      <c r="H15" s="124">
        <f>IF(Utilidad!D12&gt;1,Utilidad!D12/100,Utilidad!D12)</f>
        <v>0.66608770764000003</v>
      </c>
      <c r="J15" s="125">
        <f t="shared" si="0"/>
        <v>4.1968768417272623E-2</v>
      </c>
      <c r="K15" s="125">
        <f t="shared" si="1"/>
        <v>-2.9733856314639592E-2</v>
      </c>
      <c r="L15" s="1"/>
      <c r="M15" s="127">
        <f t="shared" si="2"/>
        <v>4.1968768417272623E-2</v>
      </c>
      <c r="N15" s="127">
        <f t="shared" si="3"/>
        <v>2.9733856314639592E-2</v>
      </c>
      <c r="Q15" s="118" t="s">
        <v>259</v>
      </c>
      <c r="R15" s="124">
        <f>Utilidad!E12</f>
        <v>8.3495571339466099E-2</v>
      </c>
    </row>
    <row r="16" spans="2:18" ht="24" x14ac:dyDescent="0.3">
      <c r="B16" s="118" t="s">
        <v>174</v>
      </c>
      <c r="C16" s="123">
        <f>Utilidad!A13</f>
        <v>192143</v>
      </c>
      <c r="D16" s="124">
        <f>IF(Utilidad!C13&gt;1,Utilidad!C13/100,Utilidad!C13)</f>
        <v>0.68650000000000011</v>
      </c>
      <c r="F16" s="118" t="s">
        <v>174</v>
      </c>
      <c r="G16" s="123">
        <f>Utilidad!B13</f>
        <v>192143</v>
      </c>
      <c r="H16" s="124">
        <f>IF(Utilidad!D13&gt;1,Utilidad!D13/100,Utilidad!D13)</f>
        <v>0.69336500000000001</v>
      </c>
      <c r="J16" s="125">
        <f t="shared" si="0"/>
        <v>0</v>
      </c>
      <c r="K16" s="125">
        <f t="shared" si="1"/>
        <v>9.999999999999851E-3</v>
      </c>
      <c r="L16" s="1"/>
      <c r="M16" s="127">
        <f t="shared" si="2"/>
        <v>0</v>
      </c>
      <c r="N16" s="127">
        <f t="shared" si="3"/>
        <v>9.999999999999851E-3</v>
      </c>
      <c r="Q16" s="118" t="s">
        <v>174</v>
      </c>
      <c r="R16" s="124">
        <f>Utilidad!E13</f>
        <v>8.3495571339466099E-2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0.68650000000000011</v>
      </c>
      <c r="F17" s="118" t="s">
        <v>176</v>
      </c>
      <c r="G17" s="123">
        <f>Utilidad!B14</f>
        <v>0</v>
      </c>
      <c r="H17" s="124">
        <f>IF(Utilidad!D14&gt;1,Utilidad!D14/100,Utilidad!D14)</f>
        <v>0.68650000000000011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8.3495571339466099E-2</v>
      </c>
    </row>
    <row r="18" spans="2:18" ht="24" x14ac:dyDescent="0.3">
      <c r="B18" s="118" t="s">
        <v>142</v>
      </c>
      <c r="C18" s="123">
        <f>Utilidad!A15</f>
        <v>0</v>
      </c>
      <c r="D18" s="124">
        <f>IF(Utilidad!C15&gt;1,Utilidad!C15/100,Utilidad!C15)</f>
        <v>0</v>
      </c>
      <c r="F18" s="118" t="s">
        <v>142</v>
      </c>
      <c r="G18" s="123">
        <f>Utilidad!B15</f>
        <v>0</v>
      </c>
      <c r="H18" s="124">
        <f>IF(Utilidad!D15&gt;1,Utilidad!D15/100,Utilidad!D15)</f>
        <v>0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142</v>
      </c>
      <c r="R18" s="124">
        <f>Utilidad!E15</f>
        <v>8.3495571339466099E-2</v>
      </c>
    </row>
    <row r="19" spans="2:18" ht="24" x14ac:dyDescent="0.3">
      <c r="B19" s="118" t="s">
        <v>182</v>
      </c>
      <c r="C19" s="123">
        <f>Utilidad!A16</f>
        <v>103878</v>
      </c>
      <c r="D19" s="124">
        <f>IF(Utilidad!C16&gt;1,Utilidad!C16/100,Utilidad!C16)</f>
        <v>0.68680000000000008</v>
      </c>
      <c r="F19" s="118" t="s">
        <v>182</v>
      </c>
      <c r="G19" s="123">
        <f>Utilidad!B16</f>
        <v>103878</v>
      </c>
      <c r="H19" s="124">
        <f>IF(Utilidad!D16&gt;1,Utilidad!D16/100,Utilidad!D16)</f>
        <v>0.68680000000000008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7.8799999999999995E-2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0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-51216</v>
      </c>
      <c r="D27" s="124">
        <f>IF(Utilidad!C24&gt;1,Utilidad!C24/100,Utilidad!C24)</f>
        <v>0</v>
      </c>
      <c r="F27" s="118" t="s">
        <v>10</v>
      </c>
      <c r="G27" s="123">
        <f>Utilidad!B24</f>
        <v>-25608</v>
      </c>
      <c r="H27" s="124">
        <f>IF(Utilidad!D24&gt;1,Utilidad!D24/100,Utilidad!D24)</f>
        <v>0</v>
      </c>
      <c r="J27" s="125">
        <f t="shared" si="0"/>
        <v>-0.5</v>
      </c>
      <c r="K27" s="125">
        <f t="shared" si="1"/>
        <v>0</v>
      </c>
      <c r="L27" s="1"/>
      <c r="M27" s="127">
        <f t="shared" si="2"/>
        <v>0.5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0</v>
      </c>
      <c r="D28" s="124">
        <f>IF(Utilidad!C25&gt;1,Utilidad!C25/100,Utilidad!C25)</f>
        <v>0</v>
      </c>
      <c r="F28" s="118" t="s">
        <v>200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0</v>
      </c>
    </row>
    <row r="29" spans="2:18" ht="24" x14ac:dyDescent="0.3">
      <c r="B29" s="311" t="s">
        <v>260</v>
      </c>
      <c r="C29" s="312">
        <f>Utilidad!A26</f>
        <v>0</v>
      </c>
      <c r="D29" s="313">
        <f>IF(Utilidad!C26&gt;1,Utilidad!C26/100,Utilidad!C26)</f>
        <v>0</v>
      </c>
      <c r="E29" s="314"/>
      <c r="F29" s="311" t="s">
        <v>260</v>
      </c>
      <c r="G29" s="312">
        <f>Utilidad!B26</f>
        <v>0</v>
      </c>
      <c r="H29" s="313">
        <f>IF(Utilidad!D26&gt;1,Utilidad!D26/100,Utilidad!D26)</f>
        <v>0</v>
      </c>
      <c r="I29" s="314"/>
      <c r="J29" s="315">
        <f t="shared" si="0"/>
        <v>0</v>
      </c>
      <c r="K29" s="315">
        <f t="shared" si="1"/>
        <v>0</v>
      </c>
      <c r="L29" s="316"/>
      <c r="M29" s="317">
        <f t="shared" si="2"/>
        <v>0</v>
      </c>
      <c r="N29" s="317">
        <f t="shared" si="3"/>
        <v>0</v>
      </c>
      <c r="O29" s="314"/>
      <c r="P29" s="314"/>
      <c r="Q29" s="311" t="s">
        <v>260</v>
      </c>
      <c r="R29" s="313">
        <f>Utilidad!E26</f>
        <v>0.01</v>
      </c>
    </row>
    <row r="30" spans="2:18" ht="24" x14ac:dyDescent="0.3">
      <c r="B30" s="323" t="s">
        <v>261</v>
      </c>
      <c r="C30" s="324">
        <f>Utilidad!A27</f>
        <v>0</v>
      </c>
      <c r="D30" s="325">
        <f>IF(Utilidad!C27&gt;1,Utilidad!C27/100,Utilidad!C27)</f>
        <v>0.68650000000000011</v>
      </c>
      <c r="E30" s="326"/>
      <c r="F30" s="323" t="s">
        <v>261</v>
      </c>
      <c r="G30" s="324">
        <f>Utilidad!B27</f>
        <v>0</v>
      </c>
      <c r="H30" s="325">
        <f>IF(Utilidad!D27&gt;1,Utilidad!D27/100,Utilidad!D27)</f>
        <v>0.68650000000000011</v>
      </c>
      <c r="I30" s="326"/>
      <c r="J30" s="327">
        <f t="shared" si="0"/>
        <v>0</v>
      </c>
      <c r="K30" s="327">
        <f t="shared" si="1"/>
        <v>0</v>
      </c>
      <c r="L30" s="328"/>
      <c r="M30" s="329">
        <f t="shared" si="2"/>
        <v>0</v>
      </c>
      <c r="N30" s="329">
        <f t="shared" si="3"/>
        <v>0</v>
      </c>
      <c r="O30" s="326"/>
      <c r="P30" s="326"/>
      <c r="Q30" s="323" t="s">
        <v>261</v>
      </c>
      <c r="R30" s="325">
        <f>Utilidad!E27</f>
        <v>0.01</v>
      </c>
    </row>
    <row r="31" spans="2:18" ht="15.75" customHeight="1" x14ac:dyDescent="0.3">
      <c r="B31" s="311" t="s">
        <v>269</v>
      </c>
      <c r="C31" s="324">
        <f>Utilidad!A28</f>
        <v>989</v>
      </c>
      <c r="D31" s="325">
        <f>IF(Utilidad!C28&gt;1,Utilidad!C28/100,Utilidad!C28)</f>
        <v>0.59760000000000002</v>
      </c>
      <c r="E31" s="314"/>
      <c r="F31" s="311" t="s">
        <v>269</v>
      </c>
      <c r="G31" s="324">
        <f>Utilidad!B28</f>
        <v>692.30000017999998</v>
      </c>
      <c r="H31" s="325">
        <f>IF(Utilidad!D28&gt;1,Utilidad!D28/100,Utilidad!D28)</f>
        <v>0.56772</v>
      </c>
      <c r="I31" s="314"/>
      <c r="J31" s="327">
        <f t="shared" ref="J31" si="4">+IF(C31&lt;&gt;0,(G31-C31)/C31,ABS(G31-C31))</f>
        <v>-0.29999999981799802</v>
      </c>
      <c r="K31" s="327">
        <f t="shared" ref="K31" si="5">+IF(D31&lt;&gt;0,(H31-D31)/D31,0)</f>
        <v>-5.0000000000000031E-2</v>
      </c>
      <c r="L31" s="316"/>
      <c r="M31" s="329">
        <f t="shared" ref="M31" si="6">+IF(J31&lt;&gt;"",ABS(J31),0)</f>
        <v>0.29999999981799802</v>
      </c>
      <c r="N31" s="329">
        <f t="shared" ref="N31" si="7">+IF(J31&lt;&gt;"",ABS(K31),0)</f>
        <v>5.0000000000000031E-2</v>
      </c>
      <c r="O31" s="314"/>
      <c r="P31" s="314"/>
      <c r="Q31" s="118" t="s">
        <v>269</v>
      </c>
      <c r="R31" s="325">
        <f>Utilidad!E28</f>
        <v>9.6968121743781464E-3</v>
      </c>
    </row>
    <row r="32" spans="2:18" ht="24" x14ac:dyDescent="0.3">
      <c r="B32" s="311" t="s">
        <v>9</v>
      </c>
      <c r="C32" s="324">
        <f>Utilidad!A29</f>
        <v>91681</v>
      </c>
      <c r="D32" s="325">
        <f>IF(Utilidad!C29&gt;1,Utilidad!C29/100,Utilidad!C29)</f>
        <v>0.68650000000000011</v>
      </c>
      <c r="E32" s="314"/>
      <c r="F32" s="311" t="s">
        <v>9</v>
      </c>
      <c r="G32" s="324">
        <f>Utilidad!B29</f>
        <v>89248.549893000003</v>
      </c>
      <c r="H32" s="325">
        <f>IF(Utilidad!D29&gt;1,Utilidad!D29/100,Utilidad!D29)</f>
        <v>0.6933649999799999</v>
      </c>
      <c r="I32" s="314"/>
      <c r="J32" s="327">
        <f t="shared" ref="J32" si="8">+IF(C32&lt;&gt;0,(G32-C32)/C32,ABS(G32-C32))</f>
        <v>-2.6531670760571949E-2</v>
      </c>
      <c r="K32" s="327">
        <f t="shared" ref="K32" si="9">+IF(D32&lt;&gt;0,(H32-D32)/D32,0)</f>
        <v>9.9999999708664019E-3</v>
      </c>
      <c r="L32" s="316"/>
      <c r="M32" s="329">
        <f t="shared" ref="M32" si="10">+IF(J32&lt;&gt;"",ABS(J32),0)</f>
        <v>2.6531670760571949E-2</v>
      </c>
      <c r="N32" s="329">
        <f t="shared" ref="N32" si="11">+IF(J32&lt;&gt;"",ABS(K32),0)</f>
        <v>9.9999999708664019E-3</v>
      </c>
      <c r="O32" s="314"/>
      <c r="P32" s="314"/>
      <c r="Q32" s="311" t="s">
        <v>9</v>
      </c>
      <c r="R32" s="325">
        <f>Utilidad!E29</f>
        <v>7.6449041795111791E-2</v>
      </c>
    </row>
    <row r="33" spans="2:18" ht="24" x14ac:dyDescent="0.3">
      <c r="B33" s="311" t="s">
        <v>271</v>
      </c>
      <c r="C33" s="324">
        <f>Utilidad!A30</f>
        <v>-39912</v>
      </c>
      <c r="D33" s="325">
        <f>IF(Utilidad!C30&gt;1,Utilidad!C30/100,Utilidad!C30)</f>
        <v>0.63300000000000001</v>
      </c>
      <c r="E33" s="314"/>
      <c r="F33" s="311" t="s">
        <v>271</v>
      </c>
      <c r="G33" s="324">
        <f>Utilidad!B30</f>
        <v>-39560</v>
      </c>
      <c r="H33" s="325">
        <f>IF(Utilidad!D30&gt;1,Utilidad!D30/100,Utilidad!D30)</f>
        <v>0.63039100619999999</v>
      </c>
      <c r="I33" s="314"/>
      <c r="J33" s="327">
        <f t="shared" ref="J33" si="12">+IF(C33&lt;&gt;0,(G33-C33)/C33,ABS(G33-C33))</f>
        <v>-8.8194026859090002E-3</v>
      </c>
      <c r="K33" s="327">
        <f t="shared" ref="K33" si="13">+IF(D33&lt;&gt;0,(H33-D33)/D33,0)</f>
        <v>-4.1216331753554736E-3</v>
      </c>
      <c r="L33" s="316"/>
      <c r="M33" s="329">
        <f t="shared" ref="M33" si="14">+IF(J33&lt;&gt;"",ABS(J33),0)</f>
        <v>8.8194026859090002E-3</v>
      </c>
      <c r="N33" s="329">
        <f t="shared" ref="N33" si="15">+IF(J33&lt;&gt;"",ABS(K33),0)</f>
        <v>4.1216331753554736E-3</v>
      </c>
      <c r="O33" s="314"/>
      <c r="P33" s="314"/>
      <c r="Q33" s="311" t="s">
        <v>271</v>
      </c>
      <c r="R33" s="325">
        <f>Utilidad!E30</f>
        <v>9.6713366074297497E-3</v>
      </c>
    </row>
    <row r="34" spans="2:18" ht="24" x14ac:dyDescent="0.3">
      <c r="B34" s="311" t="s">
        <v>272</v>
      </c>
      <c r="C34" s="324">
        <f>Utilidad!A31</f>
        <v>-12583</v>
      </c>
      <c r="D34" s="325">
        <f>IF(Utilidad!C31&gt;1,Utilidad!C31/100,Utilidad!C31)</f>
        <v>0.65</v>
      </c>
      <c r="E34" s="314"/>
      <c r="F34" s="311" t="s">
        <v>272</v>
      </c>
      <c r="G34" s="324">
        <f>Utilidad!B31</f>
        <v>-16357.9</v>
      </c>
      <c r="H34" s="325">
        <f>IF(Utilidad!D31&gt;1,Utilidad!D31/100,Utilidad!D31)</f>
        <v>0.6825</v>
      </c>
      <c r="I34" s="314"/>
      <c r="J34" s="327">
        <f t="shared" ref="J34:J35" si="16">+IF(C34&lt;&gt;0,(G34-C34)/C34,ABS(G34-C34))</f>
        <v>0.3</v>
      </c>
      <c r="K34" s="327">
        <f t="shared" ref="K34:K35" si="17">+IF(D34&lt;&gt;0,(H34-D34)/D34,0)</f>
        <v>4.9999999999999954E-2</v>
      </c>
      <c r="L34" s="316"/>
      <c r="M34" s="329">
        <f t="shared" ref="M34:M35" si="18">+IF(J34&lt;&gt;"",ABS(J34),0)</f>
        <v>0.3</v>
      </c>
      <c r="N34" s="329">
        <f t="shared" ref="N34:N35" si="19">+IF(J34&lt;&gt;"",ABS(K34),0)</f>
        <v>4.9999999999999954E-2</v>
      </c>
      <c r="O34" s="314"/>
      <c r="P34" s="314"/>
      <c r="Q34" s="311" t="s">
        <v>272</v>
      </c>
      <c r="R34" s="325">
        <f>Utilidad!E31</f>
        <v>5.0000000000000001E-3</v>
      </c>
    </row>
    <row r="35" spans="2:18" ht="24" x14ac:dyDescent="0.3">
      <c r="B35" s="311" t="s">
        <v>273</v>
      </c>
      <c r="C35" s="324">
        <f>Utilidad!A32</f>
        <v>65670</v>
      </c>
      <c r="D35" s="325">
        <f>IF(Utilidad!C32&gt;1,Utilidad!C32/100,Utilidad!C32)</f>
        <v>0.65</v>
      </c>
      <c r="E35" s="314"/>
      <c r="F35" s="311" t="s">
        <v>273</v>
      </c>
      <c r="G35" s="324">
        <f>Utilidad!B32</f>
        <v>65670</v>
      </c>
      <c r="H35" s="325">
        <f>IF(Utilidad!D32&gt;1,Utilidad!D32/100,Utilidad!D32)</f>
        <v>0.65</v>
      </c>
      <c r="I35" s="314"/>
      <c r="J35" s="327">
        <f t="shared" si="16"/>
        <v>0</v>
      </c>
      <c r="K35" s="327">
        <f t="shared" si="17"/>
        <v>0</v>
      </c>
      <c r="L35" s="316"/>
      <c r="M35" s="329">
        <f t="shared" si="18"/>
        <v>0</v>
      </c>
      <c r="N35" s="329">
        <f t="shared" si="19"/>
        <v>0</v>
      </c>
      <c r="O35" s="314"/>
      <c r="P35" s="314"/>
      <c r="Q35" s="311" t="s">
        <v>273</v>
      </c>
      <c r="R35" s="325">
        <f>Utilidad!E32</f>
        <v>5.0000000000000001E-3</v>
      </c>
    </row>
    <row r="36" spans="2:18" ht="15.75" customHeight="1" x14ac:dyDescent="0.3">
      <c r="B36" s="311" t="s">
        <v>298</v>
      </c>
      <c r="C36" s="324">
        <f>Utilidad!A33</f>
        <v>-1980</v>
      </c>
      <c r="D36" s="325">
        <f>IF(Utilidad!C33&gt;1,Utilidad!C33/100,Utilidad!C33)</f>
        <v>0</v>
      </c>
      <c r="E36" s="314"/>
      <c r="F36" s="311" t="s">
        <v>298</v>
      </c>
      <c r="G36" s="324">
        <f>Utilidad!B33</f>
        <v>-1386.0000026</v>
      </c>
      <c r="H36" s="325">
        <f>IF(Utilidad!D33&gt;1,Utilidad!D33/100,Utilidad!D33)</f>
        <v>0</v>
      </c>
      <c r="I36" s="314"/>
      <c r="J36" s="327">
        <f t="shared" ref="J36" si="20">+IF(C36&lt;&gt;0,(G36-C36)/C36,ABS(G36-C36))</f>
        <v>-0.29999999868686866</v>
      </c>
      <c r="K36" s="327">
        <f t="shared" ref="K36" si="21">+IF(D36&lt;&gt;0,(H36-D36)/D36,0)</f>
        <v>0</v>
      </c>
      <c r="L36" s="316"/>
      <c r="M36" s="329">
        <f t="shared" ref="M36" si="22">+IF(J36&lt;&gt;"",ABS(J36),0)</f>
        <v>0.29999999868686866</v>
      </c>
      <c r="N36" s="329">
        <f t="shared" ref="N36" si="23">+IF(J36&lt;&gt;"",ABS(K36),0)</f>
        <v>0</v>
      </c>
      <c r="O36" s="314"/>
      <c r="P36" s="314"/>
      <c r="Q36" s="311" t="s">
        <v>298</v>
      </c>
      <c r="R36" s="325">
        <f>Utilidad!E33</f>
        <v>0</v>
      </c>
    </row>
    <row r="37" spans="2:18" ht="15.75" customHeight="1" x14ac:dyDescent="0.3">
      <c r="B37" s="318"/>
      <c r="C37" s="319"/>
      <c r="D37" s="320"/>
      <c r="E37" s="314"/>
      <c r="F37" s="318"/>
      <c r="G37" s="319"/>
      <c r="H37" s="320"/>
      <c r="I37" s="314"/>
      <c r="J37" s="321"/>
      <c r="K37" s="321"/>
      <c r="L37" s="316"/>
      <c r="M37" s="322"/>
      <c r="N37" s="322"/>
      <c r="O37" s="314"/>
      <c r="P37" s="314"/>
      <c r="Q37" s="318"/>
      <c r="R37" s="320"/>
    </row>
    <row r="38" spans="2:18" ht="15.75" customHeight="1" x14ac:dyDescent="0.3">
      <c r="B38" s="318"/>
      <c r="C38" s="319"/>
      <c r="D38" s="320"/>
      <c r="E38" s="314"/>
      <c r="F38" s="318"/>
      <c r="G38" s="319"/>
      <c r="H38" s="320"/>
      <c r="I38" s="314"/>
      <c r="J38" s="321"/>
      <c r="K38" s="321"/>
      <c r="L38" s="316"/>
      <c r="M38" s="322"/>
      <c r="N38" s="322"/>
      <c r="O38" s="314"/>
      <c r="P38" s="314"/>
      <c r="Q38" s="318"/>
      <c r="R38" s="320"/>
    </row>
    <row r="39" spans="2:18" ht="15.75" customHeight="1" x14ac:dyDescent="0.3">
      <c r="B39" s="318"/>
      <c r="C39" s="319"/>
      <c r="D39" s="320"/>
      <c r="E39" s="314"/>
      <c r="F39" s="318"/>
      <c r="G39" s="319"/>
      <c r="H39" s="320"/>
      <c r="I39" s="314"/>
      <c r="J39" s="321"/>
      <c r="K39" s="321"/>
      <c r="L39" s="316"/>
      <c r="M39" s="322"/>
      <c r="N39" s="322"/>
      <c r="O39" s="314"/>
      <c r="P39" s="314"/>
      <c r="Q39" s="318"/>
      <c r="R39" s="320"/>
    </row>
    <row r="40" spans="2:18" ht="15.75" customHeight="1" x14ac:dyDescent="0.3">
      <c r="B40" s="318"/>
      <c r="C40" s="319"/>
      <c r="D40" s="320"/>
      <c r="E40" s="314"/>
      <c r="F40" s="318"/>
      <c r="G40" s="319"/>
      <c r="H40" s="320"/>
      <c r="I40" s="314"/>
      <c r="J40" s="321"/>
      <c r="K40" s="321"/>
      <c r="L40" s="316"/>
      <c r="M40" s="322"/>
      <c r="N40" s="322"/>
      <c r="O40" s="314"/>
      <c r="P40" s="314"/>
      <c r="Q40" s="318"/>
      <c r="R40" s="320"/>
    </row>
    <row r="41" spans="2:18" ht="15.75" customHeight="1" x14ac:dyDescent="0.3">
      <c r="B41" s="318"/>
      <c r="C41" s="319"/>
      <c r="D41" s="320"/>
      <c r="E41" s="314"/>
      <c r="F41" s="318"/>
      <c r="G41" s="319"/>
      <c r="H41" s="320"/>
      <c r="I41" s="314"/>
      <c r="J41" s="321"/>
      <c r="K41" s="321"/>
      <c r="L41" s="316"/>
      <c r="M41" s="322"/>
      <c r="N41" s="322"/>
      <c r="O41" s="314"/>
      <c r="P41" s="314"/>
      <c r="Q41" s="318"/>
      <c r="R41" s="320"/>
    </row>
    <row r="42" spans="2:18" ht="15.75" customHeight="1" x14ac:dyDescent="0.3">
      <c r="B42" s="318"/>
      <c r="C42" s="319"/>
      <c r="D42" s="320"/>
      <c r="E42" s="314"/>
      <c r="F42" s="318"/>
      <c r="G42" s="319"/>
      <c r="H42" s="320"/>
      <c r="I42" s="314"/>
      <c r="J42" s="321"/>
      <c r="K42" s="321"/>
      <c r="L42" s="316"/>
      <c r="M42" s="322"/>
      <c r="N42" s="322"/>
      <c r="O42" s="314"/>
      <c r="P42" s="314"/>
      <c r="Q42" s="318"/>
      <c r="R42" s="320"/>
    </row>
    <row r="43" spans="2:18" ht="15.75" customHeight="1" x14ac:dyDescent="0.3">
      <c r="B43" s="318"/>
      <c r="C43" s="319"/>
      <c r="D43" s="320"/>
      <c r="E43" s="314"/>
      <c r="F43" s="318"/>
      <c r="G43" s="319"/>
      <c r="H43" s="320"/>
      <c r="I43" s="314"/>
      <c r="J43" s="321"/>
      <c r="K43" s="321"/>
      <c r="L43" s="316"/>
      <c r="M43" s="322"/>
      <c r="N43" s="322"/>
      <c r="O43" s="314"/>
      <c r="P43" s="314"/>
      <c r="Q43" s="318"/>
      <c r="R43" s="320"/>
    </row>
    <row r="44" spans="2:18" ht="15.75" customHeight="1" x14ac:dyDescent="0.3">
      <c r="B44" s="318"/>
      <c r="C44" s="319"/>
      <c r="D44" s="320"/>
      <c r="E44" s="314"/>
      <c r="F44" s="318"/>
      <c r="G44" s="319"/>
      <c r="H44" s="320"/>
      <c r="I44" s="314"/>
      <c r="J44" s="321"/>
      <c r="K44" s="321"/>
      <c r="L44" s="316"/>
      <c r="M44" s="322"/>
      <c r="N44" s="322"/>
      <c r="O44" s="314"/>
      <c r="P44" s="314"/>
      <c r="Q44" s="318"/>
      <c r="R44" s="320"/>
    </row>
    <row r="45" spans="2:18" ht="15.75" customHeight="1" x14ac:dyDescent="0.3">
      <c r="B45" s="318"/>
      <c r="C45" s="319"/>
      <c r="D45" s="320"/>
      <c r="E45" s="314"/>
      <c r="F45" s="318"/>
      <c r="G45" s="319"/>
      <c r="H45" s="320"/>
      <c r="I45" s="314"/>
      <c r="J45" s="321"/>
      <c r="K45" s="321"/>
      <c r="L45" s="316"/>
      <c r="M45" s="322"/>
      <c r="N45" s="322"/>
      <c r="O45" s="314"/>
      <c r="P45" s="314"/>
      <c r="Q45" s="318"/>
      <c r="R45" s="320"/>
    </row>
    <row r="46" spans="2:18" ht="15.75" customHeight="1" x14ac:dyDescent="0.3">
      <c r="B46" s="318"/>
      <c r="C46" s="319"/>
      <c r="D46" s="320"/>
      <c r="E46" s="314"/>
      <c r="F46" s="318"/>
      <c r="G46" s="319"/>
      <c r="H46" s="320"/>
      <c r="I46" s="314"/>
      <c r="J46" s="321"/>
      <c r="K46" s="321"/>
      <c r="L46" s="316"/>
      <c r="M46" s="322"/>
      <c r="N46" s="322"/>
      <c r="O46" s="314"/>
      <c r="P46" s="314"/>
      <c r="Q46" s="318"/>
      <c r="R46" s="320"/>
    </row>
    <row r="47" spans="2:18" ht="15.75" customHeight="1" x14ac:dyDescent="0.3">
      <c r="B47" s="318"/>
      <c r="C47" s="319"/>
      <c r="D47" s="320"/>
      <c r="E47" s="314"/>
      <c r="F47" s="318"/>
      <c r="G47" s="319"/>
      <c r="H47" s="320"/>
      <c r="I47" s="314"/>
      <c r="J47" s="321"/>
      <c r="K47" s="321"/>
      <c r="L47" s="316"/>
      <c r="M47" s="322"/>
      <c r="N47" s="322"/>
      <c r="O47" s="314"/>
      <c r="P47" s="314"/>
      <c r="Q47" s="318"/>
      <c r="R47" s="320"/>
    </row>
    <row r="48" spans="2:18" ht="15.75" customHeight="1" x14ac:dyDescent="0.3">
      <c r="B48" s="318"/>
      <c r="C48" s="319"/>
      <c r="D48" s="320"/>
      <c r="E48" s="314"/>
      <c r="F48" s="318"/>
      <c r="G48" s="319"/>
      <c r="H48" s="320"/>
      <c r="I48" s="314"/>
      <c r="J48" s="321"/>
      <c r="K48" s="321"/>
      <c r="L48" s="316"/>
      <c r="M48" s="322"/>
      <c r="N48" s="322"/>
      <c r="O48" s="314"/>
      <c r="P48" s="314"/>
      <c r="Q48" s="318"/>
      <c r="R48" s="320"/>
    </row>
    <row r="49" spans="2:18" ht="15.75" customHeight="1" x14ac:dyDescent="0.3">
      <c r="B49" s="318"/>
      <c r="C49" s="319"/>
      <c r="D49" s="320"/>
      <c r="E49" s="314"/>
      <c r="F49" s="318"/>
      <c r="G49" s="319"/>
      <c r="H49" s="320"/>
      <c r="I49" s="314"/>
      <c r="J49" s="321"/>
      <c r="K49" s="321"/>
      <c r="L49" s="316"/>
      <c r="M49" s="322"/>
      <c r="N49" s="322"/>
      <c r="O49" s="314"/>
      <c r="P49" s="314"/>
      <c r="Q49" s="318"/>
      <c r="R49" s="320"/>
    </row>
    <row r="50" spans="2:18" ht="15.75" customHeight="1" x14ac:dyDescent="0.3">
      <c r="B50" s="318"/>
      <c r="C50" s="319"/>
      <c r="D50" s="320"/>
      <c r="E50" s="314"/>
      <c r="F50" s="318"/>
      <c r="G50" s="319"/>
      <c r="H50" s="320"/>
      <c r="I50" s="314"/>
      <c r="J50" s="321"/>
      <c r="K50" s="321"/>
      <c r="L50" s="316"/>
      <c r="M50" s="322"/>
      <c r="N50" s="322"/>
      <c r="O50" s="314"/>
      <c r="P50" s="314"/>
      <c r="Q50" s="318"/>
      <c r="R50" s="320"/>
    </row>
    <row r="51" spans="2:18" ht="15.75" customHeight="1" x14ac:dyDescent="0.3">
      <c r="B51" s="318"/>
      <c r="C51" s="319"/>
      <c r="D51" s="320"/>
      <c r="E51" s="314"/>
      <c r="F51" s="318"/>
      <c r="G51" s="319"/>
      <c r="H51" s="320"/>
      <c r="I51" s="314"/>
      <c r="J51" s="321"/>
      <c r="K51" s="321"/>
      <c r="L51" s="316"/>
      <c r="M51" s="322"/>
      <c r="N51" s="322"/>
      <c r="O51" s="314"/>
      <c r="P51" s="314"/>
      <c r="Q51" s="318"/>
      <c r="R51" s="320"/>
    </row>
    <row r="52" spans="2:18" ht="15.75" customHeight="1" x14ac:dyDescent="0.3">
      <c r="B52" s="318"/>
      <c r="C52" s="319"/>
      <c r="D52" s="320"/>
      <c r="E52" s="314"/>
      <c r="F52" s="318"/>
      <c r="G52" s="319"/>
      <c r="H52" s="320"/>
      <c r="I52" s="314"/>
      <c r="J52" s="321"/>
      <c r="K52" s="321"/>
      <c r="L52" s="316"/>
      <c r="M52" s="322"/>
      <c r="N52" s="322"/>
      <c r="O52" s="314"/>
      <c r="P52" s="314"/>
      <c r="Q52" s="318"/>
      <c r="R52" s="320"/>
    </row>
    <row r="53" spans="2:18" ht="15.75" customHeight="1" x14ac:dyDescent="0.3">
      <c r="B53" s="318"/>
      <c r="C53" s="319"/>
      <c r="D53" s="320"/>
      <c r="E53" s="314"/>
      <c r="F53" s="318"/>
      <c r="G53" s="319"/>
      <c r="H53" s="320"/>
      <c r="I53" s="314"/>
      <c r="J53" s="321"/>
      <c r="K53" s="321"/>
      <c r="L53" s="316"/>
      <c r="M53" s="322"/>
      <c r="N53" s="322"/>
      <c r="O53" s="314"/>
      <c r="P53" s="314"/>
      <c r="Q53" s="318"/>
      <c r="R53" s="320"/>
    </row>
    <row r="54" spans="2:18" ht="15.75" customHeight="1" x14ac:dyDescent="0.3">
      <c r="B54" s="318"/>
      <c r="C54" s="319"/>
      <c r="D54" s="320"/>
      <c r="E54" s="314"/>
      <c r="F54" s="318"/>
      <c r="G54" s="319"/>
      <c r="H54" s="320"/>
      <c r="I54" s="314"/>
      <c r="J54" s="321"/>
      <c r="K54" s="321"/>
      <c r="L54" s="316"/>
      <c r="M54" s="322"/>
      <c r="N54" s="322"/>
      <c r="O54" s="314"/>
      <c r="P54" s="314"/>
      <c r="Q54" s="318"/>
      <c r="R54" s="320"/>
    </row>
    <row r="55" spans="2:18" ht="15.75" customHeight="1" x14ac:dyDescent="0.3">
      <c r="B55" s="318"/>
      <c r="C55" s="319"/>
      <c r="D55" s="320"/>
      <c r="E55" s="314"/>
      <c r="F55" s="318"/>
      <c r="G55" s="319"/>
      <c r="H55" s="320"/>
      <c r="I55" s="314"/>
      <c r="J55" s="321"/>
      <c r="K55" s="321"/>
      <c r="L55" s="316"/>
      <c r="M55" s="322"/>
      <c r="N55" s="322"/>
      <c r="O55" s="314"/>
      <c r="P55" s="314"/>
      <c r="Q55" s="318"/>
      <c r="R55" s="320"/>
    </row>
    <row r="56" spans="2:18" ht="15.75" customHeight="1" x14ac:dyDescent="0.3">
      <c r="B56" s="318"/>
      <c r="C56" s="319"/>
      <c r="D56" s="320"/>
      <c r="E56" s="314"/>
      <c r="F56" s="318"/>
      <c r="G56" s="319"/>
      <c r="H56" s="320"/>
      <c r="I56" s="314"/>
      <c r="J56" s="321"/>
      <c r="K56" s="321"/>
      <c r="L56" s="316"/>
      <c r="M56" s="322"/>
      <c r="N56" s="322"/>
      <c r="O56" s="314"/>
      <c r="P56" s="314"/>
      <c r="Q56" s="318"/>
      <c r="R56" s="320"/>
    </row>
    <row r="57" spans="2:18" ht="15.75" customHeight="1" x14ac:dyDescent="0.3">
      <c r="B57" s="318"/>
      <c r="C57" s="319"/>
      <c r="D57" s="320"/>
      <c r="E57" s="314"/>
      <c r="F57" s="318"/>
      <c r="G57" s="319"/>
      <c r="H57" s="320"/>
      <c r="I57" s="314"/>
      <c r="J57" s="321"/>
      <c r="K57" s="321"/>
      <c r="L57" s="316"/>
      <c r="M57" s="322"/>
      <c r="N57" s="322"/>
      <c r="O57" s="314"/>
      <c r="P57" s="314"/>
      <c r="Q57" s="318"/>
      <c r="R57" s="320"/>
    </row>
    <row r="58" spans="2:18" ht="15.75" customHeight="1" x14ac:dyDescent="0.3">
      <c r="B58" s="318"/>
      <c r="C58" s="319"/>
      <c r="D58" s="320"/>
      <c r="E58" s="314"/>
      <c r="F58" s="318"/>
      <c r="G58" s="319"/>
      <c r="H58" s="320"/>
      <c r="I58" s="314"/>
      <c r="J58" s="321"/>
      <c r="K58" s="321"/>
      <c r="L58" s="316"/>
      <c r="M58" s="322"/>
      <c r="N58" s="322"/>
      <c r="O58" s="314"/>
      <c r="P58" s="314"/>
      <c r="Q58" s="318"/>
      <c r="R58" s="320"/>
    </row>
    <row r="59" spans="2:18" ht="15.75" customHeight="1" x14ac:dyDescent="0.3">
      <c r="B59" s="318"/>
      <c r="C59" s="319"/>
      <c r="D59" s="320"/>
      <c r="E59" s="314"/>
      <c r="F59" s="318"/>
      <c r="G59" s="319"/>
      <c r="H59" s="320"/>
      <c r="I59" s="314"/>
      <c r="J59" s="321"/>
      <c r="K59" s="321"/>
      <c r="L59" s="316"/>
      <c r="M59" s="322"/>
      <c r="N59" s="322"/>
      <c r="O59" s="314"/>
      <c r="P59" s="314"/>
      <c r="Q59" s="318"/>
      <c r="R59" s="320"/>
    </row>
    <row r="60" spans="2:18" ht="15.75" customHeight="1" x14ac:dyDescent="0.3">
      <c r="B60" s="318"/>
      <c r="C60" s="319"/>
      <c r="D60" s="320"/>
      <c r="E60" s="314"/>
      <c r="F60" s="318"/>
      <c r="G60" s="319"/>
      <c r="H60" s="320"/>
      <c r="I60" s="314"/>
      <c r="J60" s="321"/>
      <c r="K60" s="321"/>
      <c r="L60" s="316"/>
      <c r="M60" s="322"/>
      <c r="N60" s="322"/>
      <c r="O60" s="314"/>
      <c r="P60" s="314"/>
      <c r="Q60" s="318"/>
      <c r="R60" s="320"/>
    </row>
    <row r="61" spans="2:18" ht="15.75" customHeight="1" x14ac:dyDescent="0.3">
      <c r="B61" s="318"/>
      <c r="C61" s="319"/>
      <c r="D61" s="320"/>
      <c r="E61" s="314"/>
      <c r="F61" s="318"/>
      <c r="G61" s="319"/>
      <c r="H61" s="320"/>
      <c r="I61" s="314"/>
      <c r="J61" s="321"/>
      <c r="K61" s="321"/>
      <c r="L61" s="316"/>
      <c r="M61" s="322"/>
      <c r="N61" s="322"/>
      <c r="O61" s="314"/>
      <c r="P61" s="314"/>
      <c r="Q61" s="318"/>
      <c r="R61" s="320"/>
    </row>
    <row r="62" spans="2:18" ht="15.75" customHeight="1" x14ac:dyDescent="0.3">
      <c r="B62" s="318"/>
      <c r="C62" s="319"/>
      <c r="D62" s="320"/>
      <c r="E62" s="314"/>
      <c r="F62" s="318"/>
      <c r="G62" s="319"/>
      <c r="H62" s="320"/>
      <c r="I62" s="314"/>
      <c r="J62" s="321"/>
      <c r="K62" s="321"/>
      <c r="L62" s="316"/>
      <c r="M62" s="322"/>
      <c r="N62" s="322"/>
      <c r="O62" s="314"/>
      <c r="P62" s="314"/>
      <c r="Q62" s="318"/>
      <c r="R62" s="320"/>
    </row>
    <row r="63" spans="2:18" ht="15.75" customHeight="1" x14ac:dyDescent="0.3">
      <c r="B63" s="318"/>
      <c r="C63" s="319"/>
      <c r="D63" s="320"/>
      <c r="E63" s="314"/>
      <c r="F63" s="318"/>
      <c r="G63" s="319"/>
      <c r="H63" s="320"/>
      <c r="I63" s="314"/>
      <c r="J63" s="321"/>
      <c r="K63" s="321"/>
      <c r="L63" s="316"/>
      <c r="M63" s="322"/>
      <c r="N63" s="322"/>
      <c r="O63" s="314"/>
      <c r="P63" s="314"/>
      <c r="Q63" s="318"/>
      <c r="R63" s="32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C9" zoomScale="111" zoomScaleNormal="70" workbookViewId="0">
      <selection activeCell="G36" sqref="G3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45246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2" t="s">
        <v>262</v>
      </c>
      <c r="AE4" s="602"/>
      <c r="AF4" s="602"/>
      <c r="AG4" s="602"/>
      <c r="AH4" s="144"/>
      <c r="AI4" s="144"/>
      <c r="AK4"/>
      <c r="AL4" s="603" t="s">
        <v>293</v>
      </c>
      <c r="AM4" s="603"/>
      <c r="AN4" s="603"/>
      <c r="AO4" s="603"/>
      <c r="AP4" s="603"/>
      <c r="AQ4" s="481" t="s">
        <v>291</v>
      </c>
      <c r="AR4" s="481" t="s">
        <v>163</v>
      </c>
    </row>
    <row r="5" spans="2:50" ht="16" x14ac:dyDescent="0.2">
      <c r="B5" s="138"/>
      <c r="C5" s="140"/>
      <c r="D5" s="140"/>
      <c r="E5" s="133"/>
      <c r="H5" s="145">
        <f>+AG7</f>
        <v>0.63438773739999998</v>
      </c>
      <c r="I5" s="485">
        <f>+AQ7</f>
        <v>391990.57000326342</v>
      </c>
      <c r="J5" s="485">
        <f>+AR7</f>
        <v>391638.34421121585</v>
      </c>
      <c r="N5" s="146">
        <f>+AG8</f>
        <v>0.63360749102000002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4" t="s">
        <v>165</v>
      </c>
      <c r="AB5" s="604"/>
      <c r="AC5" s="595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82" t="s">
        <v>294</v>
      </c>
      <c r="AM5" s="482" t="s">
        <v>295</v>
      </c>
      <c r="AN5" s="482" t="s">
        <v>296</v>
      </c>
      <c r="AO5" s="482" t="s">
        <v>297</v>
      </c>
      <c r="AP5" s="482" t="s">
        <v>292</v>
      </c>
      <c r="AQ5" s="482" t="s">
        <v>292</v>
      </c>
      <c r="AR5" s="482" t="s">
        <v>292</v>
      </c>
      <c r="AU5" s="605"/>
      <c r="AV5" s="605"/>
      <c r="AW5" s="605"/>
      <c r="AX5" s="605"/>
    </row>
    <row r="6" spans="2:50" ht="16" x14ac:dyDescent="0.2">
      <c r="B6" s="138"/>
      <c r="C6" s="140"/>
      <c r="D6" s="140"/>
      <c r="F6" s="148" t="s">
        <v>169</v>
      </c>
      <c r="H6" s="149">
        <f>+H4*H5</f>
        <v>103457.2209906668</v>
      </c>
      <c r="J6" s="150">
        <f>+J5-I5</f>
        <v>-352.22579204756767</v>
      </c>
      <c r="K6" s="133"/>
      <c r="N6" s="151">
        <f>+N4*N5</f>
        <v>128395.48919527484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6" t="s">
        <v>170</v>
      </c>
      <c r="AB6" s="607"/>
      <c r="AC6" s="608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30">
        <f>Flujos!H4</f>
        <v>0.61651064964000002</v>
      </c>
      <c r="AH6" s="160"/>
      <c r="AI6" s="160">
        <f t="shared" ref="AI6:AI28" si="1">+AF6/(1-AE6)</f>
        <v>392092.81966883357</v>
      </c>
      <c r="AK6" s="484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39"/>
      <c r="AU6" s="340"/>
      <c r="AV6" s="340"/>
      <c r="AW6" s="340"/>
      <c r="AX6" s="340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9" t="s">
        <v>171</v>
      </c>
      <c r="AB7" s="610"/>
      <c r="AC7" s="611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30">
        <f>Flujos!H5</f>
        <v>0.63438773739999998</v>
      </c>
      <c r="AH7" s="160"/>
      <c r="AI7" s="160">
        <f t="shared" si="1"/>
        <v>164651.1418469153</v>
      </c>
      <c r="AK7" s="484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39"/>
      <c r="AT7" s="341"/>
      <c r="AU7" s="342"/>
      <c r="AV7" s="342"/>
      <c r="AW7" s="342"/>
      <c r="AX7" s="342"/>
    </row>
    <row r="8" spans="2:50" ht="16" x14ac:dyDescent="0.2">
      <c r="B8" s="132"/>
      <c r="C8" s="133"/>
      <c r="D8" s="133"/>
      <c r="F8" s="146">
        <f>+AG6</f>
        <v>0.61651064964000002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6" t="s">
        <v>172</v>
      </c>
      <c r="AB8" s="607"/>
      <c r="AC8" s="608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30">
        <f>Flujos!H6</f>
        <v>0.63360749102000002</v>
      </c>
      <c r="AH8" s="160"/>
      <c r="AI8" s="160">
        <f t="shared" si="1"/>
        <v>204999.49418310571</v>
      </c>
      <c r="AK8" s="484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9"/>
      <c r="AT8" s="341"/>
      <c r="AU8" s="342"/>
      <c r="AV8" s="342"/>
      <c r="AW8" s="342"/>
      <c r="AX8" s="342"/>
    </row>
    <row r="9" spans="2:50" ht="16" x14ac:dyDescent="0.2">
      <c r="B9" s="132"/>
      <c r="C9" s="133"/>
      <c r="D9" s="133"/>
      <c r="F9" s="151">
        <f>+F7*F8</f>
        <v>239501.44066149756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9" t="s">
        <v>173</v>
      </c>
      <c r="AB9" s="610"/>
      <c r="AC9" s="611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30">
        <f>Flujos!H7</f>
        <v>0.603576</v>
      </c>
      <c r="AH9" s="156"/>
      <c r="AI9" s="160">
        <f t="shared" si="1"/>
        <v>227441.67794051746</v>
      </c>
      <c r="AK9" s="484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39"/>
      <c r="AT9" s="341"/>
      <c r="AU9" s="343"/>
      <c r="AV9" s="343"/>
      <c r="AW9" s="343"/>
      <c r="AX9" s="34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30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84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39"/>
      <c r="AT10" s="344"/>
      <c r="AU10" s="345"/>
      <c r="AV10" s="345"/>
      <c r="AW10" s="345"/>
      <c r="AX10" s="34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-2902.9655033286263</v>
      </c>
      <c r="AE11" s="157">
        <f>Flujos!R9</f>
        <v>8.6E-3</v>
      </c>
      <c r="AF11" s="158">
        <f>Flujos!G9</f>
        <v>-1439.0000001999999</v>
      </c>
      <c r="AG11" s="330">
        <f>Flujos!H9</f>
        <v>0.57275500000000001</v>
      </c>
      <c r="AH11" s="156"/>
      <c r="AI11" s="160">
        <f t="shared" si="1"/>
        <v>-1451.4827518660479</v>
      </c>
      <c r="AK11" s="484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9"/>
      <c r="AT11" s="344"/>
      <c r="AU11" s="343"/>
      <c r="AV11" s="343"/>
      <c r="AW11" s="343"/>
      <c r="AX11" s="34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233629.58484482064</v>
      </c>
      <c r="AE12" s="157">
        <f>Flujos!R10</f>
        <v>7.6E-3</v>
      </c>
      <c r="AF12" s="158">
        <f>Flujos!G10</f>
        <v>231622.14600000001</v>
      </c>
      <c r="AG12" s="330">
        <f>Flujos!H10</f>
        <v>0.59271369255000006</v>
      </c>
      <c r="AH12" s="156"/>
      <c r="AI12" s="160">
        <f t="shared" si="1"/>
        <v>233395.95525997583</v>
      </c>
      <c r="AK12" s="484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39"/>
      <c r="AT12" s="344"/>
      <c r="AU12" s="34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Flujos!C11/(1-AE13)</f>
        <v>22756</v>
      </c>
      <c r="AE13" s="157">
        <f>Flujos!R11</f>
        <v>0</v>
      </c>
      <c r="AF13" s="158">
        <f>Flujos!G11</f>
        <v>22756</v>
      </c>
      <c r="AG13" s="330">
        <f>Flujos!H11</f>
        <v>0.11310000000000001</v>
      </c>
      <c r="AH13" s="160"/>
      <c r="AI13" s="160">
        <f t="shared" si="1"/>
        <v>22756</v>
      </c>
      <c r="AK13" s="484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39"/>
      <c r="AT13" s="344"/>
      <c r="AU13" s="34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Flujos!C12/(1-AE14)</f>
        <v>210873.16517956916</v>
      </c>
      <c r="AE14" s="157">
        <f>Flujos!R12</f>
        <v>9.9546339989804444E-3</v>
      </c>
      <c r="AF14" s="158">
        <f>Flujos!G12</f>
        <v>208774</v>
      </c>
      <c r="AG14" s="330">
        <f>Flujos!H12</f>
        <v>0.68700000000000006</v>
      </c>
      <c r="AH14" s="156"/>
      <c r="AI14" s="160">
        <f t="shared" si="1"/>
        <v>210873.16517956916</v>
      </c>
      <c r="AK14" s="484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39"/>
      <c r="AT14" s="344"/>
      <c r="AU14" s="605"/>
      <c r="AV14" s="605"/>
    </row>
    <row r="15" spans="2:50" ht="16" x14ac:dyDescent="0.2">
      <c r="B15" s="132"/>
      <c r="C15" s="133"/>
      <c r="D15" s="133"/>
      <c r="E15" s="172" t="s">
        <v>40</v>
      </c>
      <c r="F15" s="486">
        <f>+(AL6*(1-AO6))+H9-G20</f>
        <v>145251.09876982245</v>
      </c>
      <c r="G15" s="486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209647.65034558089</v>
      </c>
      <c r="AA15" s="153" t="s">
        <v>141</v>
      </c>
      <c r="AB15" s="154"/>
      <c r="AC15" s="155"/>
      <c r="AD15" s="156">
        <f>Flujos!C13/(1-AE15)</f>
        <v>209647.65034558089</v>
      </c>
      <c r="AE15" s="157">
        <f>Flujos!R13</f>
        <v>8.3495571339466099E-2</v>
      </c>
      <c r="AF15" s="158">
        <f>Flujos!G13</f>
        <v>200667.37151</v>
      </c>
      <c r="AG15" s="330">
        <f>Flujos!H13</f>
        <v>0.67113643274000001</v>
      </c>
      <c r="AH15" s="156"/>
      <c r="AI15" s="160">
        <f t="shared" si="1"/>
        <v>218948.61086844307</v>
      </c>
      <c r="AK15" s="484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83"/>
      <c r="AR15" s="163">
        <f t="shared" si="2"/>
        <v>0</v>
      </c>
      <c r="AS15" s="339"/>
      <c r="AT15" s="344"/>
      <c r="AU15" s="340"/>
      <c r="AV15" s="340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Flujos!C16/(1-AE16)</f>
        <v>208048.07606227766</v>
      </c>
      <c r="AE16" s="159">
        <v>7.6449041795111791E-2</v>
      </c>
      <c r="AF16" s="158">
        <f>Flujos!G16</f>
        <v>192143</v>
      </c>
      <c r="AG16" s="330">
        <f>Flujos!H16</f>
        <v>0.69336500000000001</v>
      </c>
      <c r="AH16" s="160">
        <f>3000*(1-AE16)</f>
        <v>2770.6528746146646</v>
      </c>
      <c r="AI16" s="160">
        <f t="shared" si="1"/>
        <v>208048.07606227766</v>
      </c>
      <c r="AK16" s="348"/>
      <c r="AO16" s="483"/>
      <c r="AP16" s="163"/>
      <c r="AS16" s="339"/>
      <c r="AT16" s="341"/>
      <c r="AU16" s="342"/>
      <c r="AV16" s="34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Flujos!C17/(1-AE17)</f>
        <v>0</v>
      </c>
      <c r="AE17" s="157">
        <f>Flujos!R17</f>
        <v>8.3495571339466099E-2</v>
      </c>
      <c r="AF17" s="158">
        <f>Flujos!G17</f>
        <v>0</v>
      </c>
      <c r="AG17" s="330">
        <f>Flujos!H17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39"/>
      <c r="AT17" s="341"/>
      <c r="AU17" s="342"/>
      <c r="AV17" s="34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Flujos!C16/(1-AE18)</f>
        <v>209647.65034558089</v>
      </c>
      <c r="AE18" s="157">
        <f>Flujos!R18</f>
        <v>8.3495571339466099E-2</v>
      </c>
      <c r="AF18" s="158">
        <f>Flujos!G18</f>
        <v>0</v>
      </c>
      <c r="AG18" s="330">
        <f>Flujos!H18</f>
        <v>0</v>
      </c>
      <c r="AH18" s="156"/>
      <c r="AI18" s="160">
        <f t="shared" si="1"/>
        <v>0</v>
      </c>
      <c r="AK18" s="181" t="s">
        <v>180</v>
      </c>
      <c r="AM18" s="182"/>
      <c r="AN18" s="181" t="s">
        <v>180</v>
      </c>
      <c r="AO18" s="182"/>
      <c r="AQ18" s="183">
        <f>+AQ17-M72</f>
        <v>-2473.3060084743774</v>
      </c>
      <c r="AR18" s="183"/>
      <c r="AS18" s="339"/>
      <c r="AT18" s="341"/>
      <c r="AU18" s="343"/>
      <c r="AV18" s="34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+I25+G34+K35+O35</f>
        <v>233008.1460026</v>
      </c>
      <c r="M19" s="184">
        <f>+I27</f>
        <v>137170.17928288545</v>
      </c>
      <c r="N19" s="133"/>
      <c r="O19" s="185" t="e">
        <f>(I33-AO40-AO45*(J39/P49))/I25</f>
        <v>#DIV/0!</v>
      </c>
      <c r="P19" s="185">
        <f>+(P49+R36+H40)/I25</f>
        <v>0.82955366452739798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Flujos!C17/(1-AE19)</f>
        <v>0</v>
      </c>
      <c r="AE19" s="157">
        <f>AQ40/100</f>
        <v>7.5731611822392159E-2</v>
      </c>
      <c r="AF19" s="158">
        <f>Flujos!G19</f>
        <v>103878</v>
      </c>
      <c r="AG19" s="330">
        <f>Flujos!H19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39"/>
      <c r="AT19" s="344"/>
      <c r="AU19" s="345"/>
      <c r="AV19" s="345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+F27+H40+P41</f>
        <v>214899</v>
      </c>
      <c r="M20" s="184">
        <f>+F29+H42+P51+R38+R45</f>
        <v>135798.93479500001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Flujos!C18/(1-AE20)</f>
        <v>0</v>
      </c>
      <c r="AE20" s="157">
        <f>Flujos!R20</f>
        <v>0</v>
      </c>
      <c r="AF20" s="158">
        <f>Flujos!G20</f>
        <v>0</v>
      </c>
      <c r="AG20" s="330">
        <f>Flujos!H20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4"/>
      <c r="AU20" s="343"/>
      <c r="AV20" s="34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-18109.146002599999</v>
      </c>
      <c r="M21" s="184">
        <f>+M20-M19</f>
        <v>-1371.244487885444</v>
      </c>
      <c r="N21" s="133"/>
      <c r="O21" s="190" t="e">
        <f>(I35-AO40*AG19-AO45*AG28*J39/P49)/I27</f>
        <v>#DIV/0!</v>
      </c>
      <c r="P21" s="185">
        <f>+(P51+R38+H42)/I27</f>
        <v>0.97124048311003663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>
        <f>Flujos!C19/(1-AE21)</f>
        <v>103878</v>
      </c>
      <c r="AE21" s="157">
        <f>Flujos!R21</f>
        <v>0</v>
      </c>
      <c r="AF21" s="158">
        <f>Flujos!G21</f>
        <v>0</v>
      </c>
      <c r="AG21" s="330">
        <f>Flujos!H21</f>
        <v>0</v>
      </c>
      <c r="AH21" s="156"/>
      <c r="AI21" s="160">
        <f t="shared" si="1"/>
        <v>0</v>
      </c>
      <c r="AK21" s="182" t="s">
        <v>192</v>
      </c>
      <c r="AL21" s="183">
        <f>+AL19-AL20</f>
        <v>14912</v>
      </c>
      <c r="AT21" s="344"/>
      <c r="AU21" s="346"/>
      <c r="AX21" s="34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-1439.0000001999999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Flujos!C20/(1-AE22)</f>
        <v>0</v>
      </c>
      <c r="AE22" s="157">
        <f>Flujos!R22</f>
        <v>0</v>
      </c>
      <c r="AF22" s="158">
        <f>Flujos!G22</f>
        <v>0</v>
      </c>
      <c r="AG22" s="330">
        <f>Flujos!H22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-824.19444511455094</v>
      </c>
      <c r="J23" s="133"/>
      <c r="K23" s="135" t="s">
        <v>194</v>
      </c>
      <c r="L23" s="195">
        <f>+L21-L22</f>
        <v>-8965.1460025999986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Flujos!C21/(1-AE23)</f>
        <v>0</v>
      </c>
      <c r="AE23" s="157">
        <f>Flujos!R23</f>
        <v>0</v>
      </c>
      <c r="AF23" s="158">
        <f>Flujos!G23</f>
        <v>0</v>
      </c>
      <c r="AG23" s="330">
        <f>Flujos!H23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I25-F27-J29-I33</f>
        <v>8198.7744900000107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Flujos!C22/(1-AE24)</f>
        <v>0</v>
      </c>
      <c r="AE24" s="157">
        <f>Flujos!R24</f>
        <v>0</v>
      </c>
      <c r="AF24" s="158">
        <f>Flujos!G24</f>
        <v>0</v>
      </c>
      <c r="AG24" s="330">
        <f>Flujos!H24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10900.534806165408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+AF12</f>
        <v>231622.14600000001</v>
      </c>
      <c r="J25" s="196"/>
      <c r="R25" s="133"/>
      <c r="S25" s="133"/>
      <c r="T25" s="133"/>
      <c r="U25" s="133"/>
      <c r="W25" s="133"/>
      <c r="X25" s="133"/>
      <c r="Y25" s="137"/>
      <c r="AA25" s="349" t="s">
        <v>146</v>
      </c>
      <c r="AB25" s="350"/>
      <c r="AC25" s="351"/>
      <c r="AD25" s="156">
        <f>Flujos!C25/(1-AE25)</f>
        <v>0</v>
      </c>
      <c r="AE25" s="157">
        <f>Flujos!R25</f>
        <v>0</v>
      </c>
      <c r="AF25" s="158">
        <f>Flujos!G25</f>
        <v>0</v>
      </c>
      <c r="AG25" s="330">
        <f>Flujos!H25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0.59221530260273747</v>
      </c>
      <c r="J26" s="133"/>
      <c r="R26" s="133"/>
      <c r="S26" s="133"/>
      <c r="T26" s="196"/>
      <c r="U26" s="133"/>
      <c r="W26" s="133"/>
      <c r="X26" s="133"/>
      <c r="Y26" s="137"/>
      <c r="AA26" s="349" t="s">
        <v>147</v>
      </c>
      <c r="AB26" s="350"/>
      <c r="AC26" s="351"/>
      <c r="AD26" s="156">
        <f>Flujos!C26/(1-AE26)</f>
        <v>0</v>
      </c>
      <c r="AE26" s="157">
        <f>Flujos!R26</f>
        <v>0</v>
      </c>
      <c r="AF26" s="158">
        <f>Flujos!G26</f>
        <v>0</v>
      </c>
      <c r="AG26" s="330">
        <f>Flujos!H26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22756</v>
      </c>
      <c r="G27" s="133"/>
      <c r="H27" s="198">
        <f>+I25-F27-J29-I33+G34</f>
        <v>9584.7744926000105</v>
      </c>
      <c r="I27" s="149">
        <f>+G22+I23</f>
        <v>137170.17928288545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Flujos!C27/(1-AE27)</f>
        <v>-51473.366834170854</v>
      </c>
      <c r="AE27" s="157">
        <f>Flujos!R27</f>
        <v>5.0000000000000001E-3</v>
      </c>
      <c r="AF27" s="158">
        <f>Flujos!G27</f>
        <v>-25608</v>
      </c>
      <c r="AG27" s="330">
        <f>Flujos!H27</f>
        <v>0</v>
      </c>
      <c r="AH27" s="156"/>
      <c r="AI27" s="160">
        <f t="shared" si="1"/>
        <v>-25736.683417085427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6">
        <f>+AG13</f>
        <v>0.11310000000000001</v>
      </c>
      <c r="G28" s="133"/>
      <c r="H28" s="198">
        <f>+I27-I35-F29-J31+G35</f>
        <v>-78.708199648266145</v>
      </c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Flujos!C28/(1-AE28)</f>
        <v>0</v>
      </c>
      <c r="AE28" s="157">
        <f>Flujos!R28</f>
        <v>0</v>
      </c>
      <c r="AF28" s="158">
        <f>Flujos!G28</f>
        <v>0</v>
      </c>
      <c r="AG28" s="330">
        <f>Flujos!H28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1">
        <f>+F27*F28</f>
        <v>2573.7036000000003</v>
      </c>
      <c r="G29" s="133"/>
      <c r="H29" s="133"/>
      <c r="J29" s="206">
        <f>Flujos!G14</f>
        <v>0</v>
      </c>
      <c r="K29" s="207">
        <f>+I25-F27-H40-P41+K35+O35+G34+L22</f>
        <v>8965.1460026000095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2" t="s">
        <v>159</v>
      </c>
      <c r="AB29" s="613"/>
      <c r="AC29" s="613"/>
      <c r="AD29" s="613"/>
      <c r="AE29" s="613"/>
      <c r="AF29" s="613"/>
      <c r="AG29" s="613"/>
      <c r="AH29" s="613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0">
        <f>Flujos!G14*Flujos!H14</f>
        <v>0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62">
        <f>'Datos Extra'!C22</f>
        <v>0.04</v>
      </c>
      <c r="AF30" s="215">
        <f>'Datos Extra'!D22</f>
        <v>0</v>
      </c>
      <c r="AG30" s="462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62">
        <f>'Datos Extra'!C23</f>
        <v>0.04</v>
      </c>
      <c r="AF31" s="215">
        <f>'Datos Extra'!D23</f>
        <v>9066.24</v>
      </c>
      <c r="AG31" s="462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62">
        <f>'Datos Extra'!C24</f>
        <v>2.8000000000000001E-2</v>
      </c>
      <c r="AF32" s="215">
        <f>'Datos Extra'!D24</f>
        <v>2141.3159999999998</v>
      </c>
      <c r="AG32" s="462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96"/>
      <c r="G33" s="133"/>
      <c r="H33" s="133"/>
      <c r="I33" s="141">
        <f>+AF15</f>
        <v>200667.37151</v>
      </c>
      <c r="J33" s="196"/>
      <c r="Q33" s="187"/>
      <c r="T33" s="437"/>
      <c r="U33" s="437"/>
      <c r="Y33" s="137"/>
      <c r="AA33" s="153" t="s">
        <v>204</v>
      </c>
      <c r="AB33" s="154"/>
      <c r="AC33" s="155"/>
      <c r="AD33" s="215">
        <f>'Datos Extra'!B25</f>
        <v>0</v>
      </c>
      <c r="AE33" s="462">
        <f>'Datos Extra'!C25</f>
        <v>0</v>
      </c>
      <c r="AF33" s="215">
        <f>'Datos Extra'!D25</f>
        <v>0</v>
      </c>
      <c r="AG33" s="462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18">
        <f>-Flujos!G36</f>
        <v>1386.0000026</v>
      </c>
      <c r="H34" s="133"/>
      <c r="I34" s="145">
        <f>+AG15</f>
        <v>0.67113643274000001</v>
      </c>
      <c r="S34" s="172"/>
      <c r="T34" s="438"/>
      <c r="U34" s="438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62">
        <f>'Datos Extra'!C26</f>
        <v>2.6944684E-2</v>
      </c>
      <c r="AF34" s="215">
        <f>'Datos Extra'!D26</f>
        <v>0</v>
      </c>
      <c r="AG34" s="462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19">
        <f>-Flujos!G36*Flujos!H36</f>
        <v>0</v>
      </c>
      <c r="H35" s="133"/>
      <c r="I35" s="149">
        <f>+I33*I34</f>
        <v>134675.18388253372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62">
        <f>'Datos Extra'!C27</f>
        <v>0</v>
      </c>
      <c r="AF35" s="215">
        <f>'Datos Extra'!D27</f>
        <v>0</v>
      </c>
      <c r="AG35" s="462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85">
        <f>+AQ10</f>
        <v>132691.49529348794</v>
      </c>
      <c r="E36" s="485">
        <f>+AR10</f>
        <v>136107.39891448722</v>
      </c>
      <c r="F36" s="133"/>
      <c r="H36" s="133"/>
      <c r="I36" s="133"/>
      <c r="J36" s="220">
        <v>8100</v>
      </c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62">
        <f>'Datos Extra'!C28</f>
        <v>0</v>
      </c>
      <c r="AF36" s="215">
        <f>'Datos Extra'!D28</f>
        <v>24345</v>
      </c>
      <c r="AG36" s="462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20">
        <f>+I33-J39-H40-J36</f>
        <v>424.37150999999722</v>
      </c>
      <c r="H37" s="133"/>
      <c r="I37" s="141"/>
      <c r="J37" s="220">
        <f>+J36*I34</f>
        <v>5436.2051051939998</v>
      </c>
      <c r="Q37" s="220">
        <f>+M39+O35-P41</f>
        <v>0</v>
      </c>
      <c r="R37" s="165">
        <f>+AG25</f>
        <v>0</v>
      </c>
      <c r="V37" s="206">
        <f>Flujos!G35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62">
        <f>'Datos Extra'!C29</f>
        <v>0</v>
      </c>
      <c r="AF37" s="215">
        <f>'Datos Extra'!D29</f>
        <v>24345</v>
      </c>
      <c r="AG37" s="462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20">
        <f>+I35-J41-H42-J37</f>
        <v>-3986.2524176602819</v>
      </c>
      <c r="H38" s="133"/>
      <c r="I38" s="145"/>
      <c r="J38" s="133"/>
      <c r="Q38" s="220">
        <f>+M41-P43</f>
        <v>0</v>
      </c>
      <c r="R38" s="167">
        <f>+R36*R37</f>
        <v>0</v>
      </c>
      <c r="V38" s="231">
        <f>Flujos!H35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62">
        <f>'Datos Extra'!C30</f>
        <v>0</v>
      </c>
      <c r="AF38" s="215">
        <f>'Datos Extra'!D30</f>
        <v>0</v>
      </c>
      <c r="AG38" s="462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0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62">
        <f>'Datos Extra'!C31</f>
        <v>0</v>
      </c>
      <c r="AF39" s="215">
        <f>'Datos Extra'!D31</f>
        <v>0</v>
      </c>
      <c r="AG39" s="462">
        <f>'Datos Extra'!E31</f>
        <v>0</v>
      </c>
      <c r="AH39" s="215">
        <f>'Datos Extra'!F31</f>
        <v>0</v>
      </c>
      <c r="AI39" s="215">
        <f>'Datos Extra'!G31</f>
        <v>0</v>
      </c>
      <c r="AK39" s="602" t="s">
        <v>215</v>
      </c>
      <c r="AL39" s="602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H40" s="164">
        <f>+F40+G45</f>
        <v>192143</v>
      </c>
      <c r="J40" s="145">
        <f>+AG18</f>
        <v>0</v>
      </c>
      <c r="K40" s="198">
        <f>+J39-M39+K35</f>
        <v>0</v>
      </c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62">
        <f>'Datos Extra'!C32</f>
        <v>0</v>
      </c>
      <c r="AF40" s="215">
        <f>'Datos Extra'!D32</f>
        <v>0</v>
      </c>
      <c r="AG40" s="462">
        <f>'Datos Extra'!E32</f>
        <v>0</v>
      </c>
      <c r="AH40" s="215">
        <f>'Datos Extra'!F32</f>
        <v>0</v>
      </c>
      <c r="AI40" s="215">
        <f>'Datos Extra'!G32</f>
        <v>0</v>
      </c>
      <c r="AK40" s="594" t="s">
        <v>107</v>
      </c>
      <c r="AL40" s="595"/>
      <c r="AM40" s="221">
        <f>+SUM(AM41:AM44)</f>
        <v>604861</v>
      </c>
      <c r="AN40" s="221">
        <f>+SUM(AN41:AN44)</f>
        <v>595717</v>
      </c>
      <c r="AO40" s="222">
        <f>+AN40-AM40</f>
        <v>-9144</v>
      </c>
      <c r="AP40" s="445">
        <f>IF(AN40=0,0,SUMPRODUCT(AN41:AN44,AP41:AP44)/AN40)</f>
        <v>68.952340540894426</v>
      </c>
      <c r="AQ40" s="445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0.69336500000000001</v>
      </c>
      <c r="G41" s="133"/>
      <c r="H41" s="165">
        <f>+H42/H40</f>
        <v>0.69336500000000001</v>
      </c>
      <c r="J41" s="149">
        <f>+M41</f>
        <v>0</v>
      </c>
      <c r="K41" s="198">
        <f>+J41-M41</f>
        <v>0</v>
      </c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62">
        <f>'Datos Extra'!C33</f>
        <v>0</v>
      </c>
      <c r="AF41" s="215">
        <f>'Datos Extra'!D33</f>
        <v>0</v>
      </c>
      <c r="AG41" s="462">
        <f>'Datos Extra'!E33</f>
        <v>0</v>
      </c>
      <c r="AH41" s="215">
        <f>'Datos Extra'!F33</f>
        <v>0</v>
      </c>
      <c r="AI41" s="215">
        <f>'Datos Extra'!G33</f>
        <v>0</v>
      </c>
      <c r="AK41" s="574" t="s">
        <v>221</v>
      </c>
      <c r="AL41" s="575"/>
      <c r="AM41" s="224">
        <v>170912</v>
      </c>
      <c r="AN41" s="224">
        <v>168259</v>
      </c>
      <c r="AO41" s="225"/>
      <c r="AP41" s="446">
        <v>68.849999999999994</v>
      </c>
      <c r="AQ41" s="446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133225.231195</v>
      </c>
      <c r="G42" s="133"/>
      <c r="H42" s="167">
        <f>+F42+G47</f>
        <v>133225.231195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62">
        <f>'Datos Extra'!C34</f>
        <v>0</v>
      </c>
      <c r="AF42" s="215">
        <f>'Datos Extra'!D34</f>
        <v>0</v>
      </c>
      <c r="AG42" s="462">
        <f>'Datos Extra'!E34</f>
        <v>0</v>
      </c>
      <c r="AH42" s="215">
        <f>'Datos Extra'!F34</f>
        <v>0</v>
      </c>
      <c r="AI42" s="215">
        <f>'Datos Extra'!G34</f>
        <v>0</v>
      </c>
      <c r="AK42" s="574" t="s">
        <v>223</v>
      </c>
      <c r="AL42" s="575"/>
      <c r="AM42" s="226">
        <v>178622</v>
      </c>
      <c r="AN42" s="226">
        <v>177030</v>
      </c>
      <c r="AO42" s="225"/>
      <c r="AP42" s="446">
        <v>68.77</v>
      </c>
      <c r="AQ42" s="446">
        <v>7.74</v>
      </c>
    </row>
    <row r="43" spans="2:43" ht="15.75" customHeight="1" x14ac:dyDescent="0.2">
      <c r="B43" s="132"/>
      <c r="C43" s="149">
        <f>+C41*C42</f>
        <v>71343.410400000008</v>
      </c>
      <c r="E43" s="227"/>
      <c r="F43" s="133"/>
      <c r="G43" s="133"/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62">
        <f>'Datos Extra'!C35</f>
        <v>0</v>
      </c>
      <c r="AF43" s="215">
        <f>'Datos Extra'!D35</f>
        <v>0</v>
      </c>
      <c r="AG43" s="462">
        <f>'Datos Extra'!E35</f>
        <v>0</v>
      </c>
      <c r="AH43" s="215">
        <f>'Datos Extra'!F35</f>
        <v>0</v>
      </c>
      <c r="AI43" s="215">
        <f>'Datos Extra'!G35</f>
        <v>0</v>
      </c>
      <c r="AK43" s="574" t="s">
        <v>225</v>
      </c>
      <c r="AL43" s="575"/>
      <c r="AM43" s="226">
        <v>178292</v>
      </c>
      <c r="AN43" s="226">
        <v>174514</v>
      </c>
      <c r="AO43" s="225"/>
      <c r="AP43" s="446">
        <v>69.150000000000006</v>
      </c>
      <c r="AQ43" s="446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62">
        <f>'Datos Extra'!C36</f>
        <v>0</v>
      </c>
      <c r="AF44" s="215">
        <f>'Datos Extra'!D36</f>
        <v>0</v>
      </c>
      <c r="AG44" s="462">
        <f>'Datos Extra'!E36</f>
        <v>0</v>
      </c>
      <c r="AH44" s="215">
        <f>'Datos Extra'!F36</f>
        <v>0</v>
      </c>
      <c r="AI44" s="215">
        <f>'Datos Extra'!G36</f>
        <v>0</v>
      </c>
      <c r="AK44" s="574" t="s">
        <v>227</v>
      </c>
      <c r="AL44" s="575"/>
      <c r="AM44" s="226">
        <v>77035</v>
      </c>
      <c r="AN44" s="226">
        <v>75914</v>
      </c>
      <c r="AO44" s="225"/>
      <c r="AP44" s="446">
        <v>69.150000000000006</v>
      </c>
      <c r="AQ44" s="446">
        <v>7.37</v>
      </c>
    </row>
    <row r="45" spans="2:43" ht="15.75" customHeight="1" x14ac:dyDescent="0.2">
      <c r="B45" s="132"/>
      <c r="D45" s="133"/>
      <c r="E45" s="133"/>
      <c r="G45" s="164">
        <f>+AF17</f>
        <v>0</v>
      </c>
      <c r="I45" s="187"/>
      <c r="J45" s="228"/>
      <c r="M45" s="198">
        <f>+P41-R43-R36-P49</f>
        <v>0</v>
      </c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62">
        <f>'Datos Extra'!C37</f>
        <v>0</v>
      </c>
      <c r="AF45" s="215">
        <f>'Datos Extra'!D37</f>
        <v>0</v>
      </c>
      <c r="AG45" s="462">
        <f>'Datos Extra'!E37</f>
        <v>0</v>
      </c>
      <c r="AH45" s="215">
        <f>'Datos Extra'!F37</f>
        <v>0</v>
      </c>
      <c r="AI45" s="215">
        <f>'Datos Extra'!G37</f>
        <v>0</v>
      </c>
      <c r="AK45" s="594" t="s">
        <v>109</v>
      </c>
      <c r="AL45" s="595"/>
      <c r="AM45" s="221">
        <f>+SUM(AM46:AM49)</f>
        <v>279288</v>
      </c>
      <c r="AN45" s="161">
        <f>+SUM(AN46:AN49)</f>
        <v>276114</v>
      </c>
      <c r="AO45" s="222">
        <f>+AN45-AM45</f>
        <v>-3174</v>
      </c>
      <c r="AP45" s="444">
        <f>+SUMPRODUCT(AN46:AN49,AP46:AP49)/AN45</f>
        <v>65.344666550772502</v>
      </c>
      <c r="AQ45" s="444">
        <f>+SUMPRODUCT(AN46:AN49,AQ46:AQ49)/AN45</f>
        <v>1.0120722237916222</v>
      </c>
    </row>
    <row r="46" spans="2:43" ht="15.75" customHeight="1" x14ac:dyDescent="0.2">
      <c r="B46" s="132"/>
      <c r="E46" s="133"/>
      <c r="G46" s="165">
        <f>+AG17</f>
        <v>0.68650000000000011</v>
      </c>
      <c r="I46" s="183">
        <f>I25-F27-I33-J29</f>
        <v>8198.7744900000107</v>
      </c>
      <c r="M46" s="198">
        <f>+P43-R45-R38-P51</f>
        <v>0</v>
      </c>
      <c r="U46" s="133"/>
      <c r="V46" s="133"/>
      <c r="Y46" s="137"/>
      <c r="AK46" s="574" t="s">
        <v>221</v>
      </c>
      <c r="AL46" s="575"/>
      <c r="AM46" s="442">
        <v>208397</v>
      </c>
      <c r="AN46" s="442">
        <v>205223</v>
      </c>
      <c r="AO46" s="225"/>
      <c r="AP46" s="444">
        <v>65.34</v>
      </c>
      <c r="AQ46" s="444">
        <v>1.1200000000000001</v>
      </c>
    </row>
    <row r="47" spans="2:43" ht="15.75" customHeight="1" x14ac:dyDescent="0.2">
      <c r="B47" s="132"/>
      <c r="E47" s="141">
        <f>+G45</f>
        <v>0</v>
      </c>
      <c r="G47" s="167">
        <f>+G45*G46</f>
        <v>0</v>
      </c>
      <c r="I47" s="196"/>
      <c r="J47" s="196"/>
      <c r="K47" s="187"/>
      <c r="U47" s="133"/>
      <c r="V47" s="133"/>
      <c r="Y47" s="137"/>
      <c r="Z47" s="133" t="s">
        <v>148</v>
      </c>
      <c r="AC47" s="601" t="s">
        <v>229</v>
      </c>
      <c r="AD47" s="601"/>
      <c r="AE47" s="601"/>
      <c r="AF47" s="601"/>
      <c r="AK47" s="574" t="s">
        <v>223</v>
      </c>
      <c r="AL47" s="575"/>
      <c r="AM47" s="442">
        <v>36753</v>
      </c>
      <c r="AN47" s="442">
        <v>36753</v>
      </c>
      <c r="AO47" s="229"/>
      <c r="AP47" s="444">
        <v>65.180000000000007</v>
      </c>
      <c r="AQ47" s="444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33"/>
      <c r="I48" s="187"/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74" t="s">
        <v>225</v>
      </c>
      <c r="AL48" s="575"/>
      <c r="AM48" s="442">
        <v>34138</v>
      </c>
      <c r="AN48" s="443">
        <v>34138</v>
      </c>
      <c r="AO48" s="229"/>
      <c r="AP48" s="444">
        <v>65.55</v>
      </c>
      <c r="AQ48" s="444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I49" s="187"/>
      <c r="P49" s="230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74" t="s">
        <v>227</v>
      </c>
      <c r="AL49" s="575"/>
      <c r="AM49" s="226"/>
      <c r="AN49" s="226"/>
      <c r="AO49" s="229"/>
      <c r="AP49" s="444"/>
      <c r="AQ49" s="444"/>
    </row>
    <row r="50" spans="2:43" ht="15.75" customHeight="1" x14ac:dyDescent="0.2">
      <c r="B50" s="132"/>
      <c r="E50" s="133"/>
      <c r="F50" s="133"/>
      <c r="G50" s="231"/>
      <c r="H50" s="133"/>
      <c r="P50" s="232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3">
        <f>+AC50+AF41-AF42</f>
        <v>18126</v>
      </c>
      <c r="AH50" s="234">
        <f>17644+2400-1290</f>
        <v>18754</v>
      </c>
      <c r="AK50" s="594" t="s">
        <v>93</v>
      </c>
      <c r="AL50" s="595"/>
      <c r="AM50" s="221">
        <f>+SUM(AM51:AM54)</f>
        <v>264161</v>
      </c>
      <c r="AN50" s="161">
        <f>+SUM(AN51:AN54)</f>
        <v>271631</v>
      </c>
      <c r="AO50" s="235">
        <f>+AN50-AM50</f>
        <v>7470</v>
      </c>
      <c r="AP50" s="444">
        <f>+SUMPRODUCT(AN51:AN54,AP51:AP54)/AN50</f>
        <v>64.069999999999993</v>
      </c>
      <c r="AQ50" s="444">
        <f>+SUMPRODUCT(AN51:AN54,AQ51:AQ54)/AN50</f>
        <v>1.19</v>
      </c>
    </row>
    <row r="51" spans="2:43" ht="15.75" customHeight="1" x14ac:dyDescent="0.2">
      <c r="B51" s="132"/>
      <c r="F51" s="133"/>
      <c r="G51" s="216"/>
      <c r="H51" s="133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74" t="s">
        <v>221</v>
      </c>
      <c r="AL51" s="575"/>
      <c r="AM51" s="443">
        <v>167380</v>
      </c>
      <c r="AN51" s="443">
        <v>171545</v>
      </c>
      <c r="AO51" s="229"/>
      <c r="AP51" s="444">
        <v>64.069999999999993</v>
      </c>
      <c r="AQ51" s="444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74" t="s">
        <v>223</v>
      </c>
      <c r="AL52" s="575"/>
      <c r="AM52" s="443">
        <v>96781</v>
      </c>
      <c r="AN52" s="443">
        <v>100086</v>
      </c>
      <c r="AO52" s="229"/>
      <c r="AP52" s="444">
        <v>64.069999999999993</v>
      </c>
      <c r="AQ52" s="444">
        <v>1.19</v>
      </c>
    </row>
    <row r="53" spans="2:43" ht="15.75" customHeight="1" x14ac:dyDescent="0.2">
      <c r="B53" s="132"/>
      <c r="C53" s="133"/>
      <c r="D53" s="133"/>
      <c r="E53" s="133"/>
      <c r="F53" s="227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74" t="s">
        <v>225</v>
      </c>
      <c r="AL53" s="575"/>
      <c r="AM53" s="443"/>
      <c r="AN53" s="443"/>
      <c r="AO53" s="229"/>
      <c r="AP53" s="444"/>
      <c r="AQ53" s="444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74" t="s">
        <v>227</v>
      </c>
      <c r="AL54" s="575"/>
      <c r="AM54" s="443"/>
      <c r="AN54" s="443"/>
      <c r="AO54" s="235"/>
      <c r="AP54" s="444"/>
      <c r="AQ54" s="444"/>
    </row>
    <row r="55" spans="2:43" ht="15.75" customHeight="1" x14ac:dyDescent="0.2">
      <c r="B55" s="132"/>
      <c r="C55" s="133"/>
      <c r="D55" s="133"/>
      <c r="H55" s="133"/>
      <c r="R55" s="236"/>
      <c r="U55" s="133"/>
      <c r="V55" s="133"/>
      <c r="W55" s="133"/>
      <c r="X55" s="133"/>
      <c r="Y55" s="137"/>
      <c r="AK55" s="594" t="s">
        <v>236</v>
      </c>
      <c r="AL55" s="595"/>
      <c r="AM55" s="161">
        <f>+SUM(AM56:AM57)</f>
        <v>0</v>
      </c>
      <c r="AN55" s="161">
        <f>+SUM(AN56:AN57)</f>
        <v>0</v>
      </c>
      <c r="AO55" s="235">
        <f>+AN55-AM55</f>
        <v>0</v>
      </c>
      <c r="AP55" s="444" t="e">
        <f>+SUMPRODUCT(AN56:AN57,AP56:AP57)/AN55</f>
        <v>#DIV/0!</v>
      </c>
      <c r="AQ55" s="444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74" t="s">
        <v>221</v>
      </c>
      <c r="AL56" s="575"/>
      <c r="AM56" s="226"/>
      <c r="AN56" s="226"/>
      <c r="AO56" s="229"/>
      <c r="AP56" s="444"/>
      <c r="AQ56" s="444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85">
        <f>+AQ12+R52+S52+T52</f>
        <v>65417.27</v>
      </c>
      <c r="P57" s="485">
        <f>+AR12</f>
        <v>14201.72650228858</v>
      </c>
      <c r="R57" s="149"/>
      <c r="S57" s="227"/>
      <c r="T57" s="133"/>
      <c r="U57" s="133"/>
      <c r="V57" s="133"/>
      <c r="W57" s="133"/>
      <c r="X57" s="133"/>
      <c r="Y57" s="137"/>
      <c r="AK57" s="574" t="s">
        <v>223</v>
      </c>
      <c r="AL57" s="575"/>
      <c r="AM57" s="226"/>
      <c r="AN57" s="226"/>
      <c r="AO57" s="229"/>
      <c r="AP57" s="444"/>
      <c r="AQ57" s="444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5">
        <f>+AN58-AM58</f>
        <v>-179362</v>
      </c>
      <c r="AP58" s="223"/>
      <c r="AQ58" s="223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7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9"/>
    </row>
    <row r="67" spans="2:26" ht="15.75" customHeight="1" x14ac:dyDescent="0.2">
      <c r="B67" s="240"/>
      <c r="C67" s="240"/>
      <c r="D67" s="240"/>
      <c r="J67" s="187"/>
      <c r="K67" s="133"/>
      <c r="P67" s="133"/>
      <c r="Q67" s="133"/>
    </row>
    <row r="68" spans="2:26" ht="15.75" customHeight="1" thickBot="1" x14ac:dyDescent="0.25">
      <c r="E68" s="241"/>
      <c r="F68" s="133"/>
      <c r="G68" s="596" t="s">
        <v>237</v>
      </c>
      <c r="H68" s="597"/>
      <c r="I68" s="598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2" t="s">
        <v>238</v>
      </c>
      <c r="C69" s="599" t="s">
        <v>68</v>
      </c>
      <c r="D69" s="600"/>
      <c r="E69" s="243" t="s">
        <v>149</v>
      </c>
      <c r="F69" s="243" t="s">
        <v>150</v>
      </c>
      <c r="G69" s="243" t="s">
        <v>239</v>
      </c>
      <c r="H69" s="447" t="s">
        <v>278</v>
      </c>
      <c r="I69" s="242" t="s">
        <v>240</v>
      </c>
      <c r="J69" s="244" t="s">
        <v>151</v>
      </c>
      <c r="K69" s="245" t="s">
        <v>152</v>
      </c>
      <c r="L69" s="246" t="s">
        <v>153</v>
      </c>
      <c r="M69" s="243" t="s">
        <v>154</v>
      </c>
      <c r="N69" s="243" t="s">
        <v>241</v>
      </c>
      <c r="O69" s="243" t="s">
        <v>242</v>
      </c>
      <c r="P69" s="242" t="s">
        <v>155</v>
      </c>
      <c r="Q69" s="247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8">
        <f>+AD26</f>
        <v>0</v>
      </c>
      <c r="C70" s="593" t="s">
        <v>157</v>
      </c>
      <c r="D70" s="501"/>
      <c r="E70" s="249">
        <f>+AI26</f>
        <v>0</v>
      </c>
      <c r="F70" s="250">
        <f>+AI28</f>
        <v>0</v>
      </c>
      <c r="G70" s="251"/>
      <c r="H70" s="250"/>
      <c r="I70" s="252"/>
      <c r="J70" s="253">
        <f>+E70+G70</f>
        <v>0</v>
      </c>
      <c r="K70" s="254">
        <f>+F70+I70</f>
        <v>0</v>
      </c>
      <c r="L70" s="255">
        <f>'Datos Extra'!B1</f>
        <v>66753</v>
      </c>
      <c r="M70" s="256">
        <f>+L70+J70-K70</f>
        <v>66753</v>
      </c>
      <c r="N70" s="251">
        <f>'Datos Extra'!C44</f>
        <v>14273.091962099075</v>
      </c>
      <c r="O70" s="257">
        <f t="shared" ref="O70:O80" si="3">N70-M70</f>
        <v>-52479.908037900925</v>
      </c>
      <c r="P70" s="258">
        <v>97.84</v>
      </c>
      <c r="Q70" s="259">
        <f>+O70*P70</f>
        <v>-5134634.2024282264</v>
      </c>
      <c r="R70" s="133"/>
      <c r="S70" s="260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8">
        <f>+AD25</f>
        <v>0</v>
      </c>
      <c r="C71" s="593" t="s">
        <v>88</v>
      </c>
      <c r="D71" s="501"/>
      <c r="E71" s="261">
        <f>+AI25</f>
        <v>0</v>
      </c>
      <c r="F71" s="250">
        <v>0</v>
      </c>
      <c r="G71" s="262"/>
      <c r="H71" s="250"/>
      <c r="I71" s="263"/>
      <c r="J71" s="253">
        <f>+E71+G71</f>
        <v>0</v>
      </c>
      <c r="K71" s="264">
        <f>+F71+I71</f>
        <v>0</v>
      </c>
      <c r="L71" s="255">
        <f>'Datos Extra'!B2</f>
        <v>24736</v>
      </c>
      <c r="M71" s="256">
        <f>+L71+J71-K71</f>
        <v>24736</v>
      </c>
      <c r="N71" s="251">
        <f>'Datos Extra'!C45</f>
        <v>12095.744312286377</v>
      </c>
      <c r="O71" s="257">
        <f t="shared" si="3"/>
        <v>-12640.255687713623</v>
      </c>
      <c r="P71" s="258">
        <v>33.365380000000002</v>
      </c>
      <c r="Q71" s="259">
        <f t="shared" ref="Q71:Q80" si="4">+O71*P71</f>
        <v>-421746.93431772641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8">
        <f>+AD16+AD17</f>
        <v>208048.07606227766</v>
      </c>
      <c r="C72" s="593" t="s">
        <v>89</v>
      </c>
      <c r="D72" s="501"/>
      <c r="E72" s="261">
        <f>+AI16+AI17</f>
        <v>208048.07606227766</v>
      </c>
      <c r="F72" s="250">
        <f>+AI19</f>
        <v>112389.43290575763</v>
      </c>
      <c r="G72" s="262"/>
      <c r="H72" s="250"/>
      <c r="I72" s="263"/>
      <c r="J72" s="253">
        <f>+E72+G72</f>
        <v>208048.07606227766</v>
      </c>
      <c r="K72" s="265">
        <f>+F72+I72</f>
        <v>112389.43290575763</v>
      </c>
      <c r="L72" s="255">
        <f>'Datos Extra'!B3</f>
        <v>50490</v>
      </c>
      <c r="M72" s="256">
        <f>+L72+J72-K72</f>
        <v>146148.64315652003</v>
      </c>
      <c r="N72" s="251">
        <f>'Datos Extra'!C42</f>
        <v>147374.00000000003</v>
      </c>
      <c r="O72" s="257">
        <f>N72-M72</f>
        <v>1225.3568434799963</v>
      </c>
      <c r="P72" s="258">
        <v>43.87</v>
      </c>
      <c r="Q72" s="259">
        <f t="shared" si="4"/>
        <v>53756.404723467436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8">
        <f>+AD10</f>
        <v>230701.98780012433</v>
      </c>
      <c r="C73" s="593" t="s">
        <v>158</v>
      </c>
      <c r="D73" s="501"/>
      <c r="E73" s="261">
        <f>+AI10</f>
        <v>230701.98780012433</v>
      </c>
      <c r="F73" s="250">
        <v>0</v>
      </c>
      <c r="G73" s="262"/>
      <c r="H73" s="250"/>
      <c r="I73" s="266"/>
      <c r="J73" s="267"/>
      <c r="K73" s="268">
        <f>+E73+I73</f>
        <v>230701.98780012433</v>
      </c>
      <c r="L73" s="255">
        <f>'Datos Extra'!B4</f>
        <v>0</v>
      </c>
      <c r="M73" s="256"/>
      <c r="N73" s="269"/>
      <c r="O73" s="270"/>
      <c r="P73" s="271"/>
      <c r="Q73" s="272"/>
      <c r="R73" s="133"/>
      <c r="S73" s="260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8"/>
      <c r="C74" s="593" t="s">
        <v>90</v>
      </c>
      <c r="D74" s="501"/>
      <c r="E74" s="261">
        <f>+AI15</f>
        <v>218948.61086844307</v>
      </c>
      <c r="F74" s="250"/>
      <c r="G74" s="262"/>
      <c r="H74" s="250"/>
      <c r="J74" s="267"/>
      <c r="K74" s="268">
        <f>+E74/E73*K73</f>
        <v>218948.61086844307</v>
      </c>
      <c r="L74" s="255">
        <f>'Datos Extra'!B5</f>
        <v>0</v>
      </c>
      <c r="M74" s="256"/>
      <c r="N74" s="269"/>
      <c r="O74" s="270"/>
      <c r="P74" s="271"/>
      <c r="Q74" s="272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8"/>
      <c r="C75" s="593" t="s">
        <v>91</v>
      </c>
      <c r="D75" s="501"/>
      <c r="E75" s="261">
        <f>+AI13</f>
        <v>22756</v>
      </c>
      <c r="F75" s="250"/>
      <c r="G75" s="262"/>
      <c r="H75" s="250"/>
      <c r="I75" s="263"/>
      <c r="J75" s="267"/>
      <c r="K75" s="268">
        <f>+E75+G75</f>
        <v>22756</v>
      </c>
      <c r="L75" s="255">
        <f>'Datos Extra'!B6</f>
        <v>0</v>
      </c>
      <c r="M75" s="256"/>
      <c r="N75" s="269"/>
      <c r="O75" s="270"/>
      <c r="P75" s="271"/>
      <c r="Q75" s="272"/>
      <c r="R75" s="133"/>
      <c r="S75" s="133"/>
      <c r="T75" s="196"/>
      <c r="U75" s="175"/>
      <c r="V75" s="175"/>
      <c r="W75" s="196"/>
      <c r="X75" s="196"/>
      <c r="Y75" s="273"/>
      <c r="Z75" s="183"/>
    </row>
    <row r="76" spans="2:26" ht="14.25" customHeight="1" x14ac:dyDescent="0.2">
      <c r="B76" s="248">
        <f>+AD9</f>
        <v>227441.67794051746</v>
      </c>
      <c r="C76" s="593" t="s">
        <v>92</v>
      </c>
      <c r="D76" s="501"/>
      <c r="E76" s="261">
        <f>+AI9</f>
        <v>227441.67794051746</v>
      </c>
      <c r="F76" s="250"/>
      <c r="G76" s="262"/>
      <c r="H76" s="250"/>
      <c r="I76" s="266">
        <f>I73</f>
        <v>0</v>
      </c>
      <c r="J76" s="253">
        <f>+E76+G76</f>
        <v>227441.67794051746</v>
      </c>
      <c r="K76" s="254">
        <f>+E73+I76</f>
        <v>230701.98780012433</v>
      </c>
      <c r="L76" s="255">
        <f>'Datos Extra'!B7</f>
        <v>150617</v>
      </c>
      <c r="M76" s="256">
        <f>+L76+J76-K76</f>
        <v>147356.6901403931</v>
      </c>
      <c r="N76" s="251">
        <f>'Datos Extra'!C38</f>
        <v>150934.60122179985</v>
      </c>
      <c r="O76" s="257">
        <f t="shared" si="3"/>
        <v>3577.9110814067535</v>
      </c>
      <c r="P76" s="258">
        <v>20.14</v>
      </c>
      <c r="Q76" s="259">
        <f t="shared" si="4"/>
        <v>72059.129179532014</v>
      </c>
      <c r="R76" s="260"/>
      <c r="S76" s="133"/>
      <c r="T76" s="175"/>
      <c r="U76" s="175"/>
      <c r="V76" s="175"/>
      <c r="W76" s="196"/>
      <c r="X76" s="196"/>
      <c r="Y76" s="273"/>
      <c r="Z76" s="183"/>
    </row>
    <row r="77" spans="2:26" ht="14.25" customHeight="1" x14ac:dyDescent="0.2">
      <c r="B77" s="248">
        <f>+AD7</f>
        <v>164651.1418469153</v>
      </c>
      <c r="C77" s="593" t="s">
        <v>93</v>
      </c>
      <c r="D77" s="501"/>
      <c r="E77" s="261">
        <f>+AI7</f>
        <v>164651.1418469153</v>
      </c>
      <c r="F77" s="250">
        <f>+AI8</f>
        <v>204999.49418310571</v>
      </c>
      <c r="G77" s="262"/>
      <c r="H77" s="250">
        <v>0</v>
      </c>
      <c r="I77" s="263"/>
      <c r="J77" s="253">
        <f>+E77+G77</f>
        <v>164651.1418469153</v>
      </c>
      <c r="K77" s="254">
        <f>+F77+I77</f>
        <v>204999.49418310571</v>
      </c>
      <c r="L77" s="255">
        <f>'Datos Extra'!B8</f>
        <v>435811</v>
      </c>
      <c r="M77" s="256">
        <f>+L77+J77-K77+AD34</f>
        <v>395462.64766380953</v>
      </c>
      <c r="N77" s="251">
        <f>'Datos Extra'!C39</f>
        <v>395462.99999999988</v>
      </c>
      <c r="O77" s="257">
        <f t="shared" si="3"/>
        <v>0.35233619034988806</v>
      </c>
      <c r="P77" s="258">
        <v>21.37</v>
      </c>
      <c r="Q77" s="259">
        <f t="shared" si="4"/>
        <v>7.5294243877771079</v>
      </c>
      <c r="R77" s="260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8">
        <f>'Datos Extra'!C46</f>
        <v>1837.2749805450439</v>
      </c>
      <c r="C78" s="593" t="s">
        <v>94</v>
      </c>
      <c r="D78" s="501"/>
      <c r="E78" s="261">
        <f>'Datos Extra'!C46</f>
        <v>1837.2749805450439</v>
      </c>
      <c r="F78" s="250">
        <v>0</v>
      </c>
      <c r="G78" s="262"/>
      <c r="H78" s="250">
        <v>0</v>
      </c>
      <c r="I78" s="263"/>
      <c r="J78" s="274">
        <f>+E78+G78</f>
        <v>1837.2749805450439</v>
      </c>
      <c r="K78" s="264">
        <f>+F78+I78</f>
        <v>0</v>
      </c>
      <c r="L78" s="255">
        <f>'Datos Extra'!B9</f>
        <v>2203</v>
      </c>
      <c r="M78" s="262">
        <f>J78+L78-K78+H78</f>
        <v>4040.2749805450439</v>
      </c>
      <c r="N78" s="251">
        <f>'Datos Extra'!C46</f>
        <v>1837.2749805450439</v>
      </c>
      <c r="O78" s="257">
        <f t="shared" si="3"/>
        <v>-2203</v>
      </c>
      <c r="P78" s="258">
        <v>8.5485399999999991</v>
      </c>
      <c r="Q78" s="259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8"/>
      <c r="C79" s="593" t="s">
        <v>95</v>
      </c>
      <c r="D79" s="501"/>
      <c r="E79" s="261">
        <v>0</v>
      </c>
      <c r="F79" s="261">
        <v>0</v>
      </c>
      <c r="G79" s="262"/>
      <c r="H79" s="261"/>
      <c r="I79" s="263"/>
      <c r="J79" s="274">
        <f>+E79+G79</f>
        <v>0</v>
      </c>
      <c r="K79" s="264">
        <f>+F79+I79</f>
        <v>0</v>
      </c>
      <c r="L79" s="255">
        <f>'Datos Extra'!B10</f>
        <v>27</v>
      </c>
      <c r="M79" s="275">
        <f>+L79+E79-F79</f>
        <v>27</v>
      </c>
      <c r="N79" s="276">
        <v>1318</v>
      </c>
      <c r="O79" s="257">
        <f t="shared" si="3"/>
        <v>1291</v>
      </c>
      <c r="P79" s="258">
        <v>40.32</v>
      </c>
      <c r="Q79" s="259">
        <f t="shared" si="4"/>
        <v>52053.120000000003</v>
      </c>
      <c r="R79" s="133"/>
      <c r="S79" s="133"/>
      <c r="T79" s="273"/>
      <c r="U79" s="260"/>
      <c r="V79" s="260"/>
      <c r="W79" s="273"/>
      <c r="X79" s="273"/>
      <c r="Y79" s="273"/>
    </row>
    <row r="80" spans="2:26" ht="14.25" customHeight="1" x14ac:dyDescent="0.2">
      <c r="B80" s="248"/>
      <c r="C80" s="593" t="s">
        <v>96</v>
      </c>
      <c r="D80" s="501"/>
      <c r="E80" s="261">
        <v>0</v>
      </c>
      <c r="F80" s="261">
        <v>0</v>
      </c>
      <c r="G80" s="262"/>
      <c r="H80" s="261"/>
      <c r="I80" s="263"/>
      <c r="J80" s="274">
        <f>+E80+G80</f>
        <v>0</v>
      </c>
      <c r="K80" s="264">
        <f>+F80+I80</f>
        <v>0</v>
      </c>
      <c r="L80" s="255">
        <f>'Datos Extra'!B11</f>
        <v>25122</v>
      </c>
      <c r="M80" s="275">
        <f>+L80+E80-F80</f>
        <v>25122</v>
      </c>
      <c r="N80" s="276">
        <v>31676</v>
      </c>
      <c r="O80" s="257">
        <f t="shared" si="3"/>
        <v>6554</v>
      </c>
      <c r="P80" s="258">
        <v>29.61</v>
      </c>
      <c r="Q80" s="259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7"/>
      <c r="D81" s="277"/>
      <c r="E81" s="257">
        <f>+E70+E71+E72+E77+E78</f>
        <v>374536.492889738</v>
      </c>
      <c r="F81" s="257">
        <f>+F70+F71+F72+F77+F78</f>
        <v>317388.92708886333</v>
      </c>
      <c r="G81" s="196"/>
      <c r="I81" s="196"/>
      <c r="J81" s="278">
        <f>+J70+J71+J72+J77+J78</f>
        <v>374536.492889738</v>
      </c>
      <c r="K81" s="279">
        <f>+K70+K71+K72+K77+K78</f>
        <v>317388.92708886333</v>
      </c>
      <c r="L81" s="280"/>
      <c r="M81" s="280"/>
      <c r="N81" s="280"/>
      <c r="O81" s="257">
        <f>SUM(O70:O80)</f>
        <v>-54674.543464537448</v>
      </c>
      <c r="P81" s="281"/>
      <c r="Q81" s="282">
        <f>SUM(Q70:Q80)</f>
        <v>-5184441.0134185655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0"/>
      <c r="D82" s="280"/>
      <c r="E82" s="196"/>
      <c r="F82" s="196"/>
      <c r="G82" s="196"/>
      <c r="I82" s="196"/>
      <c r="J82" s="196"/>
      <c r="K82" s="283">
        <f>+K81-K72</f>
        <v>204999.49418310571</v>
      </c>
      <c r="O82" s="257">
        <f>SUM(O70:O80)-O76</f>
        <v>-58252.454545944202</v>
      </c>
      <c r="P82" s="281"/>
      <c r="Q82" s="282">
        <f>SUM(Q70:Q80)-Q76</f>
        <v>-5256500.1425980972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1"/>
      <c r="G83" s="134"/>
      <c r="H83" s="134"/>
      <c r="I83" s="133"/>
      <c r="J83" s="196"/>
      <c r="K83" s="260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90"/>
      <c r="D84" s="592"/>
      <c r="E84" s="284" t="s">
        <v>243</v>
      </c>
      <c r="F84" s="284" t="s">
        <v>179</v>
      </c>
      <c r="G84" s="284" t="s">
        <v>244</v>
      </c>
      <c r="H84" s="285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90" t="s">
        <v>246</v>
      </c>
      <c r="D85" s="591"/>
      <c r="E85" s="591"/>
      <c r="F85" s="591"/>
      <c r="G85" s="591"/>
      <c r="H85" s="592"/>
      <c r="I85" s="196"/>
      <c r="J85" s="196">
        <f>+K74*(1-AE14)</f>
        <v>216769.05758266253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7" t="s">
        <v>247</v>
      </c>
      <c r="D86" s="588"/>
      <c r="E86" s="162">
        <f>'Datos Extra'!B13</f>
        <v>841140</v>
      </c>
      <c r="F86" s="332">
        <f>'Datos Extra'!C13</f>
        <v>1</v>
      </c>
      <c r="G86" s="333">
        <f>'Datos Extra'!D13</f>
        <v>1.7937498607364257</v>
      </c>
      <c r="H86" s="288">
        <f>+E86*G86</f>
        <v>1508794.757859837</v>
      </c>
      <c r="I86" s="260"/>
      <c r="J86" s="260"/>
      <c r="K86" s="260"/>
      <c r="L86" s="260"/>
      <c r="M86" s="260"/>
      <c r="N86" s="260"/>
      <c r="O86" s="133"/>
      <c r="P86" s="133"/>
      <c r="Q86" s="133"/>
      <c r="R86" s="589"/>
      <c r="S86" s="521"/>
      <c r="T86" s="196"/>
      <c r="U86" s="196"/>
      <c r="V86" s="196"/>
    </row>
    <row r="87" spans="3:26" ht="14.25" customHeight="1" x14ac:dyDescent="0.2">
      <c r="C87" s="286" t="s">
        <v>248</v>
      </c>
      <c r="D87" s="287"/>
      <c r="E87" s="162">
        <f>'Datos Extra'!B14</f>
        <v>799464</v>
      </c>
      <c r="F87" s="332">
        <f>'Datos Extra'!C14</f>
        <v>0.85</v>
      </c>
      <c r="G87" s="333">
        <f>'Datos Extra'!D14</f>
        <v>0.93275003802393297</v>
      </c>
      <c r="H87" s="288">
        <f t="shared" ref="H87:H90" si="5">+E87*G87</f>
        <v>745700.07639876555</v>
      </c>
      <c r="I87" s="260"/>
      <c r="J87" s="260"/>
      <c r="K87" s="260"/>
      <c r="L87" s="289"/>
      <c r="M87" s="260"/>
      <c r="N87" s="260"/>
      <c r="O87" s="133"/>
      <c r="P87" s="133"/>
      <c r="Q87" s="133"/>
      <c r="R87" s="280"/>
      <c r="T87" s="196"/>
      <c r="U87" s="196"/>
      <c r="V87" s="196"/>
    </row>
    <row r="88" spans="3:26" ht="15.75" customHeight="1" x14ac:dyDescent="0.2">
      <c r="C88" s="587" t="s">
        <v>249</v>
      </c>
      <c r="D88" s="588"/>
      <c r="E88" s="162">
        <f>'Datos Extra'!B15</f>
        <v>309440</v>
      </c>
      <c r="F88" s="332">
        <f>'Datos Extra'!C15</f>
        <v>0.15</v>
      </c>
      <c r="G88" s="333">
        <f>'Datos Extra'!D15</f>
        <v>1.1554858656662388</v>
      </c>
      <c r="H88" s="288">
        <f t="shared" si="5"/>
        <v>357553.54627176095</v>
      </c>
      <c r="I88" s="260"/>
      <c r="J88" s="260"/>
      <c r="K88" s="260"/>
      <c r="L88" s="260" t="s">
        <v>266</v>
      </c>
      <c r="M88" s="260"/>
      <c r="N88" s="260"/>
      <c r="O88" s="133"/>
      <c r="P88" s="589"/>
      <c r="Q88" s="521"/>
      <c r="R88" s="196"/>
      <c r="S88" s="196"/>
      <c r="T88" s="196"/>
    </row>
    <row r="89" spans="3:26" ht="15.75" customHeight="1" x14ac:dyDescent="0.2">
      <c r="C89" s="587" t="s">
        <v>250</v>
      </c>
      <c r="D89" s="588"/>
      <c r="E89" s="162">
        <f>'Datos Extra'!B16</f>
        <v>719345</v>
      </c>
      <c r="F89" s="332">
        <f>'Datos Extra'!C16</f>
        <v>1</v>
      </c>
      <c r="G89" s="333">
        <f>'Datos Extra'!D16</f>
        <v>6.7708475606506466</v>
      </c>
      <c r="H89" s="288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589"/>
      <c r="Q89" s="521"/>
      <c r="R89" s="196"/>
      <c r="S89" s="196"/>
      <c r="T89" s="196"/>
    </row>
    <row r="90" spans="3:26" ht="14.25" customHeight="1" x14ac:dyDescent="0.2">
      <c r="C90" s="587" t="s">
        <v>251</v>
      </c>
      <c r="D90" s="588"/>
      <c r="E90" s="162">
        <f>'Datos Extra'!B17</f>
        <v>0</v>
      </c>
      <c r="F90" s="332">
        <f>'Datos Extra'!C17</f>
        <v>0</v>
      </c>
      <c r="G90" s="333">
        <f>'Datos Extra'!D17</f>
        <v>12.73464883638535</v>
      </c>
      <c r="H90" s="288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589"/>
      <c r="Q90" s="521"/>
      <c r="R90" s="196"/>
      <c r="S90" s="196"/>
      <c r="T90" s="196"/>
    </row>
    <row r="91" spans="3:26" ht="14.25" customHeight="1" x14ac:dyDescent="0.2">
      <c r="G91" s="290">
        <f>SUM(G86:G90)</f>
        <v>23.387482161462593</v>
      </c>
      <c r="H91" s="136">
        <f>SUM(H86:H90)</f>
        <v>7482623.719046602</v>
      </c>
      <c r="I91" s="260"/>
      <c r="J91" s="260"/>
      <c r="K91" s="133"/>
      <c r="L91" s="133"/>
      <c r="M91" s="133"/>
      <c r="N91" s="196"/>
      <c r="O91" s="133"/>
      <c r="P91" s="589"/>
      <c r="Q91" s="521"/>
      <c r="R91" s="196"/>
      <c r="S91" s="196"/>
      <c r="T91" s="196"/>
    </row>
    <row r="92" spans="3:26" ht="14.25" customHeight="1" x14ac:dyDescent="0.2">
      <c r="C92" s="590" t="s">
        <v>252</v>
      </c>
      <c r="D92" s="591"/>
      <c r="E92" s="591"/>
      <c r="F92" s="591"/>
      <c r="G92" s="591"/>
      <c r="H92" s="592"/>
      <c r="I92" s="260"/>
      <c r="J92" s="260"/>
      <c r="K92" s="133"/>
      <c r="L92" s="196"/>
      <c r="M92" s="133"/>
      <c r="N92" s="196"/>
      <c r="O92" s="133"/>
      <c r="P92" s="589"/>
      <c r="Q92" s="521"/>
      <c r="R92" s="196"/>
      <c r="S92" s="196"/>
      <c r="T92" s="196"/>
    </row>
    <row r="93" spans="3:26" ht="14.25" customHeight="1" x14ac:dyDescent="0.2">
      <c r="C93" s="587" t="s">
        <v>253</v>
      </c>
      <c r="D93" s="588"/>
      <c r="E93" s="163">
        <f>+AF10/(1-AE10)</f>
        <v>230701.98780012433</v>
      </c>
      <c r="F93" s="291" t="e">
        <f>+O19</f>
        <v>#DIV/0!</v>
      </c>
      <c r="G93" s="292">
        <f>'Datos Extra'!D18</f>
        <v>20.331616421326252</v>
      </c>
      <c r="H93" s="288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589"/>
      <c r="Q93" s="521"/>
      <c r="R93" s="196"/>
      <c r="S93" s="196"/>
    </row>
    <row r="94" spans="3:26" ht="14.25" customHeight="1" x14ac:dyDescent="0.2">
      <c r="C94" s="587" t="s">
        <v>254</v>
      </c>
      <c r="D94" s="588"/>
      <c r="E94" s="163">
        <f>+AF18/(1-AE18)</f>
        <v>0</v>
      </c>
      <c r="F94" s="293" t="e">
        <f>+P49/J39</f>
        <v>#DIV/0!</v>
      </c>
      <c r="G94" s="292">
        <f>'Datos Extra'!D19</f>
        <v>8.225477491060424</v>
      </c>
      <c r="H94" s="288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589"/>
      <c r="Q94" s="521"/>
      <c r="R94" s="196"/>
      <c r="S94" s="196"/>
    </row>
    <row r="95" spans="3:26" ht="14.25" customHeight="1" x14ac:dyDescent="0.2">
      <c r="C95" s="587" t="s">
        <v>255</v>
      </c>
      <c r="D95" s="588"/>
      <c r="E95" s="163">
        <f>+AF26/(1-AE26)+AF25/(1-AE25)+AF17/(1-AE17)+AF16/(1-AE16)</f>
        <v>208048.07606227766</v>
      </c>
      <c r="F95" s="291">
        <f>+P19</f>
        <v>0.82955366452739798</v>
      </c>
      <c r="G95" s="292">
        <f>'Datos Extra'!D20</f>
        <v>2.7579753151123789</v>
      </c>
      <c r="H95" s="288">
        <f t="shared" si="6"/>
        <v>573791.45813638438</v>
      </c>
      <c r="I95" s="133"/>
      <c r="J95" s="133"/>
      <c r="K95" s="133"/>
      <c r="L95" s="133"/>
      <c r="M95" s="133"/>
      <c r="N95" s="133"/>
      <c r="O95" s="133"/>
      <c r="P95" s="589"/>
      <c r="Q95" s="521"/>
      <c r="R95" s="196"/>
      <c r="S95" s="196"/>
    </row>
    <row r="96" spans="3:26" ht="14.25" customHeight="1" x14ac:dyDescent="0.2">
      <c r="C96" s="587" t="s">
        <v>256</v>
      </c>
      <c r="D96" s="588"/>
      <c r="E96" s="163">
        <f>+E95</f>
        <v>208048.07606227766</v>
      </c>
      <c r="F96" s="294">
        <v>1</v>
      </c>
      <c r="G96" s="292">
        <f>'Datos Extra'!D21</f>
        <v>2.7579753151123789</v>
      </c>
      <c r="H96" s="288">
        <f t="shared" si="6"/>
        <v>573791.45813638438</v>
      </c>
      <c r="I96" s="133"/>
      <c r="J96" s="133"/>
      <c r="K96" s="133"/>
      <c r="L96" s="133"/>
      <c r="M96" s="133"/>
      <c r="N96" s="133"/>
      <c r="O96" s="133"/>
      <c r="P96" s="589"/>
      <c r="Q96" s="521"/>
      <c r="R96" s="196"/>
      <c r="S96" s="196"/>
    </row>
    <row r="97" spans="5:18" ht="14.25" customHeight="1" x14ac:dyDescent="0.2">
      <c r="E97" s="133"/>
      <c r="F97" s="241"/>
      <c r="G97" s="290">
        <f>SUM(G93:G96)</f>
        <v>34.073044542611434</v>
      </c>
      <c r="H97" s="136">
        <f>SUM(H93:H96)</f>
        <v>5838127.2398623852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41"/>
      <c r="G98" s="182" t="s">
        <v>257</v>
      </c>
      <c r="H98" s="136">
        <f>+H91+H97</f>
        <v>13320750.958908986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41"/>
      <c r="G99" s="295" t="s">
        <v>258</v>
      </c>
      <c r="H99" s="296">
        <f>+H98/E96</f>
        <v>64.027272979546893</v>
      </c>
      <c r="I99" s="297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41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41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41"/>
      <c r="G102" s="133"/>
      <c r="R102" s="196"/>
    </row>
    <row r="103" spans="5:18" ht="15.75" customHeight="1" x14ac:dyDescent="0.2">
      <c r="E103" s="133"/>
      <c r="F103" s="241"/>
      <c r="G103" s="133"/>
    </row>
    <row r="104" spans="5:18" ht="15.75" customHeight="1" x14ac:dyDescent="0.2">
      <c r="E104" s="133"/>
      <c r="F104" s="241"/>
      <c r="G104" s="133"/>
    </row>
    <row r="105" spans="5:18" ht="15.75" customHeight="1" x14ac:dyDescent="0.2">
      <c r="E105" s="133"/>
      <c r="F105" s="241"/>
      <c r="G105" s="133"/>
    </row>
    <row r="106" spans="5:18" ht="15.75" customHeight="1" x14ac:dyDescent="0.2">
      <c r="F106" s="241"/>
      <c r="G106" s="133"/>
    </row>
    <row r="107" spans="5:18" ht="15.75" customHeight="1" x14ac:dyDescent="0.2">
      <c r="F107" s="241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2023-11-16T13:46:40Z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