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6AFF734D-4EBB-D548-8F5E-CEF893884406}" xr6:coauthVersionLast="45" xr6:coauthVersionMax="45" xr10:uidLastSave="{00000000-0000-0000-0000-000000000000}"/>
  <bookViews>
    <workbookView xWindow="20320" yWindow="0" windowWidth="25400" windowHeight="21600" tabRatio="749" activeTab="5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 (2)" sheetId="18" r:id="rId4"/>
    <sheet name="Datos Extra" sheetId="19" r:id="rId5"/>
    <sheet name="Resumen Planta Pellets" sheetId="17" r:id="rId6"/>
    <sheet name="Utilidad" sheetId="1" r:id="rId7"/>
    <sheet name="Flujos" sheetId="16" r:id="rId8"/>
    <sheet name="Diagrama" sheetId="13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_PAG1" localSheetId="5">#REF!</definedName>
    <definedName name="_PAG1" localSheetId="3">#REF!</definedName>
    <definedName name="_PAG1">#REF!</definedName>
    <definedName name="_PAG3" localSheetId="5">#REF!</definedName>
    <definedName name="_PAG3" localSheetId="3">#REF!</definedName>
    <definedName name="_PAG3">#REF!</definedName>
    <definedName name="_PAG4" localSheetId="3">#REF!</definedName>
    <definedName name="_PAG4">#REF!</definedName>
    <definedName name="_PAG5">#REF!</definedName>
    <definedName name="_PAG6">#REF!</definedName>
    <definedName name="\P" localSheetId="5">#REF!</definedName>
    <definedName name="\P" localSheetId="3">#REF!</definedName>
    <definedName name="\P">#REF!</definedName>
    <definedName name="\W" localSheetId="5">#REF!</definedName>
    <definedName name="\W" localSheetId="3">#REF!</definedName>
    <definedName name="\W">#REF!</definedName>
    <definedName name="\Z" localSheetId="5">#REF!</definedName>
    <definedName name="\Z" localSheetId="3">#REF!</definedName>
    <definedName name="\Z">#REF!</definedName>
    <definedName name="CONC" localSheetId="5">#REF!</definedName>
    <definedName name="CONC" localSheetId="3">#REF!</definedName>
    <definedName name="CONC">#REF!</definedName>
    <definedName name="CuNuevo_ConPelaCama_tmf" localSheetId="5">[1]FUNDICIÓN!$P$73</definedName>
    <definedName name="CuNuevo_ConPelaCama_tmf" localSheetId="3">[1]FUNDICIÓN!$P$73</definedName>
    <definedName name="CuNuevo_ConPelaCama_tmf">[1]FUNDICIÓN!$P$73</definedName>
    <definedName name="CuNuevo_ConPelaCama_tms" localSheetId="5">[1]FUNDICIÓN!$O$73</definedName>
    <definedName name="CuNuevo_ConPelaCama_tms" localSheetId="3">[1]FUNDICIÓN!$O$73</definedName>
    <definedName name="CuNuevo_ConPelaCama_tms">[1]FUNDICIÓN!$O$73</definedName>
    <definedName name="ECL_DelBal_por" localSheetId="5">'Resumen Planta Pellets'!$G$37</definedName>
    <definedName name="ECL_DelBal_por" localSheetId="3">'Resumen Planta Pellets (2)'!$G$37</definedName>
    <definedName name="ECL_DelBal_tmf" localSheetId="5">'Resumen Planta Pellets'!$F$37</definedName>
    <definedName name="ECL_DelBal_tmf" localSheetId="3">'Resumen Planta Pellets (2)'!$F$37</definedName>
    <definedName name="FEED" localSheetId="5">#REF!</definedName>
    <definedName name="FEED" localSheetId="3">#REF!</definedName>
    <definedName name="FEED">#REF!</definedName>
    <definedName name="feed1">#REF!</definedName>
    <definedName name="GCONC" localSheetId="5">#REF!</definedName>
    <definedName name="GCONC" localSheetId="3">#REF!</definedName>
    <definedName name="GCONC">#REF!</definedName>
    <definedName name="GFEED" localSheetId="5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5">'Resumen Planta Pellets'!$B$1:$P$39</definedName>
    <definedName name="_xlnm.Print_Area" localSheetId="3">'Resumen Planta Pellets (2)'!$B$1:$P$39</definedName>
    <definedName name="solver_adj" localSheetId="1" hidden="1">'Bal Los Colorados'!$M$46:$N$69</definedName>
    <definedName name="solver_adj" localSheetId="5" hidden="1">'Resumen Planta Pellets'!$N$10</definedName>
    <definedName name="solver_adj" localSheetId="3" hidden="1">'Resumen Planta Pellets (2)'!$N$10</definedName>
    <definedName name="solver_adj" localSheetId="6" hidden="1">Utilidad!$N$67:$O$126</definedName>
    <definedName name="solver_cvg" localSheetId="1" hidden="1">0.0001</definedName>
    <definedName name="solver_cvg" localSheetId="8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drv" localSheetId="1" hidden="1">1</definedName>
    <definedName name="solver_drv" localSheetId="8" hidden="1">2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eng" localSheetId="1" hidden="1">1</definedName>
    <definedName name="solver_eng" localSheetId="8" hidden="1">1</definedName>
    <definedName name="solver_eng" localSheetId="5" hidden="1">1</definedName>
    <definedName name="solver_eng" localSheetId="3" hidden="1">1</definedName>
    <definedName name="solver_eng" localSheetId="6" hidden="1">1</definedName>
    <definedName name="solver_est" localSheetId="1" hidden="1">1</definedName>
    <definedName name="solver_est" localSheetId="8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itr" localSheetId="1" hidden="1">2147483647</definedName>
    <definedName name="solver_itr" localSheetId="8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lhs1" localSheetId="1" hidden="1">'Bal Los Colorados'!$AB$45</definedName>
    <definedName name="solver_lhs1" localSheetId="6" hidden="1">Utilidad!$AB$67:$AB$90</definedName>
    <definedName name="solver_lhs10" localSheetId="1" hidden="1">'Bal Los Colorados'!$AB$54</definedName>
    <definedName name="solver_lhs10" localSheetId="6" hidden="1">Utilidad!$U$68</definedName>
    <definedName name="solver_lhs11" localSheetId="1" hidden="1">'Bal Los Colorados'!$AB$55</definedName>
    <definedName name="solver_lhs11" localSheetId="6" hidden="1">Utilidad!$U$69</definedName>
    <definedName name="solver_lhs12" localSheetId="1" hidden="1">'Bal Los Colorados'!$AC$45</definedName>
    <definedName name="solver_lhs12" localSheetId="6" hidden="1">Utilidad!$U$80</definedName>
    <definedName name="solver_lhs13" localSheetId="1" hidden="1">'Bal Los Colorados'!$AC$46</definedName>
    <definedName name="solver_lhs13" localSheetId="6" hidden="1">Utilidad!$U$89</definedName>
    <definedName name="solver_lhs14" localSheetId="1" hidden="1">'Bal Los Colorados'!$AC$47</definedName>
    <definedName name="solver_lhs14" localSheetId="6" hidden="1">Utilidad!$V$120</definedName>
    <definedName name="solver_lhs15" localSheetId="1" hidden="1">'Bal Los Colorados'!$AC$48</definedName>
    <definedName name="solver_lhs15" localSheetId="6" hidden="1">Utilidad!$W$105</definedName>
    <definedName name="solver_lhs16" localSheetId="1" hidden="1">'Bal Los Colorados'!$AC$49</definedName>
    <definedName name="solver_lhs16" localSheetId="6" hidden="1">Utilidad!$W$122</definedName>
    <definedName name="solver_lhs17" localSheetId="1" hidden="1">'Bal Los Colorados'!$AC$50</definedName>
    <definedName name="solver_lhs17" localSheetId="6" hidden="1">Utilidad!$W$124</definedName>
    <definedName name="solver_lhs18" localSheetId="1" hidden="1">'Bal Los Colorados'!$AC$51</definedName>
    <definedName name="solver_lhs18" localSheetId="6" hidden="1">Utilidad!$W$68</definedName>
    <definedName name="solver_lhs19" localSheetId="1" hidden="1">'Bal Los Colorados'!$AC$52</definedName>
    <definedName name="solver_lhs19" localSheetId="6" hidden="1">Utilidad!$W$89</definedName>
    <definedName name="solver_lhs2" localSheetId="1" hidden="1">'Bal Los Colorados'!$AB$46</definedName>
    <definedName name="solver_lhs2" localSheetId="6" hidden="1">Utilidad!$AC$67:$AC$90</definedName>
    <definedName name="solver_lhs20" localSheetId="1" hidden="1">'Bal Los Colorados'!$AC$53</definedName>
    <definedName name="solver_lhs20" localSheetId="6" hidden="1">Utilidad!$W$89</definedName>
    <definedName name="solver_lhs21" localSheetId="1" hidden="1">'Bal Los Colorados'!$AC$54</definedName>
    <definedName name="solver_lhs21" localSheetId="6" hidden="1">Utilidad!$W$101</definedName>
    <definedName name="solver_lhs22" localSheetId="1" hidden="1">'Bal Los Colorados'!$AC$55</definedName>
    <definedName name="solver_lhs22" localSheetId="6" hidden="1">Utilidad!$W$101</definedName>
    <definedName name="solver_lhs23" localSheetId="1" hidden="1">'Bal Los Colorados'!$T$48</definedName>
    <definedName name="solver_lhs23" localSheetId="6" hidden="1">Utilidad!$W$101</definedName>
    <definedName name="solver_lhs24" localSheetId="1" hidden="1">'Bal Los Colorados'!$T$53</definedName>
    <definedName name="solver_lhs24" localSheetId="6" hidden="1">Utilidad!$W$101</definedName>
    <definedName name="solver_lhs25" localSheetId="1" hidden="1">'Bal Los Colorados'!$T$55</definedName>
    <definedName name="solver_lhs25" localSheetId="6" hidden="1">Utilidad!$W$89</definedName>
    <definedName name="solver_lhs26" localSheetId="1" hidden="1">'Bal Los Colorados'!$T$57</definedName>
    <definedName name="solver_lhs26" localSheetId="6" hidden="1">Utilidad!$W$101</definedName>
    <definedName name="solver_lhs27" localSheetId="1" hidden="1">'Bal Los Colorados'!$T$58</definedName>
    <definedName name="solver_lhs27" localSheetId="6" hidden="1">Utilidad!$W$101</definedName>
    <definedName name="solver_lhs28" localSheetId="1" hidden="1">'Bal Los Colorados'!$T$59</definedName>
    <definedName name="solver_lhs28" localSheetId="6" hidden="1">Utilidad!#REF!</definedName>
    <definedName name="solver_lhs29" localSheetId="1" hidden="1">'Bal Los Colorados'!$T$68</definedName>
    <definedName name="solver_lhs29" localSheetId="6" hidden="1">Utilidad!#REF!</definedName>
    <definedName name="solver_lhs3" localSheetId="1" hidden="1">'Bal Los Colorados'!$AB$47</definedName>
    <definedName name="solver_lhs3" localSheetId="6" hidden="1">Utilidad!$U$101</definedName>
    <definedName name="solver_lhs30" localSheetId="1" hidden="1">'Bal Los Colorados'!$T$69</definedName>
    <definedName name="solver_lhs30" localSheetId="6" hidden="1">Utilidad!#REF!</definedName>
    <definedName name="solver_lhs31" localSheetId="1" hidden="1">'Bal Los Colorados'!$V$46</definedName>
    <definedName name="solver_lhs31" localSheetId="6" hidden="1">Utilidad!#REF!</definedName>
    <definedName name="solver_lhs32" localSheetId="1" hidden="1">'Bal Los Colorados'!$V$55</definedName>
    <definedName name="solver_lhs32" localSheetId="6" hidden="1">Utilidad!#REF!</definedName>
    <definedName name="solver_lhs33" localSheetId="1" hidden="1">'Bal Los Colorados'!$V$57</definedName>
    <definedName name="solver_lhs33" localSheetId="6" hidden="1">Utilidad!#REF!</definedName>
    <definedName name="solver_lhs34" localSheetId="1" hidden="1">'Bal Los Colorados'!$V$59</definedName>
    <definedName name="solver_lhs34" localSheetId="6" hidden="1">Utilidad!#REF!</definedName>
    <definedName name="solver_lhs35" localSheetId="1" hidden="1">'Bal Los Colorados'!$V$63</definedName>
    <definedName name="solver_lhs35" localSheetId="6" hidden="1">Utilidad!#REF!</definedName>
    <definedName name="solver_lhs36" localSheetId="1" hidden="1">'Bal Los Colorados'!$V$66</definedName>
    <definedName name="solver_lhs36" localSheetId="6" hidden="1">Utilidad!#REF!</definedName>
    <definedName name="solver_lhs37" localSheetId="1" hidden="1">'Bal Los Colorados'!$V$68</definedName>
    <definedName name="solver_lhs37" localSheetId="6" hidden="1">Utilidad!#REF!</definedName>
    <definedName name="solver_lhs38" localSheetId="1" hidden="1">'Bal Los Colorados'!$V$69</definedName>
    <definedName name="solver_lhs38" localSheetId="6" hidden="1">Utilidad!#REF!</definedName>
    <definedName name="solver_lhs39" localSheetId="1" hidden="1">'Bal Los Colorados'!$V$69</definedName>
    <definedName name="solver_lhs39" localSheetId="6" hidden="1">Utilidad!#REF!</definedName>
    <definedName name="solver_lhs4" localSheetId="1" hidden="1">'Bal Los Colorados'!$AB$48</definedName>
    <definedName name="solver_lhs4" localSheetId="6" hidden="1">Utilidad!$U$103</definedName>
    <definedName name="solver_lhs40" localSheetId="1" hidden="1">'Bal Los Colorados'!$AB$49</definedName>
    <definedName name="solver_lhs40" localSheetId="6" hidden="1">Utilidad!#REF!</definedName>
    <definedName name="solver_lhs41" localSheetId="1" hidden="1">'Bal Los Colorados'!$AB$49</definedName>
    <definedName name="solver_lhs41" localSheetId="6" hidden="1">Utilidad!#REF!</definedName>
    <definedName name="solver_lhs42" localSheetId="6" hidden="1">Utilidad!#REF!</definedName>
    <definedName name="solver_lhs43" localSheetId="6" hidden="1">Utilidad!#REF!</definedName>
    <definedName name="solver_lhs44" localSheetId="6" hidden="1">Utilidad!#REF!</definedName>
    <definedName name="solver_lhs45" localSheetId="6" hidden="1">Utilidad!#REF!</definedName>
    <definedName name="solver_lhs46" localSheetId="6" hidden="1">Utilidad!#REF!</definedName>
    <definedName name="solver_lhs47" localSheetId="6" hidden="1">Utilidad!#REF!</definedName>
    <definedName name="solver_lhs48" localSheetId="6" hidden="1">Utilidad!#REF!</definedName>
    <definedName name="solver_lhs49" localSheetId="6" hidden="1">Utilidad!#REF!</definedName>
    <definedName name="solver_lhs5" localSheetId="1" hidden="1">'Bal Los Colorados'!$AB$49</definedName>
    <definedName name="solver_lhs5" localSheetId="6" hidden="1">Utilidad!$U$105</definedName>
    <definedName name="solver_lhs50" localSheetId="6" hidden="1">Utilidad!#REF!</definedName>
    <definedName name="solver_lhs51" localSheetId="6" hidden="1">Utilidad!#REF!</definedName>
    <definedName name="solver_lhs52" localSheetId="6" hidden="1">Utilidad!#REF!</definedName>
    <definedName name="solver_lhs53" localSheetId="6" hidden="1">Utilidad!#REF!</definedName>
    <definedName name="solver_lhs54" localSheetId="6" hidden="1">Utilidad!#REF!</definedName>
    <definedName name="solver_lhs55" localSheetId="6" hidden="1">Utilidad!#REF!</definedName>
    <definedName name="solver_lhs56" localSheetId="6" hidden="1">Utilidad!#REF!</definedName>
    <definedName name="solver_lhs57" localSheetId="6" hidden="1">Utilidad!#REF!</definedName>
    <definedName name="solver_lhs58" localSheetId="6" hidden="1">Utilidad!#REF!</definedName>
    <definedName name="solver_lhs59" localSheetId="6" hidden="1">Utilidad!#REF!</definedName>
    <definedName name="solver_lhs6" localSheetId="1" hidden="1">'Bal Los Colorados'!$AB$50</definedName>
    <definedName name="solver_lhs6" localSheetId="6" hidden="1">Utilidad!$U$122</definedName>
    <definedName name="solver_lhs60" localSheetId="6" hidden="1">Utilidad!#REF!</definedName>
    <definedName name="solver_lhs61" localSheetId="6" hidden="1">Utilidad!#REF!</definedName>
    <definedName name="solver_lhs62" localSheetId="6" hidden="1">Utilidad!#REF!</definedName>
    <definedName name="solver_lhs63" localSheetId="6" hidden="1">Utilidad!#REF!</definedName>
    <definedName name="solver_lhs64" localSheetId="6" hidden="1">Utilidad!#REF!</definedName>
    <definedName name="solver_lhs65" localSheetId="6" hidden="1">Utilidad!#REF!</definedName>
    <definedName name="solver_lhs66" localSheetId="6" hidden="1">Utilidad!$W$90</definedName>
    <definedName name="solver_lhs67" localSheetId="6" hidden="1">Utilidad!$W$96</definedName>
    <definedName name="solver_lhs68" localSheetId="6" hidden="1">Utilidad!$W$96</definedName>
    <definedName name="solver_lhs69" localSheetId="6" hidden="1">Utilidad!$W$96</definedName>
    <definedName name="solver_lhs7" localSheetId="1" hidden="1">'Bal Los Colorados'!$AB$51</definedName>
    <definedName name="solver_lhs7" localSheetId="6" hidden="1">Utilidad!$U$124</definedName>
    <definedName name="solver_lhs70" localSheetId="6" hidden="1">Utilidad!$W$96</definedName>
    <definedName name="solver_lhs71" localSheetId="6" hidden="1">Utilidad!$W$96</definedName>
    <definedName name="solver_lhs72" localSheetId="6" hidden="1">Utilidad!$W$96</definedName>
    <definedName name="solver_lhs73" localSheetId="6" hidden="1">Utilidad!$W$96</definedName>
    <definedName name="solver_lhs74" localSheetId="6" hidden="1">Utilidad!$W$96</definedName>
    <definedName name="solver_lhs75" localSheetId="6" hidden="1">Utilidad!$W$96</definedName>
    <definedName name="solver_lhs76" localSheetId="6" hidden="1">Utilidad!$W$96</definedName>
    <definedName name="solver_lhs77" localSheetId="6" hidden="1">Utilidad!$W$96</definedName>
    <definedName name="solver_lhs78" localSheetId="6" hidden="1">Utilidad!$W$96</definedName>
    <definedName name="solver_lhs79" localSheetId="6" hidden="1">Utilidad!$W$96</definedName>
    <definedName name="solver_lhs8" localSheetId="1" hidden="1">'Bal Los Colorados'!$AB$52</definedName>
    <definedName name="solver_lhs8" localSheetId="6" hidden="1">Utilidad!$U$126</definedName>
    <definedName name="solver_lhs80" localSheetId="6" hidden="1">Utilidad!$W$96</definedName>
    <definedName name="solver_lhs81" localSheetId="6" hidden="1">Utilidad!#REF!</definedName>
    <definedName name="solver_lhs82" localSheetId="6" hidden="1">Utilidad!$W$96</definedName>
    <definedName name="solver_lhs9" localSheetId="1" hidden="1">'Bal Los Colorados'!$AB$53</definedName>
    <definedName name="solver_lhs9" localSheetId="6" hidden="1">Utilidad!$U$67</definedName>
    <definedName name="solver_lin" localSheetId="6" hidden="1">2</definedName>
    <definedName name="solver_mip" localSheetId="1" hidden="1">2147483647</definedName>
    <definedName name="solver_mip" localSheetId="8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ni" localSheetId="1" hidden="1">30</definedName>
    <definedName name="solver_mni" localSheetId="8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rt" localSheetId="1" hidden="1">0.075</definedName>
    <definedName name="solver_mrt" localSheetId="8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sl" localSheetId="1" hidden="1">2</definedName>
    <definedName name="solver_msl" localSheetId="8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neg" localSheetId="1" hidden="1">1</definedName>
    <definedName name="solver_neg" localSheetId="8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od" localSheetId="1" hidden="1">2147483647</definedName>
    <definedName name="solver_nod" localSheetId="8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um" localSheetId="1" hidden="1">38</definedName>
    <definedName name="solver_num" localSheetId="8" hidden="1">0</definedName>
    <definedName name="solver_num" localSheetId="5" hidden="1">0</definedName>
    <definedName name="solver_num" localSheetId="3" hidden="1">0</definedName>
    <definedName name="solver_num" localSheetId="6" hidden="1">19</definedName>
    <definedName name="solver_nwt" localSheetId="1" hidden="1">1</definedName>
    <definedName name="solver_nwt" localSheetId="8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opt" localSheetId="1" hidden="1">'Bal Los Colorados'!$AB$58</definedName>
    <definedName name="solver_opt" localSheetId="8" hidden="1">Diagrama!$Q$32</definedName>
    <definedName name="solver_opt" localSheetId="5" hidden="1">'Resumen Planta Pellets'!$R$15</definedName>
    <definedName name="solver_opt" localSheetId="3" hidden="1">'Resumen Planta Pellets (2)'!$R$15</definedName>
    <definedName name="solver_opt" localSheetId="6" hidden="1">Utilidad!$AB$93</definedName>
    <definedName name="solver_pre" localSheetId="1" hidden="1">0.000001</definedName>
    <definedName name="solver_pre" localSheetId="8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rbv" localSheetId="1" hidden="1">1</definedName>
    <definedName name="solver_rbv" localSheetId="8" hidden="1">2</definedName>
    <definedName name="solver_rbv" localSheetId="5" hidden="1">1</definedName>
    <definedName name="solver_rbv" localSheetId="3" hidden="1">1</definedName>
    <definedName name="solver_rbv" localSheetId="6" hidden="1">1</definedName>
    <definedName name="solver_rel1" localSheetId="1" hidden="1">2</definedName>
    <definedName name="solver_rel1" localSheetId="6" hidden="1">2</definedName>
    <definedName name="solver_rel10" localSheetId="1" hidden="1">2</definedName>
    <definedName name="solver_rel10" localSheetId="6" hidden="1">1</definedName>
    <definedName name="solver_rel11" localSheetId="1" hidden="1">2</definedName>
    <definedName name="solver_rel11" localSheetId="6" hidden="1">1</definedName>
    <definedName name="solver_rel12" localSheetId="1" hidden="1">2</definedName>
    <definedName name="solver_rel12" localSheetId="6" hidden="1">1</definedName>
    <definedName name="solver_rel13" localSheetId="1" hidden="1">2</definedName>
    <definedName name="solver_rel13" localSheetId="6" hidden="1">1</definedName>
    <definedName name="solver_rel14" localSheetId="1" hidden="1">2</definedName>
    <definedName name="solver_rel14" localSheetId="6" hidden="1">1</definedName>
    <definedName name="solver_rel15" localSheetId="1" hidden="1">2</definedName>
    <definedName name="solver_rel15" localSheetId="6" hidden="1">1</definedName>
    <definedName name="solver_rel16" localSheetId="1" hidden="1">2</definedName>
    <definedName name="solver_rel16" localSheetId="6" hidden="1">1</definedName>
    <definedName name="solver_rel17" localSheetId="1" hidden="1">2</definedName>
    <definedName name="solver_rel17" localSheetId="6" hidden="1">1</definedName>
    <definedName name="solver_rel18" localSheetId="1" hidden="1">2</definedName>
    <definedName name="solver_rel18" localSheetId="6" hidden="1">1</definedName>
    <definedName name="solver_rel19" localSheetId="1" hidden="1">2</definedName>
    <definedName name="solver_rel19" localSheetId="6" hidden="1">1</definedName>
    <definedName name="solver_rel2" localSheetId="1" hidden="1">2</definedName>
    <definedName name="solver_rel2" localSheetId="6" hidden="1">2</definedName>
    <definedName name="solver_rel20" localSheetId="1" hidden="1">2</definedName>
    <definedName name="solver_rel20" localSheetId="6" hidden="1">1</definedName>
    <definedName name="solver_rel21" localSheetId="1" hidden="1">2</definedName>
    <definedName name="solver_rel21" localSheetId="6" hidden="1">1</definedName>
    <definedName name="solver_rel22" localSheetId="1" hidden="1">2</definedName>
    <definedName name="solver_rel22" localSheetId="6" hidden="1">1</definedName>
    <definedName name="solver_rel23" localSheetId="1" hidden="1">1</definedName>
    <definedName name="solver_rel23" localSheetId="6" hidden="1">1</definedName>
    <definedName name="solver_rel24" localSheetId="1" hidden="1">1</definedName>
    <definedName name="solver_rel24" localSheetId="6" hidden="1">1</definedName>
    <definedName name="solver_rel25" localSheetId="1" hidden="1">1</definedName>
    <definedName name="solver_rel25" localSheetId="6" hidden="1">1</definedName>
    <definedName name="solver_rel26" localSheetId="1" hidden="1">1</definedName>
    <definedName name="solver_rel26" localSheetId="6" hidden="1">1</definedName>
    <definedName name="solver_rel27" localSheetId="1" hidden="1">1</definedName>
    <definedName name="solver_rel27" localSheetId="6" hidden="1">1</definedName>
    <definedName name="solver_rel28" localSheetId="1" hidden="1">1</definedName>
    <definedName name="solver_rel28" localSheetId="6" hidden="1">2</definedName>
    <definedName name="solver_rel29" localSheetId="1" hidden="1">1</definedName>
    <definedName name="solver_rel29" localSheetId="6" hidden="1">2</definedName>
    <definedName name="solver_rel3" localSheetId="1" hidden="1">2</definedName>
    <definedName name="solver_rel3" localSheetId="6" hidden="1">1</definedName>
    <definedName name="solver_rel30" localSheetId="1" hidden="1">1</definedName>
    <definedName name="solver_rel30" localSheetId="6" hidden="1">2</definedName>
    <definedName name="solver_rel31" localSheetId="1" hidden="1">1</definedName>
    <definedName name="solver_rel31" localSheetId="6" hidden="1">2</definedName>
    <definedName name="solver_rel32" localSheetId="1" hidden="1">1</definedName>
    <definedName name="solver_rel32" localSheetId="6" hidden="1">2</definedName>
    <definedName name="solver_rel33" localSheetId="1" hidden="1">1</definedName>
    <definedName name="solver_rel33" localSheetId="6" hidden="1">2</definedName>
    <definedName name="solver_rel34" localSheetId="1" hidden="1">1</definedName>
    <definedName name="solver_rel34" localSheetId="6" hidden="1">2</definedName>
    <definedName name="solver_rel35" localSheetId="1" hidden="1">1</definedName>
    <definedName name="solver_rel35" localSheetId="6" hidden="1">2</definedName>
    <definedName name="solver_rel36" localSheetId="1" hidden="1">1</definedName>
    <definedName name="solver_rel36" localSheetId="6" hidden="1">2</definedName>
    <definedName name="solver_rel37" localSheetId="1" hidden="1">1</definedName>
    <definedName name="solver_rel37" localSheetId="6" hidden="1">2</definedName>
    <definedName name="solver_rel38" localSheetId="1" hidden="1">1</definedName>
    <definedName name="solver_rel38" localSheetId="6" hidden="1">2</definedName>
    <definedName name="solver_rel39" localSheetId="1" hidden="1">1</definedName>
    <definedName name="solver_rel39" localSheetId="6" hidden="1">2</definedName>
    <definedName name="solver_rel4" localSheetId="1" hidden="1">2</definedName>
    <definedName name="solver_rel4" localSheetId="6" hidden="1">1</definedName>
    <definedName name="solver_rel40" localSheetId="1" hidden="1">2</definedName>
    <definedName name="solver_rel40" localSheetId="6" hidden="1">2</definedName>
    <definedName name="solver_rel41" localSheetId="1" hidden="1">2</definedName>
    <definedName name="solver_rel41" localSheetId="6" hidden="1">2</definedName>
    <definedName name="solver_rel42" localSheetId="6" hidden="1">2</definedName>
    <definedName name="solver_rel43" localSheetId="6" hidden="1">2</definedName>
    <definedName name="solver_rel44" localSheetId="6" hidden="1">2</definedName>
    <definedName name="solver_rel45" localSheetId="6" hidden="1">2</definedName>
    <definedName name="solver_rel46" localSheetId="6" hidden="1">2</definedName>
    <definedName name="solver_rel47" localSheetId="6" hidden="1">2</definedName>
    <definedName name="solver_rel48" localSheetId="6" hidden="1">2</definedName>
    <definedName name="solver_rel49" localSheetId="6" hidden="1">2</definedName>
    <definedName name="solver_rel5" localSheetId="1" hidden="1">2</definedName>
    <definedName name="solver_rel5" localSheetId="6" hidden="1">1</definedName>
    <definedName name="solver_rel50" localSheetId="6" hidden="1">2</definedName>
    <definedName name="solver_rel51" localSheetId="6" hidden="1">2</definedName>
    <definedName name="solver_rel52" localSheetId="6" hidden="1">2</definedName>
    <definedName name="solver_rel53" localSheetId="6" hidden="1">2</definedName>
    <definedName name="solver_rel54" localSheetId="6" hidden="1">2</definedName>
    <definedName name="solver_rel55" localSheetId="6" hidden="1">2</definedName>
    <definedName name="solver_rel56" localSheetId="6" hidden="1">2</definedName>
    <definedName name="solver_rel57" localSheetId="6" hidden="1">2</definedName>
    <definedName name="solver_rel58" localSheetId="6" hidden="1">2</definedName>
    <definedName name="solver_rel59" localSheetId="6" hidden="1">2</definedName>
    <definedName name="solver_rel6" localSheetId="1" hidden="1">2</definedName>
    <definedName name="solver_rel6" localSheetId="6" hidden="1">1</definedName>
    <definedName name="solver_rel60" localSheetId="6" hidden="1">2</definedName>
    <definedName name="solver_rel61" localSheetId="6" hidden="1">2</definedName>
    <definedName name="solver_rel62" localSheetId="6" hidden="1">2</definedName>
    <definedName name="solver_rel63" localSheetId="6" hidden="1">2</definedName>
    <definedName name="solver_rel64" localSheetId="6" hidden="1">2</definedName>
    <definedName name="solver_rel65" localSheetId="6" hidden="1">2</definedName>
    <definedName name="solver_rel66" localSheetId="6" hidden="1">1</definedName>
    <definedName name="solver_rel67" localSheetId="6" hidden="1">1</definedName>
    <definedName name="solver_rel68" localSheetId="6" hidden="1">1</definedName>
    <definedName name="solver_rel69" localSheetId="6" hidden="1">1</definedName>
    <definedName name="solver_rel7" localSheetId="1" hidden="1">2</definedName>
    <definedName name="solver_rel7" localSheetId="6" hidden="1">1</definedName>
    <definedName name="solver_rel70" localSheetId="6" hidden="1">1</definedName>
    <definedName name="solver_rel71" localSheetId="6" hidden="1">1</definedName>
    <definedName name="solver_rel72" localSheetId="6" hidden="1">1</definedName>
    <definedName name="solver_rel73" localSheetId="6" hidden="1">1</definedName>
    <definedName name="solver_rel74" localSheetId="6" hidden="1">1</definedName>
    <definedName name="solver_rel75" localSheetId="6" hidden="1">1</definedName>
    <definedName name="solver_rel76" localSheetId="6" hidden="1">1</definedName>
    <definedName name="solver_rel77" localSheetId="6" hidden="1">1</definedName>
    <definedName name="solver_rel78" localSheetId="6" hidden="1">1</definedName>
    <definedName name="solver_rel79" localSheetId="6" hidden="1">1</definedName>
    <definedName name="solver_rel8" localSheetId="1" hidden="1">2</definedName>
    <definedName name="solver_rel8" localSheetId="6" hidden="1">1</definedName>
    <definedName name="solver_rel80" localSheetId="6" hidden="1">1</definedName>
    <definedName name="solver_rel81" localSheetId="6" hidden="1">2</definedName>
    <definedName name="solver_rel82" localSheetId="6" hidden="1">1</definedName>
    <definedName name="solver_rel9" localSheetId="1" hidden="1">2</definedName>
    <definedName name="solver_rel9" localSheetId="6" hidden="1">1</definedName>
    <definedName name="solver_rhs1" localSheetId="1" hidden="1">0</definedName>
    <definedName name="solver_rhs1" localSheetId="6" hidden="1">Utilidad!$AE$67:$AE$90</definedName>
    <definedName name="solver_rhs10" localSheetId="1" hidden="1">0</definedName>
    <definedName name="solver_rhs10" localSheetId="6" hidden="1">Utilidad!$V$68</definedName>
    <definedName name="solver_rhs11" localSheetId="1" hidden="1">0</definedName>
    <definedName name="solver_rhs11" localSheetId="6" hidden="1">Utilidad!$V$69</definedName>
    <definedName name="solver_rhs12" localSheetId="1" hidden="1">0</definedName>
    <definedName name="solver_rhs12" localSheetId="6" hidden="1">Utilidad!$V$80</definedName>
    <definedName name="solver_rhs13" localSheetId="1" hidden="1">0</definedName>
    <definedName name="solver_rhs13" localSheetId="6" hidden="1">Utilidad!$V$89</definedName>
    <definedName name="solver_rhs14" localSheetId="1" hidden="1">0</definedName>
    <definedName name="solver_rhs14" localSheetId="6" hidden="1">Utilidad!$X$120</definedName>
    <definedName name="solver_rhs15" localSheetId="1" hidden="1">0</definedName>
    <definedName name="solver_rhs15" localSheetId="6" hidden="1">Utilidad!$X$105</definedName>
    <definedName name="solver_rhs16" localSheetId="1" hidden="1">0</definedName>
    <definedName name="solver_rhs16" localSheetId="6" hidden="1">Utilidad!$X$122</definedName>
    <definedName name="solver_rhs17" localSheetId="1" hidden="1">0</definedName>
    <definedName name="solver_rhs17" localSheetId="6" hidden="1">Utilidad!$X$124</definedName>
    <definedName name="solver_rhs18" localSheetId="1" hidden="1">0</definedName>
    <definedName name="solver_rhs18" localSheetId="6" hidden="1">Utilidad!$X$68</definedName>
    <definedName name="solver_rhs19" localSheetId="1" hidden="1">0</definedName>
    <definedName name="solver_rhs19" localSheetId="6" hidden="1">Utilidad!$X$89</definedName>
    <definedName name="solver_rhs2" localSheetId="1" hidden="1">0</definedName>
    <definedName name="solver_rhs2" localSheetId="6" hidden="1">Utilidad!$AE$67:$AE$90</definedName>
    <definedName name="solver_rhs20" localSheetId="1" hidden="1">0</definedName>
    <definedName name="solver_rhs20" localSheetId="6" hidden="1">Utilidad!$X$89</definedName>
    <definedName name="solver_rhs21" localSheetId="1" hidden="1">0</definedName>
    <definedName name="solver_rhs21" localSheetId="6" hidden="1">Utilidad!$X$101</definedName>
    <definedName name="solver_rhs22" localSheetId="1" hidden="1">0</definedName>
    <definedName name="solver_rhs22" localSheetId="6" hidden="1">Utilidad!$X$101</definedName>
    <definedName name="solver_rhs23" localSheetId="1" hidden="1">'Bal Los Colorados'!$U$48</definedName>
    <definedName name="solver_rhs23" localSheetId="6" hidden="1">Utilidad!$X$101</definedName>
    <definedName name="solver_rhs24" localSheetId="1" hidden="1">'Bal Los Colorados'!$U$53</definedName>
    <definedName name="solver_rhs24" localSheetId="6" hidden="1">Utilidad!$X$101</definedName>
    <definedName name="solver_rhs25" localSheetId="1" hidden="1">'Bal Los Colorados'!$U$55</definedName>
    <definedName name="solver_rhs25" localSheetId="6" hidden="1">Utilidad!$X$89</definedName>
    <definedName name="solver_rhs26" localSheetId="1" hidden="1">'Bal Los Colorados'!$U$57</definedName>
    <definedName name="solver_rhs26" localSheetId="6" hidden="1">Utilidad!$X$101</definedName>
    <definedName name="solver_rhs27" localSheetId="1" hidden="1">'Bal Los Colorados'!$U$58</definedName>
    <definedName name="solver_rhs27" localSheetId="6" hidden="1">Utilidad!$X$101</definedName>
    <definedName name="solver_rhs28" localSheetId="1" hidden="1">'Bal Los Colorados'!$U$59</definedName>
    <definedName name="solver_rhs28" localSheetId="6" hidden="1">0</definedName>
    <definedName name="solver_rhs29" localSheetId="1" hidden="1">'Bal Los Colorados'!$U$68</definedName>
    <definedName name="solver_rhs29" localSheetId="6" hidden="1">0</definedName>
    <definedName name="solver_rhs3" localSheetId="1" hidden="1">0</definedName>
    <definedName name="solver_rhs3" localSheetId="6" hidden="1">Utilidad!$V$101</definedName>
    <definedName name="solver_rhs30" localSheetId="1" hidden="1">'Bal Los Colorados'!$U$69</definedName>
    <definedName name="solver_rhs30" localSheetId="6" hidden="1">0</definedName>
    <definedName name="solver_rhs31" localSheetId="1" hidden="1">'Bal Los Colorados'!$W$46</definedName>
    <definedName name="solver_rhs31" localSheetId="6" hidden="1">0</definedName>
    <definedName name="solver_rhs32" localSheetId="1" hidden="1">'Bal Los Colorados'!$W$55</definedName>
    <definedName name="solver_rhs32" localSheetId="6" hidden="1">0</definedName>
    <definedName name="solver_rhs33" localSheetId="1" hidden="1">'Bal Los Colorados'!$W$57</definedName>
    <definedName name="solver_rhs33" localSheetId="6" hidden="1">0</definedName>
    <definedName name="solver_rhs34" localSheetId="1" hidden="1">'Bal Los Colorados'!$W$59</definedName>
    <definedName name="solver_rhs34" localSheetId="6" hidden="1">0</definedName>
    <definedName name="solver_rhs35" localSheetId="1" hidden="1">'Bal Los Colorados'!$W$63</definedName>
    <definedName name="solver_rhs35" localSheetId="6" hidden="1">0</definedName>
    <definedName name="solver_rhs36" localSheetId="1" hidden="1">'Bal Los Colorados'!$W$66</definedName>
    <definedName name="solver_rhs36" localSheetId="6" hidden="1">0</definedName>
    <definedName name="solver_rhs37" localSheetId="1" hidden="1">'Bal Los Colorados'!$W$68</definedName>
    <definedName name="solver_rhs37" localSheetId="6" hidden="1">0</definedName>
    <definedName name="solver_rhs38" localSheetId="1" hidden="1">'Bal Los Colorados'!$W$69</definedName>
    <definedName name="solver_rhs38" localSheetId="6" hidden="1">0</definedName>
    <definedName name="solver_rhs39" localSheetId="1" hidden="1">'Bal Los Colorados'!$W$69</definedName>
    <definedName name="solver_rhs39" localSheetId="6" hidden="1">0</definedName>
    <definedName name="solver_rhs4" localSheetId="1" hidden="1">0</definedName>
    <definedName name="solver_rhs4" localSheetId="6" hidden="1">Utilidad!$V$103</definedName>
    <definedName name="solver_rhs40" localSheetId="1" hidden="1">0</definedName>
    <definedName name="solver_rhs40" localSheetId="6" hidden="1">0</definedName>
    <definedName name="solver_rhs41" localSheetId="1" hidden="1">0</definedName>
    <definedName name="solver_rhs41" localSheetId="6" hidden="1">0</definedName>
    <definedName name="solver_rhs42" localSheetId="6" hidden="1">0</definedName>
    <definedName name="solver_rhs43" localSheetId="6" hidden="1">0</definedName>
    <definedName name="solver_rhs44" localSheetId="6" hidden="1">0</definedName>
    <definedName name="solver_rhs45" localSheetId="6" hidden="1">0</definedName>
    <definedName name="solver_rhs46" localSheetId="6" hidden="1">0</definedName>
    <definedName name="solver_rhs47" localSheetId="6" hidden="1">0</definedName>
    <definedName name="solver_rhs48" localSheetId="6" hidden="1">0</definedName>
    <definedName name="solver_rhs49" localSheetId="6" hidden="1">0</definedName>
    <definedName name="solver_rhs5" localSheetId="1" hidden="1">0</definedName>
    <definedName name="solver_rhs5" localSheetId="6" hidden="1">Utilidad!$V$105</definedName>
    <definedName name="solver_rhs50" localSheetId="6" hidden="1">0</definedName>
    <definedName name="solver_rhs51" localSheetId="6" hidden="1">0</definedName>
    <definedName name="solver_rhs52" localSheetId="6" hidden="1">0</definedName>
    <definedName name="solver_rhs53" localSheetId="6" hidden="1">0</definedName>
    <definedName name="solver_rhs54" localSheetId="6" hidden="1">0</definedName>
    <definedName name="solver_rhs55" localSheetId="6" hidden="1">0</definedName>
    <definedName name="solver_rhs56" localSheetId="6" hidden="1">0</definedName>
    <definedName name="solver_rhs57" localSheetId="6" hidden="1">0</definedName>
    <definedName name="solver_rhs58" localSheetId="6" hidden="1">0</definedName>
    <definedName name="solver_rhs59" localSheetId="6" hidden="1">0</definedName>
    <definedName name="solver_rhs6" localSheetId="1" hidden="1">0</definedName>
    <definedName name="solver_rhs6" localSheetId="6" hidden="1">Utilidad!$V$122</definedName>
    <definedName name="solver_rhs60" localSheetId="6" hidden="1">0</definedName>
    <definedName name="solver_rhs61" localSheetId="6" hidden="1">0</definedName>
    <definedName name="solver_rhs62" localSheetId="6" hidden="1">0</definedName>
    <definedName name="solver_rhs63" localSheetId="6" hidden="1">0</definedName>
    <definedName name="solver_rhs64" localSheetId="6" hidden="1">0</definedName>
    <definedName name="solver_rhs65" localSheetId="6" hidden="1">0</definedName>
    <definedName name="solver_rhs66" localSheetId="6" hidden="1">Utilidad!$X$90</definedName>
    <definedName name="solver_rhs67" localSheetId="6" hidden="1">Utilidad!$X$96</definedName>
    <definedName name="solver_rhs68" localSheetId="6" hidden="1">Utilidad!$X$96</definedName>
    <definedName name="solver_rhs69" localSheetId="6" hidden="1">Utilidad!$X$96</definedName>
    <definedName name="solver_rhs7" localSheetId="1" hidden="1">0</definedName>
    <definedName name="solver_rhs7" localSheetId="6" hidden="1">Utilidad!$V$124</definedName>
    <definedName name="solver_rhs70" localSheetId="6" hidden="1">Utilidad!$X$96</definedName>
    <definedName name="solver_rhs71" localSheetId="6" hidden="1">Utilidad!$X$96</definedName>
    <definedName name="solver_rhs72" localSheetId="6" hidden="1">Utilidad!$X$96</definedName>
    <definedName name="solver_rhs73" localSheetId="6" hidden="1">Utilidad!$X$96</definedName>
    <definedName name="solver_rhs74" localSheetId="6" hidden="1">Utilidad!$X$96</definedName>
    <definedName name="solver_rhs75" localSheetId="6" hidden="1">Utilidad!$X$96</definedName>
    <definedName name="solver_rhs76" localSheetId="6" hidden="1">Utilidad!$X$96</definedName>
    <definedName name="solver_rhs77" localSheetId="6" hidden="1">Utilidad!$X$96</definedName>
    <definedName name="solver_rhs78" localSheetId="6" hidden="1">Utilidad!$X$96</definedName>
    <definedName name="solver_rhs79" localSheetId="6" hidden="1">Utilidad!$X$96</definedName>
    <definedName name="solver_rhs8" localSheetId="1" hidden="1">0</definedName>
    <definedName name="solver_rhs8" localSheetId="6" hidden="1">Utilidad!$V$126</definedName>
    <definedName name="solver_rhs80" localSheetId="6" hidden="1">Utilidad!$X$96</definedName>
    <definedName name="solver_rhs81" localSheetId="6" hidden="1">0</definedName>
    <definedName name="solver_rhs82" localSheetId="6" hidden="1">Utilidad!$X$96</definedName>
    <definedName name="solver_rhs9" localSheetId="1" hidden="1">0</definedName>
    <definedName name="solver_rhs9" localSheetId="6" hidden="1">Utilidad!$V$67</definedName>
    <definedName name="solver_rlx" localSheetId="1" hidden="1">2</definedName>
    <definedName name="solver_rlx" localSheetId="8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sd" localSheetId="1" hidden="1">0</definedName>
    <definedName name="solver_rsd" localSheetId="8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scl" localSheetId="1" hidden="1">1</definedName>
    <definedName name="solver_scl" localSheetId="8" hidden="1">2</definedName>
    <definedName name="solver_scl" localSheetId="5" hidden="1">1</definedName>
    <definedName name="solver_scl" localSheetId="3" hidden="1">1</definedName>
    <definedName name="solver_scl" localSheetId="6" hidden="1">1</definedName>
    <definedName name="solver_sho" localSheetId="1" hidden="1">2</definedName>
    <definedName name="solver_sho" localSheetId="8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sz" localSheetId="1" hidden="1">100</definedName>
    <definedName name="solver_ssz" localSheetId="8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tim" localSheetId="1" hidden="1">2147483647</definedName>
    <definedName name="solver_tim" localSheetId="8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ol" localSheetId="1" hidden="1">0.01</definedName>
    <definedName name="solver_tol" localSheetId="8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yp" localSheetId="1" hidden="1">2</definedName>
    <definedName name="solver_typ" localSheetId="8" hidden="1">1</definedName>
    <definedName name="solver_typ" localSheetId="5" hidden="1">3</definedName>
    <definedName name="solver_typ" localSheetId="3" hidden="1">3</definedName>
    <definedName name="solver_typ" localSheetId="6" hidden="1">2</definedName>
    <definedName name="solver_val" localSheetId="1" hidden="1">0</definedName>
    <definedName name="solver_val" localSheetId="8" hidden="1">0</definedName>
    <definedName name="solver_val" localSheetId="5" hidden="1">87.4</definedName>
    <definedName name="solver_val" localSheetId="3" hidden="1">87.4</definedName>
    <definedName name="solver_val" localSheetId="6" hidden="1">0</definedName>
    <definedName name="solver_ver" localSheetId="1" hidden="1">3</definedName>
    <definedName name="solver_ver" localSheetId="8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UMCHECK" localSheetId="5">#REF!</definedName>
    <definedName name="SUMCHECK" localSheetId="3">#REF!</definedName>
    <definedName name="SUMCHECK">#REF!</definedName>
    <definedName name="SUMCUTONNES" localSheetId="5">#REF!</definedName>
    <definedName name="SUMCUTONNES" localSheetId="3">#REF!</definedName>
    <definedName name="SUMCUTONNES">#REF!</definedName>
    <definedName name="SUMDMT" localSheetId="5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97" i="13" l="1"/>
  <c r="M97" i="13"/>
  <c r="L98" i="13"/>
  <c r="M98" i="13"/>
  <c r="L87" i="13"/>
  <c r="M87" i="13"/>
  <c r="L88" i="13"/>
  <c r="M88" i="13"/>
  <c r="L89" i="13"/>
  <c r="M89" i="13"/>
  <c r="L90" i="13"/>
  <c r="M90" i="13"/>
  <c r="L91" i="13"/>
  <c r="M91" i="13"/>
  <c r="L92" i="13"/>
  <c r="M92" i="13"/>
  <c r="L93" i="13"/>
  <c r="M93" i="13"/>
  <c r="L94" i="13"/>
  <c r="M94" i="13"/>
  <c r="L95" i="13"/>
  <c r="M95" i="13"/>
  <c r="L96" i="13"/>
  <c r="M96" i="13"/>
  <c r="M86" i="13"/>
  <c r="L86" i="13"/>
  <c r="E49" i="19"/>
  <c r="E48" i="19"/>
  <c r="E47" i="19"/>
  <c r="E46" i="19"/>
  <c r="E45" i="19"/>
  <c r="E44" i="19"/>
  <c r="E43" i="19"/>
  <c r="E42" i="19"/>
  <c r="E41" i="19"/>
  <c r="E40" i="19"/>
  <c r="E39" i="19"/>
  <c r="E38" i="19"/>
  <c r="E37" i="19"/>
  <c r="N93" i="13" l="1"/>
  <c r="N94" i="13"/>
  <c r="N95" i="13"/>
  <c r="N88" i="13"/>
  <c r="N87" i="13"/>
  <c r="N86" i="13"/>
  <c r="G95" i="13" l="1"/>
  <c r="G94" i="13"/>
  <c r="G88" i="13"/>
  <c r="G87" i="13" l="1"/>
  <c r="D103" i="13"/>
  <c r="O89" i="13"/>
  <c r="O90" i="13"/>
  <c r="O91" i="13"/>
  <c r="O92" i="13"/>
  <c r="O93" i="13"/>
  <c r="O96" i="13"/>
  <c r="O97" i="13"/>
  <c r="O98" i="13"/>
  <c r="G86" i="13"/>
  <c r="E94" i="13"/>
  <c r="E93" i="13"/>
  <c r="E89" i="13"/>
  <c r="E88" i="13"/>
  <c r="E87" i="13"/>
  <c r="B95" i="13"/>
  <c r="B94" i="13"/>
  <c r="B93" i="13"/>
  <c r="C2" i="19"/>
  <c r="C1" i="19"/>
  <c r="D1" i="19" s="1"/>
  <c r="B89" i="13"/>
  <c r="B88" i="13"/>
  <c r="B87" i="13"/>
  <c r="E1" i="19" l="1"/>
  <c r="B86" i="13" l="1"/>
  <c r="E86" i="13" l="1"/>
  <c r="N5" i="16" l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4" i="16"/>
  <c r="R5" i="16" l="1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4" i="16"/>
  <c r="J7" i="16"/>
  <c r="K7" i="16"/>
  <c r="M7" i="16"/>
  <c r="J8" i="16"/>
  <c r="K8" i="16"/>
  <c r="M8" i="16"/>
  <c r="J9" i="16"/>
  <c r="K9" i="16"/>
  <c r="M9" i="16"/>
  <c r="J10" i="16"/>
  <c r="K10" i="16"/>
  <c r="M10" i="16"/>
  <c r="J11" i="16"/>
  <c r="K11" i="16"/>
  <c r="M11" i="16"/>
  <c r="J12" i="16"/>
  <c r="K12" i="16"/>
  <c r="M12" i="16"/>
  <c r="J13" i="16"/>
  <c r="K13" i="16"/>
  <c r="M13" i="16"/>
  <c r="J14" i="16"/>
  <c r="K14" i="16"/>
  <c r="M14" i="16"/>
  <c r="J15" i="16"/>
  <c r="K15" i="16"/>
  <c r="M15" i="16"/>
  <c r="J16" i="16"/>
  <c r="K16" i="16"/>
  <c r="M16" i="16"/>
  <c r="J17" i="16"/>
  <c r="K17" i="16"/>
  <c r="M17" i="16"/>
  <c r="J18" i="16"/>
  <c r="K18" i="16"/>
  <c r="M18" i="16"/>
  <c r="J19" i="16"/>
  <c r="K19" i="16"/>
  <c r="M19" i="16"/>
  <c r="J20" i="16"/>
  <c r="K20" i="16"/>
  <c r="M20" i="16"/>
  <c r="J21" i="16"/>
  <c r="K21" i="16"/>
  <c r="M21" i="16"/>
  <c r="J22" i="16"/>
  <c r="K22" i="16"/>
  <c r="M22" i="16"/>
  <c r="J23" i="16"/>
  <c r="K23" i="16"/>
  <c r="M23" i="16"/>
  <c r="J24" i="16"/>
  <c r="K24" i="16"/>
  <c r="M24" i="16"/>
  <c r="J25" i="16"/>
  <c r="K25" i="16"/>
  <c r="M25" i="16"/>
  <c r="J26" i="16"/>
  <c r="K26" i="16"/>
  <c r="M26" i="16"/>
  <c r="J27" i="16"/>
  <c r="K27" i="16"/>
  <c r="M27" i="16"/>
  <c r="J28" i="16"/>
  <c r="K28" i="16"/>
  <c r="M28" i="16"/>
  <c r="J29" i="16"/>
  <c r="K29" i="16"/>
  <c r="M29" i="16"/>
  <c r="J30" i="16"/>
  <c r="K30" i="16"/>
  <c r="M30" i="16"/>
  <c r="J31" i="16"/>
  <c r="K31" i="16"/>
  <c r="M31" i="16"/>
  <c r="J32" i="16"/>
  <c r="K32" i="16"/>
  <c r="M32" i="16"/>
  <c r="J33" i="16"/>
  <c r="K33" i="16"/>
  <c r="M33" i="16"/>
  <c r="J34" i="16"/>
  <c r="K34" i="16"/>
  <c r="M34" i="16"/>
  <c r="J35" i="16"/>
  <c r="K35" i="16"/>
  <c r="M35" i="16"/>
  <c r="J36" i="16"/>
  <c r="K36" i="16"/>
  <c r="M36" i="16"/>
  <c r="J37" i="16"/>
  <c r="K37" i="16"/>
  <c r="M37" i="16"/>
  <c r="J38" i="16"/>
  <c r="K38" i="16"/>
  <c r="M38" i="16"/>
  <c r="J39" i="16"/>
  <c r="K39" i="16"/>
  <c r="M39" i="16"/>
  <c r="J40" i="16"/>
  <c r="K40" i="16"/>
  <c r="M40" i="16"/>
  <c r="J41" i="16"/>
  <c r="K41" i="16"/>
  <c r="M41" i="16"/>
  <c r="J42" i="16"/>
  <c r="K42" i="16"/>
  <c r="M42" i="16"/>
  <c r="J43" i="16"/>
  <c r="K43" i="16"/>
  <c r="M43" i="16"/>
  <c r="J44" i="16"/>
  <c r="K44" i="16"/>
  <c r="M44" i="16"/>
  <c r="J45" i="16"/>
  <c r="K45" i="16"/>
  <c r="M45" i="16"/>
  <c r="J46" i="16"/>
  <c r="K46" i="16"/>
  <c r="M46" i="16"/>
  <c r="J47" i="16"/>
  <c r="K47" i="16"/>
  <c r="M47" i="16"/>
  <c r="J48" i="16"/>
  <c r="K48" i="16"/>
  <c r="M48" i="16"/>
  <c r="J49" i="16"/>
  <c r="K49" i="16"/>
  <c r="M49" i="16"/>
  <c r="J50" i="16"/>
  <c r="K50" i="16"/>
  <c r="M50" i="16"/>
  <c r="J51" i="16"/>
  <c r="K51" i="16"/>
  <c r="M51" i="16"/>
  <c r="J52" i="16"/>
  <c r="K52" i="16"/>
  <c r="M52" i="16"/>
  <c r="J53" i="16"/>
  <c r="K53" i="16"/>
  <c r="M53" i="16"/>
  <c r="J54" i="16"/>
  <c r="K54" i="16"/>
  <c r="M54" i="16"/>
  <c r="J55" i="16"/>
  <c r="K55" i="16"/>
  <c r="M55" i="16"/>
  <c r="J56" i="16"/>
  <c r="K56" i="16"/>
  <c r="M56" i="16"/>
  <c r="J57" i="16"/>
  <c r="K57" i="16"/>
  <c r="M57" i="16"/>
  <c r="J58" i="16"/>
  <c r="K58" i="16"/>
  <c r="M58" i="16"/>
  <c r="J59" i="16"/>
  <c r="K59" i="16"/>
  <c r="M59" i="16"/>
  <c r="J60" i="16"/>
  <c r="K60" i="16"/>
  <c r="M60" i="16"/>
  <c r="J61" i="16"/>
  <c r="K61" i="16"/>
  <c r="M61" i="16"/>
  <c r="J62" i="16"/>
  <c r="K62" i="16"/>
  <c r="M62" i="16"/>
  <c r="J63" i="16"/>
  <c r="K63" i="16"/>
  <c r="M63" i="16"/>
  <c r="K4" i="16"/>
  <c r="J4" i="16"/>
  <c r="M4" i="16" s="1"/>
  <c r="M6" i="16"/>
  <c r="K6" i="16"/>
  <c r="J6" i="16"/>
  <c r="M5" i="16"/>
  <c r="K5" i="16"/>
  <c r="J5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G5" i="16"/>
  <c r="H5" i="16"/>
  <c r="G6" i="16"/>
  <c r="H6" i="16"/>
  <c r="G7" i="16"/>
  <c r="H7" i="16"/>
  <c r="G8" i="16"/>
  <c r="H8" i="16"/>
  <c r="G9" i="16"/>
  <c r="H9" i="16"/>
  <c r="G10" i="16"/>
  <c r="H10" i="16"/>
  <c r="G11" i="16"/>
  <c r="H11" i="16"/>
  <c r="G12" i="16"/>
  <c r="H12" i="16"/>
  <c r="G13" i="16"/>
  <c r="H13" i="16"/>
  <c r="G14" i="16"/>
  <c r="H14" i="16"/>
  <c r="G15" i="16"/>
  <c r="H15" i="16"/>
  <c r="G16" i="16"/>
  <c r="H16" i="16"/>
  <c r="G17" i="16"/>
  <c r="H17" i="16"/>
  <c r="G18" i="16"/>
  <c r="H18" i="16"/>
  <c r="G19" i="16"/>
  <c r="H19" i="16"/>
  <c r="G20" i="16"/>
  <c r="H20" i="16"/>
  <c r="G21" i="16"/>
  <c r="H21" i="16"/>
  <c r="G22" i="16"/>
  <c r="H22" i="16"/>
  <c r="G23" i="16"/>
  <c r="H23" i="16"/>
  <c r="G24" i="16"/>
  <c r="H24" i="16"/>
  <c r="G25" i="16"/>
  <c r="H25" i="16"/>
  <c r="G26" i="16"/>
  <c r="H26" i="16"/>
  <c r="G27" i="16"/>
  <c r="H27" i="16"/>
  <c r="G28" i="16"/>
  <c r="H28" i="16"/>
  <c r="G29" i="16"/>
  <c r="H29" i="16"/>
  <c r="G30" i="16"/>
  <c r="H30" i="16"/>
  <c r="G31" i="16"/>
  <c r="H31" i="16"/>
  <c r="G32" i="16"/>
  <c r="H32" i="16"/>
  <c r="G33" i="16"/>
  <c r="H33" i="16"/>
  <c r="G34" i="16"/>
  <c r="H34" i="16"/>
  <c r="G35" i="16"/>
  <c r="H35" i="16"/>
  <c r="G36" i="16"/>
  <c r="H36" i="16"/>
  <c r="G37" i="16"/>
  <c r="H37" i="16"/>
  <c r="G38" i="16"/>
  <c r="H38" i="16"/>
  <c r="G39" i="16"/>
  <c r="H39" i="16"/>
  <c r="G40" i="16"/>
  <c r="H40" i="16"/>
  <c r="G41" i="16"/>
  <c r="H41" i="16"/>
  <c r="G42" i="16"/>
  <c r="H42" i="16"/>
  <c r="G43" i="16"/>
  <c r="H43" i="16"/>
  <c r="G44" i="16"/>
  <c r="H44" i="16"/>
  <c r="G45" i="16"/>
  <c r="H45" i="16"/>
  <c r="G46" i="16"/>
  <c r="H46" i="16"/>
  <c r="G47" i="16"/>
  <c r="H47" i="16"/>
  <c r="G48" i="16"/>
  <c r="H48" i="16"/>
  <c r="G49" i="16"/>
  <c r="H49" i="16"/>
  <c r="G50" i="16"/>
  <c r="H50" i="16"/>
  <c r="G51" i="16"/>
  <c r="H51" i="16"/>
  <c r="G52" i="16"/>
  <c r="H52" i="16"/>
  <c r="G53" i="16"/>
  <c r="H53" i="16"/>
  <c r="G54" i="16"/>
  <c r="H54" i="16"/>
  <c r="G55" i="16"/>
  <c r="H55" i="16"/>
  <c r="G56" i="16"/>
  <c r="H56" i="16"/>
  <c r="G57" i="16"/>
  <c r="H57" i="16"/>
  <c r="G58" i="16"/>
  <c r="H58" i="16"/>
  <c r="G59" i="16"/>
  <c r="H59" i="16"/>
  <c r="G60" i="16"/>
  <c r="H60" i="16"/>
  <c r="G61" i="16"/>
  <c r="H61" i="16"/>
  <c r="G62" i="16"/>
  <c r="H62" i="16"/>
  <c r="G63" i="16"/>
  <c r="H63" i="16"/>
  <c r="H4" i="16"/>
  <c r="G4" i="16"/>
  <c r="D4" i="16"/>
  <c r="C4" i="16" l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67" i="1"/>
  <c r="O126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67" i="1"/>
  <c r="N67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" i="1"/>
  <c r="D36" i="18"/>
  <c r="M16" i="18"/>
  <c r="I11" i="18"/>
  <c r="M17" i="18" l="1"/>
  <c r="O56" i="13"/>
  <c r="R18" i="13"/>
  <c r="S40" i="13"/>
  <c r="S65" i="13"/>
  <c r="O76" i="13"/>
  <c r="M46" i="13"/>
  <c r="M38" i="13"/>
  <c r="D46" i="13"/>
  <c r="H46" i="13"/>
  <c r="I16" i="13"/>
  <c r="I26" i="13"/>
  <c r="J91" i="13" l="1"/>
  <c r="D36" i="17" s="1"/>
  <c r="M16" i="17"/>
  <c r="I11" i="17" l="1"/>
  <c r="G21" i="17"/>
  <c r="M17" i="17"/>
  <c r="C5" i="16" l="1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E95" i="13" l="1"/>
  <c r="E90" i="13"/>
  <c r="G103" i="13" l="1"/>
  <c r="Q98" i="13"/>
  <c r="Q97" i="13"/>
  <c r="Q96" i="13"/>
  <c r="P93" i="13"/>
  <c r="Q92" i="13"/>
  <c r="Q91" i="13"/>
  <c r="Q90" i="13"/>
  <c r="Q89" i="13"/>
  <c r="W46" i="13"/>
  <c r="N126" i="1"/>
  <c r="W45" i="13" s="1"/>
  <c r="N125" i="1"/>
  <c r="S57" i="13" s="1"/>
  <c r="T49" i="13"/>
  <c r="N124" i="1"/>
  <c r="T48" i="13" s="1"/>
  <c r="N123" i="1"/>
  <c r="U18" i="13"/>
  <c r="N122" i="1"/>
  <c r="U17" i="13" s="1"/>
  <c r="N121" i="1"/>
  <c r="T40" i="13"/>
  <c r="N120" i="1"/>
  <c r="T39" i="13" s="1"/>
  <c r="R23" i="13"/>
  <c r="N119" i="1"/>
  <c r="R22" i="13" s="1"/>
  <c r="R57" i="13"/>
  <c r="N118" i="1"/>
  <c r="R56" i="13" s="1"/>
  <c r="R52" i="13"/>
  <c r="N117" i="1"/>
  <c r="R51" i="13" s="1"/>
  <c r="R46" i="13"/>
  <c r="N116" i="1"/>
  <c r="R45" i="13" s="1"/>
  <c r="O52" i="13"/>
  <c r="N115" i="1"/>
  <c r="O51" i="13" s="1"/>
  <c r="P72" i="13"/>
  <c r="N114" i="1"/>
  <c r="P71" i="13" s="1"/>
  <c r="Q41" i="13"/>
  <c r="N113" i="1"/>
  <c r="Q40" i="13" s="1"/>
  <c r="O40" i="13"/>
  <c r="N112" i="1"/>
  <c r="O39" i="13" s="1"/>
  <c r="O45" i="13"/>
  <c r="N111" i="1"/>
  <c r="O44" i="13" s="1"/>
  <c r="L15" i="13"/>
  <c r="N110" i="1"/>
  <c r="L14" i="13" s="1"/>
  <c r="R36" i="13"/>
  <c r="N109" i="1"/>
  <c r="R35" i="13" s="1"/>
  <c r="Q33" i="13"/>
  <c r="N108" i="1"/>
  <c r="Q32" i="13" s="1"/>
  <c r="N30" i="13"/>
  <c r="N107" i="1"/>
  <c r="N29" i="13" s="1"/>
  <c r="O35" i="13"/>
  <c r="N106" i="1"/>
  <c r="O34" i="13" s="1"/>
  <c r="T63" i="13"/>
  <c r="N105" i="1"/>
  <c r="T62" i="13" s="1"/>
  <c r="N104" i="1"/>
  <c r="R63" i="13"/>
  <c r="N103" i="1"/>
  <c r="R62" i="13" s="1"/>
  <c r="N102" i="1"/>
  <c r="N59" i="13"/>
  <c r="N101" i="1"/>
  <c r="N58" i="13" s="1"/>
  <c r="N100" i="1"/>
  <c r="O69" i="13"/>
  <c r="N99" i="1"/>
  <c r="O68" i="13" s="1"/>
  <c r="L69" i="13"/>
  <c r="N98" i="1"/>
  <c r="L68" i="13" s="1"/>
  <c r="M73" i="13"/>
  <c r="N97" i="1"/>
  <c r="M72" i="13" s="1"/>
  <c r="G75" i="13"/>
  <c r="N96" i="1"/>
  <c r="G74" i="13" s="1"/>
  <c r="N95" i="1"/>
  <c r="L51" i="13"/>
  <c r="N94" i="1"/>
  <c r="L50" i="13" s="1"/>
  <c r="N93" i="1"/>
  <c r="K60" i="13"/>
  <c r="N92" i="1"/>
  <c r="K59" i="13" s="1"/>
  <c r="H68" i="13"/>
  <c r="N91" i="1"/>
  <c r="H67" i="13" s="1"/>
  <c r="F66" i="13"/>
  <c r="N90" i="1"/>
  <c r="F65" i="13" s="1"/>
  <c r="C45" i="13"/>
  <c r="U69" i="13" s="1"/>
  <c r="N89" i="1"/>
  <c r="C44" i="13" s="1"/>
  <c r="U68" i="13" s="1"/>
  <c r="N88" i="1"/>
  <c r="F45" i="13"/>
  <c r="N87" i="1"/>
  <c r="F44" i="13" s="1"/>
  <c r="J88" i="13" s="1"/>
  <c r="D50" i="13"/>
  <c r="N86" i="1"/>
  <c r="D49" i="13" s="1"/>
  <c r="E61" i="13"/>
  <c r="N85" i="1"/>
  <c r="E60" i="13" s="1"/>
  <c r="N84" i="1"/>
  <c r="E56" i="13"/>
  <c r="N83" i="1"/>
  <c r="E55" i="13" s="1"/>
  <c r="D57" i="13" s="1"/>
  <c r="J54" i="13"/>
  <c r="N82" i="1"/>
  <c r="J53" i="13" s="1"/>
  <c r="I58" i="13"/>
  <c r="N81" i="1"/>
  <c r="I57" i="13" s="1"/>
  <c r="G54" i="13"/>
  <c r="N80" i="1"/>
  <c r="G53" i="13" s="1"/>
  <c r="I49" i="13"/>
  <c r="N79" i="1"/>
  <c r="I48" i="13" s="1"/>
  <c r="J45" i="13"/>
  <c r="N78" i="1"/>
  <c r="J44" i="13" s="1"/>
  <c r="N77" i="1"/>
  <c r="I38" i="13"/>
  <c r="N76" i="1"/>
  <c r="I37" i="13" s="1"/>
  <c r="F32" i="13"/>
  <c r="N75" i="1"/>
  <c r="F31" i="13" s="1"/>
  <c r="E92" i="13" s="1"/>
  <c r="J92" i="13" s="1"/>
  <c r="J35" i="13"/>
  <c r="N74" i="1"/>
  <c r="J34" i="13" s="1"/>
  <c r="I30" i="13"/>
  <c r="N73" i="1"/>
  <c r="I29" i="13" s="1"/>
  <c r="N72" i="1"/>
  <c r="I20" i="13"/>
  <c r="N71" i="1"/>
  <c r="I19" i="13" s="1"/>
  <c r="G93" i="13" s="1"/>
  <c r="K93" i="13" s="1"/>
  <c r="N70" i="1"/>
  <c r="G13" i="13"/>
  <c r="N69" i="1"/>
  <c r="G12" i="13" s="1"/>
  <c r="O10" i="13"/>
  <c r="N68" i="1"/>
  <c r="O9" i="13" s="1"/>
  <c r="J94" i="13" s="1"/>
  <c r="F5" i="13"/>
  <c r="F4" i="13"/>
  <c r="P126" i="1"/>
  <c r="W47" i="13" s="1"/>
  <c r="P125" i="1"/>
  <c r="S58" i="13" s="1"/>
  <c r="P124" i="1"/>
  <c r="T50" i="13" s="1"/>
  <c r="P123" i="1"/>
  <c r="R19" i="13" s="1"/>
  <c r="P122" i="1"/>
  <c r="U19" i="13" s="1"/>
  <c r="P121" i="1"/>
  <c r="S41" i="13" s="1"/>
  <c r="P120" i="1"/>
  <c r="T41" i="13" s="1"/>
  <c r="P119" i="1"/>
  <c r="R24" i="13" s="1"/>
  <c r="P118" i="1"/>
  <c r="R58" i="13" s="1"/>
  <c r="P117" i="1"/>
  <c r="R53" i="13" s="1"/>
  <c r="P116" i="1"/>
  <c r="R47" i="13" s="1"/>
  <c r="P115" i="1"/>
  <c r="O53" i="13" s="1"/>
  <c r="P114" i="1"/>
  <c r="P73" i="13" s="1"/>
  <c r="P113" i="1"/>
  <c r="Q42" i="13" s="1"/>
  <c r="P112" i="1"/>
  <c r="O41" i="13" s="1"/>
  <c r="P111" i="1"/>
  <c r="O46" i="13" s="1"/>
  <c r="P110" i="1"/>
  <c r="L16" i="13" s="1"/>
  <c r="P109" i="1"/>
  <c r="R37" i="13" s="1"/>
  <c r="P108" i="1"/>
  <c r="Q34" i="13" s="1"/>
  <c r="P107" i="1"/>
  <c r="N31" i="13" s="1"/>
  <c r="P106" i="1"/>
  <c r="O36" i="13" s="1"/>
  <c r="P105" i="1"/>
  <c r="T64" i="13" s="1"/>
  <c r="P104" i="1"/>
  <c r="S66" i="13" s="1"/>
  <c r="P103" i="1"/>
  <c r="R64" i="13" s="1"/>
  <c r="P102" i="1"/>
  <c r="O57" i="13" s="1"/>
  <c r="P101" i="1"/>
  <c r="N60" i="13" s="1"/>
  <c r="P100" i="1"/>
  <c r="O77" i="13" s="1"/>
  <c r="P99" i="1"/>
  <c r="O70" i="13" s="1"/>
  <c r="P98" i="1"/>
  <c r="L70" i="13" s="1"/>
  <c r="P97" i="1"/>
  <c r="M74" i="13" s="1"/>
  <c r="P96" i="1"/>
  <c r="G76" i="13" s="1"/>
  <c r="P95" i="1"/>
  <c r="M47" i="13" s="1"/>
  <c r="P94" i="1"/>
  <c r="L52" i="13" s="1"/>
  <c r="P93" i="1"/>
  <c r="P92" i="1"/>
  <c r="K61" i="13" s="1"/>
  <c r="P91" i="1"/>
  <c r="H69" i="13" s="1"/>
  <c r="P90" i="1"/>
  <c r="F67" i="13" s="1"/>
  <c r="P89" i="1"/>
  <c r="C46" i="13" s="1"/>
  <c r="U70" i="13" s="1"/>
  <c r="P88" i="1"/>
  <c r="D47" i="13" s="1"/>
  <c r="P87" i="1"/>
  <c r="F46" i="13" s="1"/>
  <c r="P86" i="1"/>
  <c r="D51" i="13" s="1"/>
  <c r="P85" i="1"/>
  <c r="E62" i="13" s="1"/>
  <c r="P84" i="1"/>
  <c r="P83" i="1"/>
  <c r="E57" i="13" s="1"/>
  <c r="P82" i="1"/>
  <c r="J55" i="13" s="1"/>
  <c r="P81" i="1"/>
  <c r="I59" i="13" s="1"/>
  <c r="P80" i="1"/>
  <c r="G55" i="13" s="1"/>
  <c r="P79" i="1"/>
  <c r="I50" i="13" s="1"/>
  <c r="P78" i="1"/>
  <c r="J46" i="13" s="1"/>
  <c r="P77" i="1"/>
  <c r="H47" i="13" s="1"/>
  <c r="P76" i="1"/>
  <c r="I39" i="13" s="1"/>
  <c r="P75" i="1"/>
  <c r="F33" i="13" s="1"/>
  <c r="P74" i="1"/>
  <c r="J36" i="13" s="1"/>
  <c r="P73" i="1"/>
  <c r="I31" i="13" s="1"/>
  <c r="P72" i="1"/>
  <c r="I27" i="13" s="1"/>
  <c r="P71" i="1"/>
  <c r="I21" i="13" s="1"/>
  <c r="P70" i="1"/>
  <c r="I17" i="13" s="1"/>
  <c r="P69" i="1"/>
  <c r="G14" i="13" s="1"/>
  <c r="P68" i="1"/>
  <c r="O11" i="13" s="1"/>
  <c r="P67" i="1"/>
  <c r="F6" i="13" s="1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M13" i="17" l="1"/>
  <c r="M13" i="18"/>
  <c r="G10" i="17"/>
  <c r="G14" i="17" s="1"/>
  <c r="G10" i="18"/>
  <c r="G14" i="18" s="1"/>
  <c r="M10" i="17"/>
  <c r="O10" i="17" s="1"/>
  <c r="M10" i="18"/>
  <c r="N10" i="17"/>
  <c r="N10" i="18"/>
  <c r="H18" i="17"/>
  <c r="I18" i="17" s="1"/>
  <c r="H18" i="18"/>
  <c r="H17" i="17"/>
  <c r="I17" i="17" s="1"/>
  <c r="H17" i="18"/>
  <c r="H19" i="17"/>
  <c r="I19" i="17" s="1"/>
  <c r="H19" i="18"/>
  <c r="N16" i="17"/>
  <c r="N16" i="18"/>
  <c r="N12" i="17"/>
  <c r="N12" i="18"/>
  <c r="H16" i="17"/>
  <c r="H16" i="18"/>
  <c r="N13" i="17"/>
  <c r="N13" i="18"/>
  <c r="O13" i="18" s="1"/>
  <c r="H10" i="17"/>
  <c r="H14" i="17" s="1"/>
  <c r="H10" i="18"/>
  <c r="N11" i="17"/>
  <c r="N11" i="18"/>
  <c r="H20" i="17"/>
  <c r="I20" i="17" s="1"/>
  <c r="H20" i="18"/>
  <c r="O13" i="17"/>
  <c r="O16" i="17"/>
  <c r="N17" i="17"/>
  <c r="O17" i="17" s="1"/>
  <c r="H21" i="17"/>
  <c r="I16" i="17"/>
  <c r="I21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J87" i="13"/>
  <c r="J95" i="13"/>
  <c r="K59" i="5"/>
  <c r="J93" i="13"/>
  <c r="L36" i="13"/>
  <c r="J90" i="13"/>
  <c r="F38" i="13"/>
  <c r="E91" i="13" s="1"/>
  <c r="F37" i="13"/>
  <c r="J65" i="13"/>
  <c r="J59" i="13"/>
  <c r="P32" i="13"/>
  <c r="K95" i="13"/>
  <c r="G19" i="18" s="1"/>
  <c r="K94" i="13"/>
  <c r="U52" i="13"/>
  <c r="AA30" i="13"/>
  <c r="Y37" i="13" s="1"/>
  <c r="K87" i="13"/>
  <c r="G20" i="18" s="1"/>
  <c r="I10" i="17" l="1"/>
  <c r="I14" i="17" s="1"/>
  <c r="M12" i="17"/>
  <c r="O12" i="17" s="1"/>
  <c r="M12" i="18"/>
  <c r="O12" i="18" s="1"/>
  <c r="I20" i="18"/>
  <c r="G16" i="18"/>
  <c r="I16" i="18" s="1"/>
  <c r="M11" i="17"/>
  <c r="M11" i="18"/>
  <c r="M14" i="18" s="1"/>
  <c r="N14" i="18" s="1"/>
  <c r="I19" i="18"/>
  <c r="H14" i="18"/>
  <c r="I10" i="18"/>
  <c r="I14" i="18" s="1"/>
  <c r="O16" i="18"/>
  <c r="N17" i="18"/>
  <c r="O17" i="18" s="1"/>
  <c r="O10" i="18"/>
  <c r="V28" i="13"/>
  <c r="V30" i="13" s="1"/>
  <c r="Y39" i="13"/>
  <c r="N77" i="5"/>
  <c r="K104" i="5" s="1"/>
  <c r="K52" i="5"/>
  <c r="S50" i="5"/>
  <c r="V50" i="5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18" i="18" s="1"/>
  <c r="I18" i="18" s="1"/>
  <c r="G99" i="13"/>
  <c r="O95" i="13" l="1"/>
  <c r="Q95" i="13" s="1"/>
  <c r="O94" i="13"/>
  <c r="Q94" i="13" s="1"/>
  <c r="O87" i="13"/>
  <c r="Q87" i="13" s="1"/>
  <c r="O11" i="17"/>
  <c r="M14" i="17"/>
  <c r="N14" i="17" s="1"/>
  <c r="O11" i="18"/>
  <c r="O14" i="18"/>
  <c r="J36" i="18"/>
  <c r="R62" i="5"/>
  <c r="T62" i="5" s="1"/>
  <c r="M89" i="5"/>
  <c r="J116" i="5" s="1"/>
  <c r="Q62" i="5"/>
  <c r="M79" i="5"/>
  <c r="J106" i="5" s="1"/>
  <c r="R52" i="5"/>
  <c r="T52" i="5" s="1"/>
  <c r="K88" i="13"/>
  <c r="S52" i="5"/>
  <c r="V52" i="5" s="1"/>
  <c r="N79" i="5"/>
  <c r="K106" i="5" s="1"/>
  <c r="N80" i="5"/>
  <c r="K107" i="5" s="1"/>
  <c r="S53" i="5"/>
  <c r="V53" i="5" s="1"/>
  <c r="O86" i="13"/>
  <c r="J36" i="17" l="1"/>
  <c r="O14" i="17"/>
  <c r="G17" i="18"/>
  <c r="Q86" i="13"/>
  <c r="K99" i="13"/>
  <c r="O88" i="13" l="1"/>
  <c r="Q88" i="13" s="1"/>
  <c r="I17" i="18"/>
  <c r="I21" i="18" s="1"/>
  <c r="H21" i="18"/>
  <c r="G21" i="18"/>
  <c r="Q99" i="13" l="1"/>
  <c r="Q100" i="13"/>
  <c r="O99" i="13"/>
  <c r="O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5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G15" authorId="0" shapeId="0" xr:uid="{DB951791-D66A-984D-AB35-BE0F8DE13DA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R15" authorId="0" shapeId="0" xr:uid="{10107B1A-39B9-364A-94D3-AF3279AF648D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C27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G27" authorId="0" shapeId="0" xr:uid="{E454761D-FD6C-864C-8A44-31C8B3AC69E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R27" authorId="0" shapeId="0" xr:uid="{758BA92C-AEC4-834C-A5C4-700A35DA275C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C33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G33" authorId="0" shapeId="0" xr:uid="{4A47A1EB-3D7D-D042-8744-9384564DA41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R33" authorId="0" shapeId="0" xr:uid="{899DCE53-2FA8-6644-9D09-2906FB1590E1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<sst xmlns="http://schemas.openxmlformats.org/spreadsheetml/2006/main" count="571" uniqueCount="246">
  <si>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</si>
  <si>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</si>
  <si>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</si>
  <si>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</si>
  <si>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</si>
  <si>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</si>
  <si>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</si>
  <si>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</si>
  <si>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</si>
  <si>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</si>
  <si>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</si>
  <si>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</si>
  <si>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</si>
  <si>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</si>
  <si>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</si>
  <si>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</si>
  <si>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</si>
  <si>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</si>
  <si>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</si>
  <si>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</si>
  <si>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</si>
  <si>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</si>
  <si>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</si>
  <si>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</si>
  <si>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</si>
  <si>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</si>
  <si>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</si>
  <si>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</si>
  <si>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</si>
  <si>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</si>
  <si>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</si>
  <si>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</si>
  <si>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</si>
  <si>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</si>
  <si>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</si>
  <si>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</si>
  <si>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</si>
  <si>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</si>
  <si>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</si>
  <si>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</si>
  <si>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</si>
  <si>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</si>
  <si>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</si>
  <si>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</si>
  <si>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</si>
  <si>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</si>
  <si>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</si>
  <si>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</si>
  <si>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</si>
  <si>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</si>
  <si>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</si>
  <si>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</si>
  <si>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</si>
  <si>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</si>
  <si>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</si>
  <si>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</si>
  <si>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</si>
  <si>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</si>
  <si>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</si>
  <si>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</si>
  <si>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</si>
  <si>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</si>
  <si>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</si>
  <si>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</si>
  <si>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</si>
  <si>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</si>
  <si>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</si>
  <si>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</si>
  <si>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</si>
  <si>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</si>
  <si>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</si>
  <si>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</si>
  <si>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</si>
  <si>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</si>
  <si>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</si>
  <si>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</si>
  <si>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</si>
  <si>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</si>
  <si>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</si>
  <si>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</si>
  <si>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</si>
  <si>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</si>
  <si>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</si>
  <si>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</si>
  <si>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</si>
  <si>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</si>
  <si>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</si>
  <si>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</si>
  <si>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</si>
  <si>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</si>
  <si>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</si>
  <si>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</si>
  <si>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</si>
  <si>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</si>
  <si>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</si>
  <si>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</si>
  <si>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</si>
  <si>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</si>
  <si>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</si>
  <si>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</si>
  <si>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</si>
  <si>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</si>
  <si>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</si>
  <si>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</si>
  <si>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</si>
  <si>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</si>
  <si>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</si>
  <si>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</si>
  <si>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</si>
  <si>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</si>
  <si>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</si>
  <si>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</si>
  <si>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</si>
  <si>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</si>
  <si>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</si>
  <si>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</si>
  <si>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</si>
  <si>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</si>
  <si>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</si>
  <si>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</si>
  <si>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</si>
  <si>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</si>
  <si>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</si>
  <si>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</si>
  <si>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</si>
  <si>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</si>
  <si>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</si>
  <si>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</si>
  <si>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</si>
  <si>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</si>
  <si>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</si>
  <si>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</si>
  <si>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</si>
  <si>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</si>
  <si>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</si>
  <si>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</si>
  <si>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</si>
  <si>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</si>
  <si>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</si>
  <si>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</si>
  <si>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</si>
  <si>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</si>
  <si>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</si>
  <si>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</si>
  <si>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</si>
  <si>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</si>
  <si>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</si>
  <si>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</si>
  <si>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</si>
  <si>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</si>
  <si>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</si>
  <si>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</si>
  <si>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</si>
  <si>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</si>
  <si>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</si>
  <si>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</si>
  <si>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</si>
  <si>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</si>
  <si>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</si>
  <si>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</si>
  <si>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</si>
  <si>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</si>
  <si>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</si>
  <si>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</si>
  <si>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</si>
  <si>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</si>
  <si>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</si>
  <si>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</si>
  <si>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</si>
  <si>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</si>
  <si>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</si>
  <si>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</si>
  <si>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</si>
  <si>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</si>
  <si>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</si>
  <si>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</si>
  <si>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</si>
  <si>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</si>
  <si>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</si>
  <si>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</si>
  <si>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</si>
  <si>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</si>
  <si>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</si>
  <si>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</si>
  <si>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</si>
  <si>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</si>
  <si>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</si>
  <si>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</si>
  <si>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</si>
  <si>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</si>
  <si>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</si>
  <si>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</si>
  <si>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</si>
  <si>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</si>
  <si>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</si>
  <si>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</si>
  <si>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</si>
  <si>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</si>
  <si>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</si>
  <si>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</si>
  <si>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</si>
  <si>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</si>
  <si>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</si>
  <si>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</si>
  <si>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</si>
  <si>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</si>
  <si>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</si>
  <si>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</si>
  <si>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</si>
  <si>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</si>
  <si>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</si>
  <si>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</si>
  <si>
    <t>Flujos</t>
  </si>
  <si>
    <t>Mediciones</t>
  </si>
  <si>
    <t>Balance</t>
  </si>
  <si>
    <t>% Cambio relativo</t>
  </si>
  <si>
    <t>Max Var  FeT</t>
  </si>
  <si>
    <t>Re-Harneo a Stock Prec Planta Pellet</t>
  </si>
  <si>
    <t>Alimentación Silos de Molienda</t>
  </si>
  <si>
    <t>Limpiezas/Rechazos de Molienda a Planta Harneo</t>
  </si>
  <si>
    <t>Limpiezas de Filtrado a Planta Harneo</t>
  </si>
  <si>
    <t>Producción de Pellet Feed desde Pila Intermedia</t>
  </si>
  <si>
    <t>Pellet Feed en Camiones</t>
  </si>
  <si>
    <t>Producción de Pellet Feed por Correa 6 (Pesómetro)</t>
  </si>
  <si>
    <t>Embarque de Pellet Feed</t>
  </si>
  <si>
    <t xml:space="preserve">Stock Pellet Producto en de Pila Emergencia </t>
  </si>
  <si>
    <t>Producción de Pellet Chip por Correa 7304-1 (Pesómetro)</t>
  </si>
  <si>
    <t>Producción de Pellet Producto</t>
  </si>
  <si>
    <t>Producción de Pellet Producto por Correa 11 (Pesómetro)</t>
  </si>
  <si>
    <t>Embarque de Pellet Producto</t>
  </si>
  <si>
    <t>Intermedio Re harneo de derrames a Stock Pila de Emergencia</t>
  </si>
  <si>
    <t>Alimentación Total a Stock Finos Huasco</t>
  </si>
  <si>
    <t>Pellet Chip harneado a finos Huasco</t>
  </si>
  <si>
    <t>Producción de Finos Huasco</t>
  </si>
  <si>
    <t>Embarque de Finos Huasco</t>
  </si>
  <si>
    <t>Embarque de Sinter Feed</t>
  </si>
  <si>
    <t>Traspaso de  P Chip a P Básico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</si>
  <si>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</si>
  <si>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</si>
  <si>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</si>
  <si>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</si>
  <si>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Alimentación Harnero Producto desde Pila Emergencia</t>
  </si>
  <si>
    <t>Procesamiento de Chip en Planta de Harneo</t>
  </si>
  <si>
    <t>Transporte Preconcentrado a P. Pellets</t>
  </si>
  <si>
    <t>Descarga trenes SF a Stock SF</t>
  </si>
  <si>
    <t>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</si>
</sst>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#,##0_ ;\-#,##0\ "/>
    <numFmt numFmtId="169" formatCode="0.0"/>
    <numFmt numFmtId="170" formatCode="0_)"/>
    <numFmt numFmtId="171" formatCode="#,##0.0000000_ ;\-#,##0.0000000\ "/>
    <numFmt numFmtId="172" formatCode="#,##0.000_ ;\-#,##0.000\ "/>
    <numFmt numFmtId="173" formatCode="#,##0.00_ ;\-#,##0.00\ "/>
    <numFmt numFmtId="174" formatCode="#,##0.0_ ;\-#,##0.0\ "/>
    <numFmt numFmtId="175" formatCode="dd\ /\ mmmm\ /\ yyyy"/>
    <numFmt numFmtId="176" formatCode="0.00000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name val="Calibri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DD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1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2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3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3" borderId="2" xfId="0" applyFont="1" applyFill="1" applyBorder="1" applyAlignment="1">
      <alignment horizontal="center" vertical="center" wrapText="1"/>
    </xf>
    <xf numFmtId="1" fontId="8" fillId="13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0" fontId="0" fillId="1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0" fontId="0" fillId="0" borderId="0" xfId="0" applyFont="1" applyBorder="1"/>
    <xf numFmtId="0" fontId="0" fillId="12" borderId="0" xfId="2" applyFont="1" applyFill="1" applyBorder="1" applyAlignment="1">
      <alignment horizontal="center"/>
    </xf>
    <xf numFmtId="0" fontId="29" fillId="12" borderId="0" xfId="0" applyFont="1" applyFill="1" applyBorder="1"/>
    <xf numFmtId="10" fontId="29" fillId="12" borderId="0" xfId="0" applyNumberFormat="1" applyFont="1" applyFill="1" applyBorder="1"/>
    <xf numFmtId="10" fontId="29" fillId="12" borderId="0" xfId="0" applyNumberFormat="1" applyFont="1" applyFill="1"/>
    <xf numFmtId="0" fontId="29" fillId="0" borderId="0" xfId="0" applyFont="1"/>
    <xf numFmtId="0" fontId="30" fillId="12" borderId="0" xfId="0" applyFont="1" applyFill="1" applyBorder="1"/>
    <xf numFmtId="0" fontId="30" fillId="12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9" fillId="0" borderId="0" xfId="0" applyFont="1" applyFill="1"/>
    <xf numFmtId="3" fontId="29" fillId="12" borderId="0" xfId="0" applyNumberFormat="1" applyFont="1" applyFill="1" applyBorder="1"/>
    <xf numFmtId="165" fontId="29" fillId="12" borderId="0" xfId="0" applyNumberFormat="1" applyFont="1" applyFill="1" applyBorder="1"/>
    <xf numFmtId="3" fontId="31" fillId="12" borderId="0" xfId="0" applyNumberFormat="1" applyFont="1" applyFill="1" applyBorder="1" applyAlignment="1">
      <alignment horizontal="center" vertical="center"/>
    </xf>
    <xf numFmtId="0" fontId="29" fillId="12" borderId="0" xfId="2" applyFont="1" applyFill="1" applyBorder="1" applyAlignment="1">
      <alignment horizontal="center"/>
    </xf>
    <xf numFmtId="10" fontId="32" fillId="0" borderId="0" xfId="3" applyNumberFormat="1" applyFont="1"/>
    <xf numFmtId="0" fontId="32" fillId="0" borderId="21" xfId="4" applyFont="1" applyBorder="1"/>
    <xf numFmtId="0" fontId="32" fillId="0" borderId="13" xfId="4" applyFont="1" applyBorder="1"/>
    <xf numFmtId="0" fontId="32" fillId="0" borderId="20" xfId="4" applyFont="1" applyBorder="1"/>
    <xf numFmtId="0" fontId="32" fillId="0" borderId="19" xfId="4" applyFont="1" applyBorder="1"/>
    <xf numFmtId="2" fontId="32" fillId="0" borderId="0" xfId="6" applyNumberFormat="1" applyFont="1" applyAlignment="1">
      <alignment horizontal="center"/>
    </xf>
    <xf numFmtId="168" fontId="32" fillId="0" borderId="0" xfId="5" applyNumberFormat="1" applyFont="1" applyAlignment="1">
      <alignment horizontal="center"/>
    </xf>
    <xf numFmtId="169" fontId="32" fillId="0" borderId="0" xfId="4" applyNumberFormat="1" applyFont="1" applyAlignment="1">
      <alignment horizontal="center" vertical="center"/>
    </xf>
    <xf numFmtId="10" fontId="32" fillId="0" borderId="0" xfId="3" applyNumberFormat="1" applyFont="1" applyAlignment="1">
      <alignment horizontal="center"/>
    </xf>
    <xf numFmtId="9" fontId="32" fillId="0" borderId="0" xfId="3" applyFont="1" applyAlignment="1">
      <alignment horizontal="center"/>
    </xf>
    <xf numFmtId="0" fontId="32" fillId="0" borderId="18" xfId="4" applyFont="1" applyBorder="1"/>
    <xf numFmtId="2" fontId="32" fillId="12" borderId="0" xfId="6" applyNumberFormat="1" applyFont="1" applyFill="1" applyAlignment="1">
      <alignment horizontal="center"/>
    </xf>
    <xf numFmtId="168" fontId="32" fillId="12" borderId="0" xfId="5" applyNumberFormat="1" applyFont="1" applyFill="1" applyAlignment="1">
      <alignment horizontal="center"/>
    </xf>
    <xf numFmtId="9" fontId="32" fillId="12" borderId="0" xfId="3" applyFont="1" applyFill="1" applyAlignment="1">
      <alignment horizontal="center"/>
    </xf>
    <xf numFmtId="0" fontId="33" fillId="12" borderId="0" xfId="4" applyFont="1" applyFill="1" applyAlignment="1">
      <alignment horizontal="center"/>
    </xf>
    <xf numFmtId="9" fontId="33" fillId="12" borderId="0" xfId="3" applyFont="1" applyFill="1" applyAlignment="1">
      <alignment horizontal="center"/>
    </xf>
    <xf numFmtId="170" fontId="33" fillId="0" borderId="0" xfId="4" applyNumberFormat="1" applyFont="1" applyAlignment="1">
      <alignment horizontal="center" vertical="center"/>
    </xf>
    <xf numFmtId="3" fontId="33" fillId="0" borderId="0" xfId="4" applyNumberFormat="1" applyFont="1" applyAlignment="1">
      <alignment horizontal="right" vertical="center"/>
    </xf>
    <xf numFmtId="3" fontId="33" fillId="0" borderId="0" xfId="4" quotePrefix="1" applyNumberFormat="1" applyFont="1" applyAlignment="1">
      <alignment horizontal="right"/>
    </xf>
    <xf numFmtId="3" fontId="33" fillId="0" borderId="0" xfId="4" quotePrefix="1" applyNumberFormat="1" applyFont="1" applyAlignment="1">
      <alignment horizontal="right" vertical="center"/>
    </xf>
    <xf numFmtId="0" fontId="32" fillId="0" borderId="27" xfId="4" applyFont="1" applyBorder="1"/>
    <xf numFmtId="171" fontId="32" fillId="0" borderId="0" xfId="4" applyNumberFormat="1" applyFont="1"/>
    <xf numFmtId="168" fontId="36" fillId="0" borderId="0" xfId="5" applyNumberFormat="1" applyFont="1" applyAlignment="1">
      <alignment horizontal="center" vertical="center"/>
    </xf>
    <xf numFmtId="172" fontId="36" fillId="0" borderId="0" xfId="5" applyNumberFormat="1" applyFont="1" applyAlignment="1">
      <alignment horizontal="center" vertical="center"/>
    </xf>
    <xf numFmtId="0" fontId="36" fillId="0" borderId="0" xfId="4" applyFont="1" applyAlignment="1">
      <alignment vertical="center"/>
    </xf>
    <xf numFmtId="168" fontId="37" fillId="4" borderId="29" xfId="5" applyNumberFormat="1" applyFont="1" applyFill="1" applyBorder="1" applyAlignment="1">
      <alignment horizontal="center" vertical="center"/>
    </xf>
    <xf numFmtId="168" fontId="37" fillId="4" borderId="30" xfId="5" applyNumberFormat="1" applyFont="1" applyFill="1" applyBorder="1" applyAlignment="1">
      <alignment horizontal="center" vertical="center"/>
    </xf>
    <xf numFmtId="168" fontId="37" fillId="4" borderId="31" xfId="5" applyNumberFormat="1" applyFont="1" applyFill="1" applyBorder="1" applyAlignment="1">
      <alignment horizontal="center" vertical="center"/>
    </xf>
    <xf numFmtId="10" fontId="37" fillId="4" borderId="32" xfId="3" applyNumberFormat="1" applyFont="1" applyFill="1" applyBorder="1" applyAlignment="1">
      <alignment horizontal="center" vertical="center"/>
    </xf>
    <xf numFmtId="168" fontId="37" fillId="4" borderId="32" xfId="5" applyNumberFormat="1" applyFont="1" applyFill="1" applyBorder="1" applyAlignment="1">
      <alignment horizontal="center" vertical="center"/>
    </xf>
    <xf numFmtId="0" fontId="38" fillId="0" borderId="0" xfId="4" applyFont="1"/>
    <xf numFmtId="168" fontId="39" fillId="0" borderId="0" xfId="5" applyNumberFormat="1" applyFont="1" applyAlignment="1">
      <alignment horizontal="center" vertical="center"/>
    </xf>
    <xf numFmtId="173" fontId="39" fillId="0" borderId="0" xfId="5" applyNumberFormat="1" applyFont="1" applyAlignment="1">
      <alignment horizontal="center" vertical="center"/>
    </xf>
    <xf numFmtId="173" fontId="40" fillId="0" borderId="0" xfId="5" applyNumberFormat="1" applyFont="1" applyAlignment="1">
      <alignment horizontal="center" vertical="center"/>
    </xf>
    <xf numFmtId="169" fontId="39" fillId="0" borderId="0" xfId="0" applyNumberFormat="1" applyFont="1" applyAlignment="1">
      <alignment horizontal="center" vertical="center"/>
    </xf>
    <xf numFmtId="168" fontId="38" fillId="2" borderId="33" xfId="0" applyNumberFormat="1" applyFont="1" applyFill="1" applyBorder="1" applyAlignment="1">
      <alignment horizontal="center" vertical="center"/>
    </xf>
    <xf numFmtId="168" fontId="38" fillId="0" borderId="5" xfId="5" applyNumberFormat="1" applyFont="1" applyBorder="1" applyAlignment="1">
      <alignment horizontal="center" vertical="center"/>
    </xf>
    <xf numFmtId="168" fontId="38" fillId="15" borderId="34" xfId="5" applyNumberFormat="1" applyFont="1" applyFill="1" applyBorder="1" applyAlignment="1">
      <alignment horizontal="center" vertical="center"/>
    </xf>
    <xf numFmtId="10" fontId="38" fillId="0" borderId="35" xfId="3" applyNumberFormat="1" applyFont="1" applyBorder="1" applyAlignment="1">
      <alignment horizontal="center" vertical="center"/>
    </xf>
    <xf numFmtId="168" fontId="38" fillId="0" borderId="35" xfId="5" applyNumberFormat="1" applyFont="1" applyBorder="1" applyAlignment="1">
      <alignment horizontal="center" vertical="center"/>
    </xf>
    <xf numFmtId="168" fontId="38" fillId="2" borderId="6" xfId="0" applyNumberFormat="1" applyFont="1" applyFill="1" applyBorder="1" applyAlignment="1">
      <alignment horizontal="center" vertical="center"/>
    </xf>
    <xf numFmtId="168" fontId="38" fillId="15" borderId="2" xfId="5" applyNumberFormat="1" applyFont="1" applyFill="1" applyBorder="1" applyAlignment="1">
      <alignment horizontal="center" vertical="center"/>
    </xf>
    <xf numFmtId="10" fontId="38" fillId="0" borderId="11" xfId="3" applyNumberFormat="1" applyFont="1" applyBorder="1" applyAlignment="1">
      <alignment horizontal="center" vertical="center"/>
    </xf>
    <xf numFmtId="168" fontId="38" fillId="0" borderId="11" xfId="5" applyNumberFormat="1" applyFont="1" applyBorder="1" applyAlignment="1">
      <alignment horizontal="center" vertical="center"/>
    </xf>
    <xf numFmtId="168" fontId="38" fillId="2" borderId="33" xfId="5" applyNumberFormat="1" applyFont="1" applyFill="1" applyBorder="1" applyAlignment="1">
      <alignment horizontal="center" vertical="center"/>
    </xf>
    <xf numFmtId="168" fontId="38" fillId="0" borderId="41" xfId="5" applyNumberFormat="1" applyFont="1" applyBorder="1" applyAlignment="1">
      <alignment horizontal="center" vertical="center"/>
    </xf>
    <xf numFmtId="168" fontId="38" fillId="0" borderId="23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0" xfId="0" applyFont="1" applyBorder="1" applyAlignment="1">
      <alignment vertical="center"/>
    </xf>
    <xf numFmtId="168" fontId="38" fillId="2" borderId="42" xfId="0" applyNumberFormat="1" applyFont="1" applyFill="1" applyBorder="1" applyAlignment="1">
      <alignment horizontal="center" vertical="center"/>
    </xf>
    <xf numFmtId="168" fontId="38" fillId="15" borderId="25" xfId="5" applyNumberFormat="1" applyFont="1" applyFill="1" applyBorder="1" applyAlignment="1">
      <alignment horizontal="center" vertical="center"/>
    </xf>
    <xf numFmtId="10" fontId="38" fillId="0" borderId="43" xfId="3" applyNumberFormat="1" applyFont="1" applyBorder="1" applyAlignment="1">
      <alignment horizontal="center" vertical="center"/>
    </xf>
    <xf numFmtId="168" fontId="38" fillId="0" borderId="3" xfId="5" applyNumberFormat="1" applyFont="1" applyBorder="1" applyAlignment="1">
      <alignment horizontal="center" vertical="center"/>
    </xf>
    <xf numFmtId="168" fontId="32" fillId="0" borderId="19" xfId="4" applyNumberFormat="1" applyFont="1" applyBorder="1"/>
    <xf numFmtId="0" fontId="41" fillId="0" borderId="0" xfId="4" applyFont="1" applyAlignment="1">
      <alignment vertical="center"/>
    </xf>
    <xf numFmtId="0" fontId="41" fillId="14" borderId="46" xfId="4" applyFont="1" applyFill="1" applyBorder="1" applyAlignment="1">
      <alignment horizontal="center" vertical="center"/>
    </xf>
    <xf numFmtId="0" fontId="41" fillId="14" borderId="28" xfId="4" applyFont="1" applyFill="1" applyBorder="1" applyAlignment="1">
      <alignment horizontal="center" vertical="center"/>
    </xf>
    <xf numFmtId="0" fontId="41" fillId="14" borderId="29" xfId="4" applyFont="1" applyFill="1" applyBorder="1" applyAlignment="1">
      <alignment horizontal="center" vertical="center"/>
    </xf>
    <xf numFmtId="0" fontId="41" fillId="14" borderId="32" xfId="4" applyFont="1" applyFill="1" applyBorder="1" applyAlignment="1">
      <alignment horizontal="center" vertical="center"/>
    </xf>
    <xf numFmtId="168" fontId="41" fillId="0" borderId="0" xfId="5" applyNumberFormat="1" applyFont="1" applyAlignment="1">
      <alignment horizontal="center" vertical="center"/>
    </xf>
    <xf numFmtId="0" fontId="37" fillId="0" borderId="0" xfId="4" applyFont="1" applyAlignment="1">
      <alignment horizontal="left" vertical="center" wrapText="1"/>
    </xf>
    <xf numFmtId="168" fontId="37" fillId="4" borderId="32" xfId="4" applyNumberFormat="1" applyFont="1" applyFill="1" applyBorder="1" applyAlignment="1">
      <alignment horizontal="center" vertical="center" wrapText="1"/>
    </xf>
    <xf numFmtId="10" fontId="37" fillId="4" borderId="32" xfId="3" applyNumberFormat="1" applyFont="1" applyFill="1" applyBorder="1" applyAlignment="1">
      <alignment horizontal="center" vertical="center" wrapText="1"/>
    </xf>
    <xf numFmtId="168" fontId="38" fillId="15" borderId="6" xfId="5" applyNumberFormat="1" applyFont="1" applyFill="1" applyBorder="1" applyAlignment="1">
      <alignment horizontal="center" vertical="center"/>
    </xf>
    <xf numFmtId="172" fontId="40" fillId="0" borderId="0" xfId="5" applyNumberFormat="1" applyFont="1" applyAlignment="1">
      <alignment horizontal="center" vertical="center"/>
    </xf>
    <xf numFmtId="174" fontId="32" fillId="0" borderId="0" xfId="4" applyNumberFormat="1" applyFont="1"/>
    <xf numFmtId="0" fontId="6" fillId="0" borderId="0" xfId="4" applyFont="1"/>
    <xf numFmtId="0" fontId="42" fillId="0" borderId="0" xfId="4" applyFont="1"/>
    <xf numFmtId="10" fontId="37" fillId="4" borderId="32" xfId="5" applyNumberFormat="1" applyFont="1" applyFill="1" applyBorder="1" applyAlignment="1">
      <alignment horizontal="center" vertical="center"/>
    </xf>
    <xf numFmtId="10" fontId="38" fillId="0" borderId="1" xfId="3" applyNumberFormat="1" applyFont="1" applyBorder="1" applyAlignment="1">
      <alignment horizontal="center" vertical="center"/>
    </xf>
    <xf numFmtId="168" fontId="38" fillId="0" borderId="1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173" fontId="32" fillId="0" borderId="0" xfId="4" applyNumberFormat="1" applyFont="1"/>
    <xf numFmtId="169" fontId="32" fillId="0" borderId="0" xfId="4" applyNumberFormat="1" applyFont="1"/>
    <xf numFmtId="168" fontId="38" fillId="0" borderId="48" xfId="5" applyNumberFormat="1" applyFont="1" applyBorder="1" applyAlignment="1">
      <alignment horizontal="center" vertical="center"/>
    </xf>
    <xf numFmtId="0" fontId="38" fillId="0" borderId="49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/>
    </xf>
    <xf numFmtId="10" fontId="38" fillId="0" borderId="7" xfId="3" applyNumberFormat="1" applyFont="1" applyBorder="1" applyAlignment="1">
      <alignment horizontal="center" vertical="center"/>
    </xf>
    <xf numFmtId="168" fontId="38" fillId="0" borderId="7" xfId="5" applyNumberFormat="1" applyFont="1" applyBorder="1" applyAlignment="1">
      <alignment horizontal="center" vertical="center"/>
    </xf>
    <xf numFmtId="0" fontId="37" fillId="15" borderId="54" xfId="4" applyFont="1" applyFill="1" applyBorder="1" applyAlignment="1">
      <alignment horizontal="center" vertical="center"/>
    </xf>
    <xf numFmtId="0" fontId="37" fillId="15" borderId="35" xfId="4" applyFont="1" applyFill="1" applyBorder="1" applyAlignment="1">
      <alignment horizontal="center" vertical="center"/>
    </xf>
    <xf numFmtId="0" fontId="37" fillId="15" borderId="12" xfId="4" applyFont="1" applyFill="1" applyBorder="1" applyAlignment="1">
      <alignment horizontal="center" vertical="center"/>
    </xf>
    <xf numFmtId="0" fontId="37" fillId="15" borderId="7" xfId="4" applyFont="1" applyFill="1" applyBorder="1" applyAlignment="1">
      <alignment horizontal="center" vertical="center"/>
    </xf>
    <xf numFmtId="0" fontId="32" fillId="15" borderId="0" xfId="4" applyFont="1" applyFill="1" applyAlignment="1">
      <alignment horizontal="center" vertical="center"/>
    </xf>
    <xf numFmtId="14" fontId="32" fillId="15" borderId="0" xfId="4" applyNumberFormat="1" applyFont="1" applyFill="1"/>
    <xf numFmtId="0" fontId="32" fillId="15" borderId="0" xfId="4" applyFont="1" applyFill="1"/>
    <xf numFmtId="0" fontId="32" fillId="15" borderId="18" xfId="4" applyFont="1" applyFill="1" applyBorder="1" applyAlignment="1">
      <alignment horizontal="center" vertical="center"/>
    </xf>
    <xf numFmtId="0" fontId="32" fillId="0" borderId="17" xfId="4" applyFont="1" applyBorder="1"/>
    <xf numFmtId="0" fontId="32" fillId="0" borderId="15" xfId="4" applyFont="1" applyBorder="1"/>
    <xf numFmtId="0" fontId="32" fillId="15" borderId="15" xfId="4" applyFont="1" applyFill="1" applyBorder="1" applyAlignment="1">
      <alignment horizontal="center" vertical="center"/>
    </xf>
    <xf numFmtId="0" fontId="32" fillId="15" borderId="14" xfId="4" applyFont="1" applyFill="1" applyBorder="1" applyAlignment="1">
      <alignment horizontal="center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4" borderId="28" xfId="4" applyFont="1" applyFill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0" fillId="12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0" fontId="0" fillId="12" borderId="0" xfId="2" applyNumberFormat="1" applyFont="1" applyFill="1" applyBorder="1" applyAlignment="1">
      <alignment horizontal="center"/>
    </xf>
    <xf numFmtId="166" fontId="0" fillId="0" borderId="0" xfId="0" applyNumberFormat="1" applyFont="1" applyBorder="1"/>
    <xf numFmtId="1" fontId="0" fillId="12" borderId="0" xfId="0" applyNumberFormat="1" applyFont="1" applyFill="1" applyBorder="1" applyAlignment="1">
      <alignment horizontal="center"/>
    </xf>
    <xf numFmtId="1" fontId="0" fillId="12" borderId="0" xfId="0" applyNumberFormat="1" applyFont="1" applyFill="1" applyBorder="1"/>
    <xf numFmtId="176" fontId="32" fillId="0" borderId="0" xfId="4" applyNumberFormat="1" applyFont="1"/>
    <xf numFmtId="168" fontId="38" fillId="17" borderId="7" xfId="5" applyNumberFormat="1" applyFont="1" applyFill="1" applyBorder="1" applyAlignment="1">
      <alignment horizontal="center" vertical="center"/>
    </xf>
    <xf numFmtId="168" fontId="38" fillId="17" borderId="1" xfId="5" applyNumberFormat="1" applyFont="1" applyFill="1" applyBorder="1" applyAlignment="1">
      <alignment horizontal="center" vertical="center"/>
    </xf>
    <xf numFmtId="168" fontId="38" fillId="17" borderId="48" xfId="5" applyNumberFormat="1" applyFont="1" applyFill="1" applyBorder="1" applyAlignment="1">
      <alignment horizontal="center" vertical="center"/>
    </xf>
    <xf numFmtId="168" fontId="38" fillId="17" borderId="11" xfId="5" applyNumberFormat="1" applyFont="1" applyFill="1" applyBorder="1" applyAlignment="1">
      <alignment horizontal="center" vertical="center"/>
    </xf>
    <xf numFmtId="10" fontId="0" fillId="0" borderId="0" xfId="0" applyNumberFormat="1" applyFont="1"/>
    <xf numFmtId="0" fontId="44" fillId="2" borderId="1" xfId="0" applyFont="1" applyFill="1" applyBorder="1"/>
    <xf numFmtId="10" fontId="44" fillId="0" borderId="1" xfId="0" applyNumberFormat="1" applyFont="1" applyBorder="1"/>
    <xf numFmtId="1" fontId="46" fillId="0" borderId="1" xfId="0" applyNumberFormat="1" applyFont="1" applyBorder="1"/>
    <xf numFmtId="0" fontId="45" fillId="20" borderId="1" xfId="0" applyFont="1" applyFill="1" applyBorder="1" applyAlignment="1">
      <alignment horizontal="center"/>
    </xf>
    <xf numFmtId="0" fontId="45" fillId="19" borderId="1" xfId="0" applyFont="1" applyFill="1" applyBorder="1"/>
    <xf numFmtId="0" fontId="45" fillId="20" borderId="1" xfId="0" applyFont="1" applyFill="1" applyBorder="1"/>
    <xf numFmtId="10" fontId="46" fillId="0" borderId="1" xfId="0" applyNumberFormat="1" applyFont="1" applyBorder="1"/>
    <xf numFmtId="0" fontId="0" fillId="0" borderId="22" xfId="0" applyBorder="1"/>
    <xf numFmtId="0" fontId="10" fillId="0" borderId="24" xfId="2" applyFont="1" applyBorder="1" applyAlignment="1">
      <alignment wrapText="1"/>
    </xf>
    <xf numFmtId="0" fontId="10" fillId="10" borderId="1" xfId="0" applyFont="1" applyFill="1" applyBorder="1"/>
    <xf numFmtId="0" fontId="10" fillId="9" borderId="1" xfId="0" applyFont="1" applyFill="1" applyBorder="1" applyAlignment="1">
      <alignment wrapText="1"/>
    </xf>
    <xf numFmtId="0" fontId="17" fillId="2" borderId="1" xfId="2" applyFont="1" applyFill="1" applyBorder="1" applyAlignment="1">
      <alignment horizontal="center"/>
    </xf>
    <xf numFmtId="0" fontId="17" fillId="0" borderId="0" xfId="2" applyFont="1" applyAlignment="1">
      <alignment horizontal="center"/>
    </xf>
    <xf numFmtId="10" fontId="10" fillId="6" borderId="1" xfId="0" applyNumberFormat="1" applyFont="1" applyFill="1" applyBorder="1"/>
    <xf numFmtId="165" fontId="17" fillId="0" borderId="1" xfId="0" applyNumberFormat="1" applyFont="1" applyBorder="1"/>
    <xf numFmtId="165" fontId="17" fillId="0" borderId="0" xfId="0" applyNumberFormat="1" applyFont="1"/>
    <xf numFmtId="10" fontId="17" fillId="0" borderId="1" xfId="0" applyNumberFormat="1" applyFont="1" applyBorder="1"/>
    <xf numFmtId="1" fontId="44" fillId="0" borderId="1" xfId="4" applyNumberFormat="1" applyFont="1" applyBorder="1" applyAlignment="1">
      <alignment horizontal="right" vertical="center"/>
    </xf>
    <xf numFmtId="10" fontId="44" fillId="0" borderId="1" xfId="5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44" fillId="0" borderId="1" xfId="0" applyFont="1" applyBorder="1"/>
    <xf numFmtId="0" fontId="48" fillId="7" borderId="16" xfId="0" applyFont="1" applyFill="1" applyBorder="1"/>
    <xf numFmtId="3" fontId="49" fillId="4" borderId="7" xfId="0" applyNumberFormat="1" applyFont="1" applyFill="1" applyBorder="1"/>
    <xf numFmtId="10" fontId="48" fillId="4" borderId="7" xfId="0" applyNumberFormat="1" applyFont="1" applyFill="1" applyBorder="1"/>
    <xf numFmtId="0" fontId="44" fillId="7" borderId="5" xfId="0" applyFont="1" applyFill="1" applyBorder="1" applyAlignment="1">
      <alignment horizontal="left" indent="2"/>
    </xf>
    <xf numFmtId="3" fontId="50" fillId="21" borderId="1" xfId="0" applyNumberFormat="1" applyFont="1" applyFill="1" applyBorder="1" applyProtection="1">
      <protection locked="0"/>
    </xf>
    <xf numFmtId="10" fontId="50" fillId="21" borderId="1" xfId="0" applyNumberFormat="1" applyFont="1" applyFill="1" applyBorder="1" applyProtection="1">
      <protection locked="0"/>
    </xf>
    <xf numFmtId="0" fontId="44" fillId="7" borderId="55" xfId="0" applyFont="1" applyFill="1" applyBorder="1" applyAlignment="1">
      <alignment horizontal="left" indent="2"/>
    </xf>
    <xf numFmtId="3" fontId="50" fillId="21" borderId="35" xfId="0" applyNumberFormat="1" applyFont="1" applyFill="1" applyBorder="1" applyProtection="1">
      <protection locked="0"/>
    </xf>
    <xf numFmtId="10" fontId="50" fillId="21" borderId="35" xfId="0" applyNumberFormat="1" applyFont="1" applyFill="1" applyBorder="1" applyProtection="1">
      <protection locked="0"/>
    </xf>
    <xf numFmtId="10" fontId="49" fillId="4" borderId="56" xfId="0" applyNumberFormat="1" applyFont="1" applyFill="1" applyBorder="1"/>
    <xf numFmtId="10" fontId="50" fillId="21" borderId="2" xfId="0" applyNumberFormat="1" applyFont="1" applyFill="1" applyBorder="1" applyProtection="1">
      <protection locked="0"/>
    </xf>
    <xf numFmtId="10" fontId="50" fillId="21" borderId="34" xfId="0" applyNumberFormat="1" applyFont="1" applyFill="1" applyBorder="1" applyProtection="1">
      <protection locked="0"/>
    </xf>
    <xf numFmtId="3" fontId="47" fillId="0" borderId="24" xfId="0" applyNumberFormat="1" applyFont="1" applyFill="1" applyBorder="1"/>
    <xf numFmtId="0" fontId="0" fillId="18" borderId="1" xfId="0" applyFill="1" applyBorder="1"/>
    <xf numFmtId="10" fontId="0" fillId="18" borderId="1" xfId="0" applyNumberFormat="1" applyFill="1" applyBorder="1"/>
    <xf numFmtId="10" fontId="13" fillId="21" borderId="56" xfId="0" applyNumberFormat="1" applyFont="1" applyFill="1" applyBorder="1" applyProtection="1">
      <protection locked="0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10" fontId="32" fillId="0" borderId="14" xfId="3" applyNumberFormat="1" applyFont="1" applyBorder="1" applyAlignment="1">
      <alignment horizontal="center" vertical="center"/>
    </xf>
    <xf numFmtId="10" fontId="32" fillId="0" borderId="15" xfId="3" applyNumberFormat="1" applyFont="1" applyBorder="1" applyAlignment="1">
      <alignment horizontal="center" vertical="center"/>
    </xf>
    <xf numFmtId="10" fontId="32" fillId="0" borderId="17" xfId="3" applyNumberFormat="1" applyFont="1" applyBorder="1" applyAlignment="1">
      <alignment horizontal="center" vertical="center"/>
    </xf>
    <xf numFmtId="10" fontId="32" fillId="0" borderId="20" xfId="3" applyNumberFormat="1" applyFont="1" applyBorder="1" applyAlignment="1">
      <alignment horizontal="center" vertical="center"/>
    </xf>
    <xf numFmtId="10" fontId="32" fillId="0" borderId="13" xfId="3" applyNumberFormat="1" applyFont="1" applyBorder="1" applyAlignment="1">
      <alignment horizontal="center" vertical="center"/>
    </xf>
    <xf numFmtId="10" fontId="32" fillId="0" borderId="21" xfId="3" applyNumberFormat="1" applyFont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38" fillId="0" borderId="40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38" xfId="0" applyFont="1" applyBorder="1" applyAlignment="1">
      <alignment vertical="center"/>
    </xf>
    <xf numFmtId="0" fontId="38" fillId="0" borderId="37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37" fillId="4" borderId="30" xfId="4" applyFont="1" applyFill="1" applyBorder="1" applyAlignment="1">
      <alignment horizontal="left" vertical="center"/>
    </xf>
    <xf numFmtId="0" fontId="37" fillId="4" borderId="32" xfId="4" applyFont="1" applyFill="1" applyBorder="1" applyAlignment="1">
      <alignment horizontal="left" vertical="center"/>
    </xf>
    <xf numFmtId="0" fontId="34" fillId="14" borderId="28" xfId="4" applyFont="1" applyFill="1" applyBorder="1" applyAlignment="1">
      <alignment horizontal="center" vertical="center"/>
    </xf>
    <xf numFmtId="0" fontId="34" fillId="14" borderId="27" xfId="4" applyFont="1" applyFill="1" applyBorder="1" applyAlignment="1">
      <alignment horizontal="center" vertical="center"/>
    </xf>
    <xf numFmtId="0" fontId="34" fillId="14" borderId="26" xfId="4" applyFont="1" applyFill="1" applyBorder="1" applyAlignment="1">
      <alignment horizontal="center" vertical="center"/>
    </xf>
    <xf numFmtId="0" fontId="35" fillId="14" borderId="28" xfId="4" applyFont="1" applyFill="1" applyBorder="1" applyAlignment="1">
      <alignment horizontal="center"/>
    </xf>
    <xf numFmtId="0" fontId="35" fillId="14" borderId="27" xfId="4" applyFont="1" applyFill="1" applyBorder="1" applyAlignment="1">
      <alignment horizontal="center"/>
    </xf>
    <xf numFmtId="0" fontId="35" fillId="14" borderId="26" xfId="4" applyFont="1" applyFill="1" applyBorder="1" applyAlignment="1">
      <alignment horizontal="center"/>
    </xf>
    <xf numFmtId="0" fontId="34" fillId="12" borderId="0" xfId="4" applyFont="1" applyFill="1" applyAlignment="1">
      <alignment horizontal="center"/>
    </xf>
    <xf numFmtId="0" fontId="38" fillId="0" borderId="45" xfId="0" applyFont="1" applyBorder="1" applyAlignment="1">
      <alignment vertical="center"/>
    </xf>
    <xf numFmtId="0" fontId="38" fillId="0" borderId="22" xfId="0" applyFont="1" applyBorder="1" applyAlignment="1">
      <alignment vertical="center"/>
    </xf>
    <xf numFmtId="0" fontId="38" fillId="0" borderId="44" xfId="0" applyFont="1" applyBorder="1" applyAlignment="1">
      <alignment vertical="center"/>
    </xf>
    <xf numFmtId="0" fontId="37" fillId="4" borderId="47" xfId="4" applyFont="1" applyFill="1" applyBorder="1" applyAlignment="1">
      <alignment horizontal="left" vertical="center" wrapText="1"/>
    </xf>
    <xf numFmtId="0" fontId="37" fillId="4" borderId="32" xfId="4" applyFont="1" applyFill="1" applyBorder="1" applyAlignment="1">
      <alignment horizontal="left" vertical="center" wrapText="1"/>
    </xf>
    <xf numFmtId="0" fontId="38" fillId="0" borderId="0" xfId="0" applyFont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37" fillId="4" borderId="30" xfId="4" applyFont="1" applyFill="1" applyBorder="1" applyAlignment="1">
      <alignment horizontal="left" vertical="center" wrapText="1"/>
    </xf>
    <xf numFmtId="0" fontId="41" fillId="14" borderId="28" xfId="4" applyFont="1" applyFill="1" applyBorder="1" applyAlignment="1">
      <alignment horizontal="center" vertical="center"/>
    </xf>
    <xf numFmtId="0" fontId="41" fillId="14" borderId="27" xfId="4" applyFont="1" applyFill="1" applyBorder="1" applyAlignment="1">
      <alignment horizontal="center" vertical="center"/>
    </xf>
    <xf numFmtId="0" fontId="41" fillId="14" borderId="47" xfId="4" applyFont="1" applyFill="1" applyBorder="1" applyAlignment="1">
      <alignment horizontal="center" vertical="center"/>
    </xf>
    <xf numFmtId="0" fontId="41" fillId="14" borderId="16" xfId="4" applyFont="1" applyFill="1" applyBorder="1" applyAlignment="1">
      <alignment horizontal="center" vertical="center"/>
    </xf>
    <xf numFmtId="0" fontId="41" fillId="14" borderId="7" xfId="4" applyFont="1" applyFill="1" applyBorder="1" applyAlignment="1">
      <alignment horizontal="center" vertical="center"/>
    </xf>
    <xf numFmtId="0" fontId="41" fillId="14" borderId="12" xfId="4" applyFont="1" applyFill="1" applyBorder="1" applyAlignment="1">
      <alignment horizontal="center" vertical="center"/>
    </xf>
    <xf numFmtId="0" fontId="41" fillId="14" borderId="26" xfId="4" applyFont="1" applyFill="1" applyBorder="1" applyAlignment="1">
      <alignment horizontal="center" vertical="center"/>
    </xf>
    <xf numFmtId="0" fontId="41" fillId="14" borderId="53" xfId="4" applyFont="1" applyFill="1" applyBorder="1" applyAlignment="1">
      <alignment horizontal="center" vertical="center"/>
    </xf>
    <xf numFmtId="0" fontId="41" fillId="14" borderId="52" xfId="4" applyFont="1" applyFill="1" applyBorder="1" applyAlignment="1">
      <alignment horizontal="center" vertical="center"/>
    </xf>
    <xf numFmtId="0" fontId="41" fillId="14" borderId="51" xfId="4" applyFont="1" applyFill="1" applyBorder="1" applyAlignment="1">
      <alignment horizontal="center" vertical="center"/>
    </xf>
    <xf numFmtId="0" fontId="38" fillId="0" borderId="9" xfId="0" applyFont="1" applyBorder="1" applyAlignment="1">
      <alignment horizontal="left" vertical="center"/>
    </xf>
    <xf numFmtId="0" fontId="38" fillId="0" borderId="10" xfId="0" applyFont="1" applyBorder="1" applyAlignment="1">
      <alignment horizontal="left" vertical="center"/>
    </xf>
    <xf numFmtId="0" fontId="38" fillId="0" borderId="50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8" fillId="0" borderId="37" xfId="0" applyFont="1" applyBorder="1" applyAlignment="1">
      <alignment horizontal="left" vertical="center"/>
    </xf>
    <xf numFmtId="0" fontId="38" fillId="0" borderId="36" xfId="0" applyFont="1" applyBorder="1" applyAlignment="1">
      <alignment horizontal="left" vertical="center"/>
    </xf>
    <xf numFmtId="0" fontId="38" fillId="0" borderId="16" xfId="4" applyFont="1" applyBorder="1" applyAlignment="1">
      <alignment horizontal="center" vertical="center"/>
    </xf>
    <xf numFmtId="0" fontId="38" fillId="0" borderId="7" xfId="4" applyFont="1" applyBorder="1" applyAlignment="1">
      <alignment horizontal="center" vertical="center"/>
    </xf>
    <xf numFmtId="0" fontId="38" fillId="0" borderId="41" xfId="4" applyFont="1" applyBorder="1" applyAlignment="1">
      <alignment horizontal="center" vertical="center"/>
    </xf>
    <xf numFmtId="0" fontId="38" fillId="0" borderId="11" xfId="4" applyFont="1" applyBorder="1" applyAlignment="1">
      <alignment horizontal="center" vertical="center"/>
    </xf>
    <xf numFmtId="0" fontId="38" fillId="0" borderId="53" xfId="4" applyFont="1" applyBorder="1" applyAlignment="1">
      <alignment horizontal="center" vertical="center"/>
    </xf>
    <xf numFmtId="0" fontId="38" fillId="0" borderId="52" xfId="4" applyFont="1" applyBorder="1" applyAlignment="1">
      <alignment horizontal="center" vertical="center"/>
    </xf>
    <xf numFmtId="0" fontId="38" fillId="0" borderId="49" xfId="4" applyFont="1" applyBorder="1" applyAlignment="1">
      <alignment horizontal="center" vertical="center"/>
    </xf>
    <xf numFmtId="0" fontId="38" fillId="0" borderId="48" xfId="4" applyFont="1" applyBorder="1" applyAlignment="1">
      <alignment horizontal="center" vertical="center"/>
    </xf>
    <xf numFmtId="0" fontId="19" fillId="16" borderId="16" xfId="0" applyFont="1" applyFill="1" applyBorder="1" applyAlignment="1">
      <alignment horizontal="center"/>
    </xf>
    <xf numFmtId="0" fontId="19" fillId="16" borderId="7" xfId="0" applyFont="1" applyFill="1" applyBorder="1" applyAlignment="1">
      <alignment horizontal="center"/>
    </xf>
    <xf numFmtId="0" fontId="19" fillId="16" borderId="5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19" fillId="16" borderId="55" xfId="0" applyFont="1" applyFill="1" applyBorder="1" applyAlignment="1">
      <alignment horizontal="center"/>
    </xf>
    <xf numFmtId="0" fontId="19" fillId="16" borderId="35" xfId="0" applyFont="1" applyFill="1" applyBorder="1" applyAlignment="1">
      <alignment horizontal="center"/>
    </xf>
    <xf numFmtId="49" fontId="43" fillId="16" borderId="7" xfId="0" applyNumberFormat="1" applyFont="1" applyFill="1" applyBorder="1" applyAlignment="1">
      <alignment horizontal="center" vertical="center" wrapText="1"/>
    </xf>
    <xf numFmtId="49" fontId="43" fillId="16" borderId="12" xfId="0" applyNumberFormat="1" applyFont="1" applyFill="1" applyBorder="1" applyAlignment="1">
      <alignment horizontal="center" vertical="center" wrapText="1"/>
    </xf>
    <xf numFmtId="49" fontId="43" fillId="16" borderId="1" xfId="0" applyNumberFormat="1" applyFont="1" applyFill="1" applyBorder="1" applyAlignment="1">
      <alignment horizontal="center" vertical="center" wrapText="1"/>
    </xf>
    <xf numFmtId="49" fontId="43" fillId="16" borderId="6" xfId="0" applyNumberFormat="1" applyFont="1" applyFill="1" applyBorder="1" applyAlignment="1">
      <alignment horizontal="center" vertical="center" wrapText="1"/>
    </xf>
    <xf numFmtId="49" fontId="43" fillId="16" borderId="35" xfId="0" applyNumberFormat="1" applyFont="1" applyFill="1" applyBorder="1" applyAlignment="1">
      <alignment horizontal="center" vertical="center" wrapText="1"/>
    </xf>
    <xf numFmtId="175" fontId="43" fillId="16" borderId="1" xfId="0" applyNumberFormat="1" applyFont="1" applyFill="1" applyBorder="1" applyAlignment="1">
      <alignment horizontal="center" vertical="center" wrapText="1"/>
    </xf>
    <xf numFmtId="175" fontId="43" fillId="16" borderId="6" xfId="0" applyNumberFormat="1" applyFont="1" applyFill="1" applyBorder="1" applyAlignment="1">
      <alignment horizontal="center" vertical="center" wrapText="1"/>
    </xf>
    <xf numFmtId="175" fontId="43" fillId="16" borderId="35" xfId="0" applyNumberFormat="1" applyFont="1" applyFill="1" applyBorder="1" applyAlignment="1">
      <alignment horizontal="center" vertical="center" wrapText="1"/>
    </xf>
    <xf numFmtId="175" fontId="43" fillId="16" borderId="54" xfId="0" applyNumberFormat="1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29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44" fillId="19" borderId="3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</cellXfs>
  <cellStyles count="8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ercent 2" xfId="7" xr:uid="{03EFCBE3-52FB-8B41-A25C-487339190387}"/>
    <cellStyle name="Porcentaje 2 2" xfId="6" xr:uid="{00000000-0005-0000-0000-000006000000}"/>
  </cellStyles>
  <dxfs count="1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Relationship Id="rId22" Type="http://schemas.openxmlformats.org/officeDocument/2006/relationships/customXml" Target="../customXml/item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154214</xdr:colOff>
      <xdr:row>1</xdr:row>
      <xdr:rowOff>163286</xdr:rowOff>
    </xdr:from>
    <xdr:to>
      <xdr:col>4</xdr:col>
      <xdr:colOff>563088</xdr:colOff>
      <xdr:row>4</xdr:row>
      <xdr:rowOff>74232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1A2E7-DB8F-7144-9B8B-A84FFF4E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6774" cy="482446"/>
        </a:xfrm>
        <a:prstGeom prst="rect">
          <a:avLst/>
        </a:prstGeom>
      </xdr:spPr>
    </xdr:pic>
    <xdr:clientData/>
  </xdr:twoCellAnchor>
  <xdr:twoCellAnchor editAs="oneCell">
    <xdr:from>
      <xdr:col>3</xdr:col>
      <xdr:colOff>154214</xdr:colOff>
      <xdr:row>1</xdr:row>
      <xdr:rowOff>163286</xdr:rowOff>
    </xdr:from>
    <xdr:to>
      <xdr:col>4</xdr:col>
      <xdr:colOff>559913</xdr:colOff>
      <xdr:row>4</xdr:row>
      <xdr:rowOff>77407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3D69E-87AC-934D-9771-342C8EA3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3599" cy="485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evo%20Ingreso%20Dat%20Planta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Noviembre%20Pellet%20Quincena%20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_Pellet_F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Octubre%20Pellet%20Mes%20Final%20V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/>
      <sheetData sheetId="1">
        <row r="51">
          <cell r="E51">
            <v>7.0064735002166798E-3</v>
          </cell>
        </row>
        <row r="68">
          <cell r="E68">
            <v>8.7809355428950395E-2</v>
          </cell>
        </row>
        <row r="69">
          <cell r="E69">
            <v>7.9699999999999993E-2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  <row r="76">
          <cell r="E76">
            <v>9.1000000000000004E-3</v>
          </cell>
        </row>
        <row r="82">
          <cell r="E82">
            <v>0</v>
          </cell>
        </row>
        <row r="83">
          <cell r="E83">
            <v>9.4999999999999998E-3</v>
          </cell>
        </row>
        <row r="86">
          <cell r="E86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s"/>
      <sheetName val="Bal Fet Pta Pellets"/>
      <sheetName val="Datos Extra"/>
      <sheetName val="Restricciones"/>
      <sheetName val="Inventarios"/>
      <sheetName val="Matriz de nodos"/>
      <sheetName val="Sheet1"/>
      <sheetName val="Imagen"/>
      <sheetName val="Datos entrada"/>
      <sheetName val="Nuevo Ingreso Dat Plantas"/>
      <sheetName val="Indices Stocks"/>
      <sheetName val="Indices Iniciales"/>
      <sheetName val="Resultado 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>
        <row r="50">
          <cell r="E50">
            <v>8.5563744417889807E-3</v>
          </cell>
        </row>
        <row r="51">
          <cell r="E51">
            <v>7.6134318489359098E-3</v>
          </cell>
        </row>
        <row r="68">
          <cell r="E68">
            <v>8.7098512769289593E-2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2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2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2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2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2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2"/>
      <c r="D15" s="138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2"/>
      <c r="D16" s="138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2" t="e">
        <f>+#REF!</f>
        <v>#REF!</v>
      </c>
      <c r="D17" s="138">
        <f>+Utilidad!D100</f>
        <v>0</v>
      </c>
      <c r="E17" s="108">
        <f t="shared" si="6"/>
        <v>0</v>
      </c>
      <c r="F17" s="139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2" t="e">
        <f>+#REF!</f>
        <v>#REF!</v>
      </c>
      <c r="D18" s="138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2" t="e">
        <f>+#REF!</f>
        <v>#REF!</v>
      </c>
      <c r="D19" s="138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2" t="e">
        <f>+#REF!</f>
        <v>#REF!</v>
      </c>
      <c r="D20" s="138">
        <f>+Utilidad!D121</f>
        <v>0</v>
      </c>
      <c r="E20" s="108">
        <f t="shared" si="6"/>
        <v>0</v>
      </c>
      <c r="F20" s="139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2" t="e">
        <f>+#REF!</f>
        <v>#REF!</v>
      </c>
      <c r="D21" s="138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2" t="e">
        <f>+#REF!</f>
        <v>#REF!</v>
      </c>
      <c r="D22" s="138">
        <f>+Utilidad!D125</f>
        <v>0</v>
      </c>
      <c r="E22" s="108">
        <f t="shared" si="6"/>
        <v>0</v>
      </c>
      <c r="F22" s="139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40" t="s">
        <v>39</v>
      </c>
      <c r="K44" s="341"/>
      <c r="M44" s="337" t="s">
        <v>40</v>
      </c>
      <c r="N44" s="338"/>
      <c r="O44" s="339"/>
      <c r="R44" s="343" t="s">
        <v>42</v>
      </c>
      <c r="S44" s="344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42" t="s">
        <v>60</v>
      </c>
      <c r="K71" s="342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3" priority="8">
      <formula>J4&lt;&gt;0</formula>
    </cfRule>
  </conditionalFormatting>
  <conditionalFormatting sqref="R46:T69 V46:V69">
    <cfRule type="expression" dxfId="12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45" t="s">
        <v>106</v>
      </c>
      <c r="Q7" s="345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45" t="s">
        <v>25</v>
      </c>
      <c r="Q10" s="345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46" t="s">
        <v>109</v>
      </c>
      <c r="Q13" s="346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48" t="s">
        <v>71</v>
      </c>
      <c r="F44" s="348"/>
      <c r="G44" s="349"/>
      <c r="H44" s="348" t="s">
        <v>82</v>
      </c>
      <c r="I44" s="348"/>
      <c r="J44" s="348"/>
      <c r="K44" s="354" t="s">
        <v>70</v>
      </c>
      <c r="L44" s="354"/>
      <c r="M44" s="354"/>
      <c r="N44" s="354"/>
    </row>
    <row r="45" spans="2:20">
      <c r="E45" s="68" t="s">
        <v>72</v>
      </c>
      <c r="F45" s="68"/>
      <c r="G45" s="66">
        <f>+I6</f>
        <v>502781.82030850503</v>
      </c>
      <c r="H45" s="350" t="s">
        <v>73</v>
      </c>
      <c r="I45" s="350"/>
      <c r="J45" s="66">
        <f>+E7</f>
        <v>1770.5761999999995</v>
      </c>
      <c r="K45" s="350" t="s">
        <v>78</v>
      </c>
      <c r="L45" s="350"/>
      <c r="M45" s="350"/>
      <c r="N45" s="66">
        <f>+C8</f>
        <v>12961.629000000001</v>
      </c>
    </row>
    <row r="46" spans="2:20">
      <c r="E46" s="355"/>
      <c r="F46" s="356"/>
      <c r="G46" s="20"/>
      <c r="H46" s="350" t="s">
        <v>74</v>
      </c>
      <c r="I46" s="350"/>
      <c r="J46" s="66">
        <f>+J19</f>
        <v>44584.890479986498</v>
      </c>
      <c r="K46" s="350" t="s">
        <v>79</v>
      </c>
      <c r="L46" s="350"/>
      <c r="M46" s="350"/>
      <c r="N46" s="66">
        <f>+C28</f>
        <v>16162.331</v>
      </c>
    </row>
    <row r="47" spans="2:20">
      <c r="E47" s="355"/>
      <c r="F47" s="356"/>
      <c r="G47" s="20"/>
      <c r="H47" s="350" t="s">
        <v>75</v>
      </c>
      <c r="I47" s="350"/>
      <c r="J47" s="66">
        <f>+G27</f>
        <v>-359512.14169349719</v>
      </c>
      <c r="K47" s="350" t="s">
        <v>80</v>
      </c>
      <c r="L47" s="350"/>
      <c r="M47" s="350"/>
      <c r="N47" s="66">
        <f>+S36</f>
        <v>19130.865000000002</v>
      </c>
    </row>
    <row r="48" spans="2:20">
      <c r="E48" s="355"/>
      <c r="F48" s="356"/>
      <c r="G48" s="20"/>
      <c r="H48" s="67" t="s">
        <v>76</v>
      </c>
      <c r="I48" s="67"/>
      <c r="J48" s="66">
        <f>+O20</f>
        <v>-14174.322317347061</v>
      </c>
      <c r="K48" s="350" t="s">
        <v>81</v>
      </c>
      <c r="L48" s="350"/>
      <c r="M48" s="350"/>
      <c r="N48" s="66">
        <f>+S28</f>
        <v>108284.65870939114</v>
      </c>
    </row>
    <row r="49" spans="5:14">
      <c r="E49" s="355"/>
      <c r="F49" s="356"/>
      <c r="G49" s="20"/>
      <c r="H49" s="350" t="s">
        <v>77</v>
      </c>
      <c r="I49" s="350"/>
      <c r="J49" s="66">
        <f>+P40</f>
        <v>-311.60807004405433</v>
      </c>
      <c r="K49" s="350" t="s">
        <v>86</v>
      </c>
      <c r="L49" s="350"/>
      <c r="M49" s="350"/>
      <c r="N49" s="66">
        <f>+G36</f>
        <v>673884.94200000004</v>
      </c>
    </row>
    <row r="50" spans="5:14" ht="19">
      <c r="E50" s="358" t="s">
        <v>84</v>
      </c>
      <c r="F50" s="359"/>
      <c r="G50" s="69">
        <f>+G45</f>
        <v>502781.82030850503</v>
      </c>
      <c r="H50" s="357" t="s">
        <v>83</v>
      </c>
      <c r="I50" s="357"/>
      <c r="J50" s="77">
        <f>+SUM(J45:J49)</f>
        <v>-327642.60540090181</v>
      </c>
      <c r="K50" s="347" t="s">
        <v>85</v>
      </c>
      <c r="L50" s="347"/>
      <c r="M50" s="347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51" t="s">
        <v>71</v>
      </c>
      <c r="F55" s="351"/>
      <c r="G55" s="352"/>
      <c r="H55" s="351" t="s">
        <v>82</v>
      </c>
      <c r="I55" s="351"/>
      <c r="J55" s="351"/>
      <c r="K55" s="353" t="s">
        <v>70</v>
      </c>
      <c r="L55" s="353"/>
      <c r="M55" s="353"/>
      <c r="N55" s="353"/>
    </row>
    <row r="56" spans="5:14">
      <c r="E56" s="68" t="s">
        <v>72</v>
      </c>
      <c r="F56" s="68"/>
      <c r="G56" s="66">
        <f>+I8</f>
        <v>231983.78607040126</v>
      </c>
      <c r="H56" s="350" t="s">
        <v>73</v>
      </c>
      <c r="I56" s="350"/>
      <c r="J56" s="66" t="e">
        <f>+'Bal Los Colorados'!O49*'Bal Los Colorados'!G49</f>
        <v>#REF!</v>
      </c>
      <c r="K56" s="350" t="s">
        <v>78</v>
      </c>
      <c r="L56" s="350"/>
      <c r="M56" s="350"/>
      <c r="N56" s="66">
        <f>+C10</f>
        <v>7704.8210577451482</v>
      </c>
    </row>
    <row r="57" spans="5:14">
      <c r="E57" s="355"/>
      <c r="F57" s="356"/>
      <c r="G57" s="20"/>
      <c r="H57" s="350" t="s">
        <v>74</v>
      </c>
      <c r="I57" s="350"/>
      <c r="J57" s="66" t="e">
        <f>+'Bal Los Colorados'!O53*'Bal Los Colorados'!G53</f>
        <v>#REF!</v>
      </c>
      <c r="K57" s="350" t="s">
        <v>79</v>
      </c>
      <c r="L57" s="350"/>
      <c r="M57" s="350"/>
      <c r="N57" s="66">
        <f>+C30</f>
        <v>9675.4587302503223</v>
      </c>
    </row>
    <row r="58" spans="5:14">
      <c r="E58" s="355"/>
      <c r="F58" s="356"/>
      <c r="G58" s="20"/>
      <c r="H58" s="350" t="s">
        <v>75</v>
      </c>
      <c r="I58" s="350"/>
      <c r="J58" s="66" t="e">
        <f>+'Bal Los Colorados'!O56*'Bal Los Colorados'!G56</f>
        <v>#REF!</v>
      </c>
      <c r="K58" s="350" t="s">
        <v>80</v>
      </c>
      <c r="L58" s="350"/>
      <c r="M58" s="350"/>
      <c r="N58" s="66">
        <f>+S38</f>
        <v>7620.3234035700007</v>
      </c>
    </row>
    <row r="59" spans="5:14">
      <c r="E59" s="355"/>
      <c r="F59" s="356"/>
      <c r="G59" s="20"/>
      <c r="H59" s="67" t="s">
        <v>76</v>
      </c>
      <c r="I59" s="67"/>
      <c r="J59" s="66" t="e">
        <f>+'Bal Los Colorados'!O62*'Bal Los Colorados'!G62</f>
        <v>#REF!</v>
      </c>
      <c r="K59" s="350" t="s">
        <v>81</v>
      </c>
      <c r="L59" s="350"/>
      <c r="M59" s="350"/>
      <c r="N59" s="66">
        <f>+S30</f>
        <v>14049.347154701374</v>
      </c>
    </row>
    <row r="60" spans="5:14">
      <c r="E60" s="355"/>
      <c r="F60" s="356"/>
      <c r="G60" s="20"/>
      <c r="H60" s="350" t="s">
        <v>77</v>
      </c>
      <c r="I60" s="350"/>
      <c r="J60" s="66" t="e">
        <f>+'Bal Los Colorados'!O67*'Bal Los Colorados'!G67</f>
        <v>#REF!</v>
      </c>
      <c r="K60" s="350" t="s">
        <v>86</v>
      </c>
      <c r="L60" s="350"/>
      <c r="M60" s="350"/>
      <c r="N60" s="66">
        <f>+G38</f>
        <v>410848.95586592209</v>
      </c>
    </row>
    <row r="61" spans="5:14" ht="19">
      <c r="E61" s="358" t="s">
        <v>84</v>
      </c>
      <c r="F61" s="359"/>
      <c r="G61" s="69">
        <f>+G56</f>
        <v>231983.78607040126</v>
      </c>
      <c r="H61" s="357" t="s">
        <v>83</v>
      </c>
      <c r="I61" s="357"/>
      <c r="J61" s="77" t="e">
        <f>+SUM(J56:J60)</f>
        <v>#REF!</v>
      </c>
      <c r="K61" s="347" t="s">
        <v>85</v>
      </c>
      <c r="L61" s="347"/>
      <c r="M61" s="347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ADC4-458D-C745-B459-AC5A0F458911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G16" sqref="G16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6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4"/>
      <c r="O1" s="274"/>
      <c r="P1" s="273"/>
    </row>
    <row r="2" spans="2:18" ht="15" customHeight="1">
      <c r="B2" s="272"/>
      <c r="C2" s="269"/>
      <c r="D2" s="416"/>
      <c r="E2" s="417"/>
      <c r="F2" s="422" t="s">
        <v>211</v>
      </c>
      <c r="G2" s="422"/>
      <c r="H2" s="422"/>
      <c r="I2" s="422"/>
      <c r="J2" s="422"/>
      <c r="K2" s="422"/>
      <c r="L2" s="422"/>
      <c r="M2" s="422"/>
      <c r="N2" s="422"/>
      <c r="O2" s="423"/>
      <c r="P2" s="187"/>
    </row>
    <row r="3" spans="2:18" ht="15" customHeight="1">
      <c r="B3" s="272"/>
      <c r="C3" s="269"/>
      <c r="D3" s="418"/>
      <c r="E3" s="419"/>
      <c r="F3" s="424"/>
      <c r="G3" s="424"/>
      <c r="H3" s="424"/>
      <c r="I3" s="424"/>
      <c r="J3" s="424"/>
      <c r="K3" s="424"/>
      <c r="L3" s="424"/>
      <c r="M3" s="424"/>
      <c r="N3" s="424"/>
      <c r="O3" s="425"/>
      <c r="P3" s="187"/>
    </row>
    <row r="4" spans="2:18" ht="15" customHeight="1">
      <c r="B4" s="272"/>
      <c r="C4" s="269"/>
      <c r="D4" s="418"/>
      <c r="E4" s="419"/>
      <c r="F4" s="424" t="s">
        <v>210</v>
      </c>
      <c r="G4" s="424"/>
      <c r="H4" s="424"/>
      <c r="I4" s="424"/>
      <c r="J4" s="424"/>
      <c r="K4" s="424"/>
      <c r="L4" s="424" t="s">
        <v>209</v>
      </c>
      <c r="M4" s="424"/>
      <c r="N4" s="427">
        <v>44880</v>
      </c>
      <c r="O4" s="428"/>
      <c r="P4" s="187"/>
    </row>
    <row r="5" spans="2:18" ht="15" customHeight="1" thickBot="1">
      <c r="B5" s="272"/>
      <c r="C5" s="269"/>
      <c r="D5" s="420"/>
      <c r="E5" s="421"/>
      <c r="F5" s="426"/>
      <c r="G5" s="426"/>
      <c r="H5" s="426"/>
      <c r="I5" s="426"/>
      <c r="J5" s="426"/>
      <c r="K5" s="426"/>
      <c r="L5" s="426"/>
      <c r="M5" s="426"/>
      <c r="N5" s="429"/>
      <c r="O5" s="430"/>
      <c r="P5" s="187"/>
    </row>
    <row r="6" spans="2:18" ht="14.25" customHeight="1" thickBot="1">
      <c r="B6" s="272"/>
      <c r="C6" s="269"/>
      <c r="D6" s="271"/>
      <c r="E6" s="271"/>
      <c r="F6" s="271"/>
      <c r="G6" s="271"/>
      <c r="H6" s="271"/>
      <c r="I6" s="271"/>
      <c r="J6" s="271"/>
      <c r="K6" s="271"/>
      <c r="L6" s="270"/>
      <c r="M6" s="269"/>
      <c r="P6" s="187"/>
    </row>
    <row r="7" spans="2:18" ht="15" customHeight="1">
      <c r="B7" s="193"/>
      <c r="C7" s="213"/>
      <c r="D7" s="408"/>
      <c r="E7" s="409"/>
      <c r="F7" s="409"/>
      <c r="G7" s="268" t="s">
        <v>208</v>
      </c>
      <c r="H7" s="268" t="s">
        <v>207</v>
      </c>
      <c r="I7" s="267" t="s">
        <v>206</v>
      </c>
      <c r="J7" s="412"/>
      <c r="K7" s="413"/>
      <c r="L7" s="413"/>
      <c r="M7" s="268" t="s">
        <v>208</v>
      </c>
      <c r="N7" s="268" t="s">
        <v>207</v>
      </c>
      <c r="O7" s="267" t="s">
        <v>206</v>
      </c>
      <c r="P7" s="187"/>
    </row>
    <row r="8" spans="2:18" ht="15" customHeight="1" thickBot="1">
      <c r="B8" s="193"/>
      <c r="C8" s="213"/>
      <c r="D8" s="410"/>
      <c r="E8" s="411"/>
      <c r="F8" s="411"/>
      <c r="G8" s="266" t="s">
        <v>34</v>
      </c>
      <c r="H8" s="266" t="s">
        <v>189</v>
      </c>
      <c r="I8" s="265" t="s">
        <v>10</v>
      </c>
      <c r="J8" s="414"/>
      <c r="K8" s="415"/>
      <c r="L8" s="415"/>
      <c r="M8" s="266" t="s">
        <v>34</v>
      </c>
      <c r="N8" s="266" t="s">
        <v>189</v>
      </c>
      <c r="O8" s="265" t="s">
        <v>10</v>
      </c>
      <c r="P8" s="187"/>
    </row>
    <row r="9" spans="2:18" ht="15" customHeight="1" thickBot="1">
      <c r="B9" s="193"/>
      <c r="C9" s="213"/>
      <c r="D9" s="395" t="s">
        <v>71</v>
      </c>
      <c r="E9" s="396"/>
      <c r="F9" s="396"/>
      <c r="G9" s="396"/>
      <c r="H9" s="396"/>
      <c r="I9" s="397"/>
      <c r="J9" s="399" t="s">
        <v>205</v>
      </c>
      <c r="K9" s="400"/>
      <c r="L9" s="400"/>
      <c r="M9" s="400"/>
      <c r="N9" s="400"/>
      <c r="O9" s="401"/>
      <c r="P9" s="187"/>
    </row>
    <row r="10" spans="2:18" ht="15" customHeight="1">
      <c r="B10" s="193"/>
      <c r="C10" s="213" t="s">
        <v>204</v>
      </c>
      <c r="D10" s="369" t="s">
        <v>203</v>
      </c>
      <c r="E10" s="370"/>
      <c r="F10" s="371"/>
      <c r="G10" s="296" t="e">
        <f>+Diagrama!K93*(1-'[2]Nuevo Ingreso Dat Plantas'!E50)</f>
        <v>#REF!</v>
      </c>
      <c r="H10" s="253">
        <f>+Diagrama!I20</f>
        <v>0</v>
      </c>
      <c r="I10" s="247" t="e">
        <f>H10*G10</f>
        <v>#REF!</v>
      </c>
      <c r="J10" s="402" t="s">
        <v>193</v>
      </c>
      <c r="K10" s="403"/>
      <c r="L10" s="404"/>
      <c r="M10" s="295">
        <f>+Diagrama!J88*(1-'[3]Nuevo Ingreso Dat Plantas'!E68)</f>
        <v>84629.508799999996</v>
      </c>
      <c r="N10" s="263">
        <f>+Diagrama!G54</f>
        <v>0</v>
      </c>
      <c r="O10" s="247">
        <f>N10*M10</f>
        <v>0</v>
      </c>
      <c r="P10" s="187"/>
    </row>
    <row r="11" spans="2:18" ht="15" customHeight="1">
      <c r="B11" s="193"/>
      <c r="C11" s="213"/>
      <c r="D11" s="369" t="s">
        <v>202</v>
      </c>
      <c r="E11" s="370"/>
      <c r="F11" s="371"/>
      <c r="G11" s="226">
        <v>0</v>
      </c>
      <c r="H11" s="225">
        <v>0</v>
      </c>
      <c r="I11" s="247">
        <f>H11*G11</f>
        <v>0</v>
      </c>
      <c r="J11" s="369" t="s">
        <v>192</v>
      </c>
      <c r="K11" s="370"/>
      <c r="L11" s="371"/>
      <c r="M11" s="296">
        <f>+Diagrama!J86*(1-'[3]Nuevo Ingreso Dat Plantas'!E75)</f>
        <v>107666.20877499999</v>
      </c>
      <c r="N11" s="253">
        <f>++Diagrama!R63</f>
        <v>0</v>
      </c>
      <c r="O11" s="247">
        <f>N11*M11</f>
        <v>0</v>
      </c>
      <c r="P11" s="187"/>
    </row>
    <row r="12" spans="2:18" ht="15" customHeight="1">
      <c r="B12" s="193"/>
      <c r="C12" s="213"/>
      <c r="D12" s="369" t="s">
        <v>201</v>
      </c>
      <c r="E12" s="370"/>
      <c r="F12" s="371"/>
      <c r="G12" s="226">
        <v>0</v>
      </c>
      <c r="H12" s="225">
        <v>0</v>
      </c>
      <c r="I12" s="247">
        <v>0</v>
      </c>
      <c r="J12" s="369" t="s">
        <v>191</v>
      </c>
      <c r="K12" s="370"/>
      <c r="L12" s="371"/>
      <c r="M12" s="296">
        <f>+Diagrama!J87*(1-'[3]Nuevo Ingreso Dat Plantas'!E73)</f>
        <v>4312.5021039050998</v>
      </c>
      <c r="N12" s="253">
        <f>+Diagrama!N59</f>
        <v>0</v>
      </c>
      <c r="O12" s="247">
        <f>N12*M12</f>
        <v>0</v>
      </c>
      <c r="P12" s="187"/>
    </row>
    <row r="13" spans="2:18" ht="15" customHeight="1" thickBot="1">
      <c r="B13" s="193"/>
      <c r="C13" s="213"/>
      <c r="D13" s="405" t="s">
        <v>200</v>
      </c>
      <c r="E13" s="406"/>
      <c r="F13" s="407"/>
      <c r="G13" s="226">
        <v>0</v>
      </c>
      <c r="H13" s="225">
        <v>0</v>
      </c>
      <c r="I13" s="247">
        <v>0</v>
      </c>
      <c r="J13" s="262" t="s">
        <v>199</v>
      </c>
      <c r="K13" s="261"/>
      <c r="L13" s="260"/>
      <c r="M13" s="297">
        <f>+Diagrama!J94*(1-'[3]Nuevo Ingreso Dat Plantas'!E51)</f>
        <v>11473.344999999999</v>
      </c>
      <c r="N13" s="253">
        <f>+Diagrama!O10</f>
        <v>0</v>
      </c>
      <c r="O13" s="247">
        <f>N13*M13</f>
        <v>0</v>
      </c>
      <c r="P13" s="187"/>
      <c r="R13" s="257"/>
    </row>
    <row r="14" spans="2:18" ht="15" customHeight="1" thickBot="1">
      <c r="B14" s="193"/>
      <c r="C14" s="213" t="s">
        <v>198</v>
      </c>
      <c r="D14" s="391" t="s">
        <v>179</v>
      </c>
      <c r="E14" s="388"/>
      <c r="F14" s="388"/>
      <c r="G14" s="245" t="e">
        <f>SUM(G10:G13)</f>
        <v>#REF!</v>
      </c>
      <c r="H14" s="246">
        <f>H10</f>
        <v>0</v>
      </c>
      <c r="I14" s="245" t="e">
        <f>I10</f>
        <v>#REF!</v>
      </c>
      <c r="J14" s="387" t="s">
        <v>179</v>
      </c>
      <c r="K14" s="388"/>
      <c r="L14" s="388"/>
      <c r="M14" s="245">
        <f>SUM(M10:M13)</f>
        <v>208081.5646789051</v>
      </c>
      <c r="N14" s="246">
        <f>SUMPRODUCT(M10:M13,N10:N13)/M14</f>
        <v>0</v>
      </c>
      <c r="O14" s="245">
        <f>N14*M14</f>
        <v>0</v>
      </c>
      <c r="P14" s="187"/>
      <c r="Q14" s="294"/>
      <c r="R14" s="257"/>
    </row>
    <row r="15" spans="2:18" ht="15" customHeight="1" thickBot="1">
      <c r="B15" s="193"/>
      <c r="C15" s="213"/>
      <c r="D15" s="395" t="s">
        <v>197</v>
      </c>
      <c r="E15" s="396"/>
      <c r="F15" s="396"/>
      <c r="G15" s="396"/>
      <c r="H15" s="396"/>
      <c r="I15" s="397"/>
      <c r="J15" s="393" t="s">
        <v>196</v>
      </c>
      <c r="K15" s="393"/>
      <c r="L15" s="393"/>
      <c r="M15" s="393"/>
      <c r="N15" s="393"/>
      <c r="O15" s="398"/>
      <c r="P15" s="187"/>
    </row>
    <row r="16" spans="2:18" ht="15" customHeight="1" thickBot="1">
      <c r="B16" s="193"/>
      <c r="C16" s="213"/>
      <c r="D16" s="369" t="s">
        <v>195</v>
      </c>
      <c r="E16" s="370"/>
      <c r="F16" s="371"/>
      <c r="G16" s="298">
        <f>+Diagrama!K94*(1-'[3]Nuevo Ingreso Dat Plantas'!E83)</f>
        <v>0</v>
      </c>
      <c r="H16" s="225">
        <f>+Diagrama!U18</f>
        <v>0</v>
      </c>
      <c r="I16" s="247">
        <f t="shared" ref="I16:I20" si="0">H16*G16</f>
        <v>0</v>
      </c>
      <c r="J16" s="277" t="s">
        <v>194</v>
      </c>
      <c r="K16" s="277"/>
      <c r="L16" s="278"/>
      <c r="M16" s="254">
        <f>+Diagrama!J92</f>
        <v>43011</v>
      </c>
      <c r="N16" s="253">
        <f>+Diagrama!F32</f>
        <v>0</v>
      </c>
      <c r="O16" s="247">
        <f>N16*M16</f>
        <v>0</v>
      </c>
      <c r="P16" s="187"/>
      <c r="Q16" s="249"/>
    </row>
    <row r="17" spans="2:19" ht="15" customHeight="1" thickBot="1">
      <c r="B17" s="193"/>
      <c r="C17" s="213"/>
      <c r="D17" s="369" t="s">
        <v>193</v>
      </c>
      <c r="E17" s="370"/>
      <c r="F17" s="371"/>
      <c r="G17" s="298">
        <f>+Diagrama!K88*(1-'[3]Nuevo Ingreso Dat Plantas'!E69)</f>
        <v>0</v>
      </c>
      <c r="H17" s="225">
        <f>+Diagrama!U69</f>
        <v>0</v>
      </c>
      <c r="I17" s="247">
        <f t="shared" si="0"/>
        <v>0</v>
      </c>
      <c r="J17" s="387" t="s">
        <v>179</v>
      </c>
      <c r="K17" s="388"/>
      <c r="L17" s="388"/>
      <c r="M17" s="212">
        <f>M16</f>
        <v>43011</v>
      </c>
      <c r="N17" s="252">
        <f>N16</f>
        <v>0</v>
      </c>
      <c r="O17" s="208">
        <f>N17*M17</f>
        <v>0</v>
      </c>
      <c r="P17" s="187"/>
      <c r="Q17" s="249"/>
    </row>
    <row r="18" spans="2:19" ht="15" customHeight="1">
      <c r="B18" s="193"/>
      <c r="C18" s="213"/>
      <c r="D18" s="369" t="s">
        <v>192</v>
      </c>
      <c r="E18" s="370"/>
      <c r="F18" s="371"/>
      <c r="G18" s="298">
        <f>+Diagrama!K86*(1-'[3]Nuevo Ingreso Dat Plantas'!E76)</f>
        <v>0</v>
      </c>
      <c r="H18" s="225">
        <f>+Diagrama!T63</f>
        <v>0</v>
      </c>
      <c r="I18" s="247">
        <f t="shared" si="0"/>
        <v>0</v>
      </c>
      <c r="M18" s="251"/>
      <c r="N18" s="250"/>
      <c r="O18" s="250"/>
      <c r="P18" s="187"/>
      <c r="Q18" s="249"/>
    </row>
    <row r="19" spans="2:19" ht="15" customHeight="1">
      <c r="B19" s="193"/>
      <c r="C19" s="213"/>
      <c r="D19" s="369" t="s">
        <v>98</v>
      </c>
      <c r="E19" s="370"/>
      <c r="F19" s="371"/>
      <c r="G19" s="298">
        <f>+Diagrama!K95*(1-'[3]Nuevo Ingreso Dat Plantas'!E82)</f>
        <v>0</v>
      </c>
      <c r="H19" s="225">
        <f>+Diagrama!T40</f>
        <v>0</v>
      </c>
      <c r="I19" s="247">
        <f t="shared" si="0"/>
        <v>0</v>
      </c>
      <c r="J19" s="389"/>
      <c r="K19" s="389"/>
      <c r="L19" s="389"/>
      <c r="M19" s="248"/>
      <c r="N19" s="215"/>
      <c r="O19" s="214"/>
      <c r="P19" s="187"/>
    </row>
    <row r="20" spans="2:19" ht="15" customHeight="1" thickBot="1">
      <c r="B20" s="193"/>
      <c r="C20" s="213"/>
      <c r="D20" s="369" t="s">
        <v>191</v>
      </c>
      <c r="E20" s="370"/>
      <c r="F20" s="371"/>
      <c r="G20" s="298">
        <f>+Diagrama!K87*(1-'[3]Nuevo Ingreso Dat Plantas'!E86)</f>
        <v>0</v>
      </c>
      <c r="H20" s="225">
        <f>+Diagrama!T49</f>
        <v>0</v>
      </c>
      <c r="I20" s="247">
        <f t="shared" si="0"/>
        <v>0</v>
      </c>
      <c r="J20" s="390"/>
      <c r="K20" s="390"/>
      <c r="L20" s="390"/>
      <c r="M20" s="243"/>
      <c r="N20" s="206"/>
      <c r="O20" s="205"/>
      <c r="P20" s="187"/>
    </row>
    <row r="21" spans="2:19" ht="15" customHeight="1" thickBot="1">
      <c r="B21" s="193"/>
      <c r="C21" s="213"/>
      <c r="D21" s="391" t="s">
        <v>179</v>
      </c>
      <c r="E21" s="388"/>
      <c r="F21" s="388"/>
      <c r="G21" s="245">
        <f>SUM(G16:G20)</f>
        <v>0</v>
      </c>
      <c r="H21" s="246" t="e">
        <f>SUMPRODUCT(G16:G20,H16:H20)/G21</f>
        <v>#DIV/0!</v>
      </c>
      <c r="I21" s="245">
        <f>SUM(I16:I20)</f>
        <v>0</v>
      </c>
      <c r="J21" s="390"/>
      <c r="K21" s="390"/>
      <c r="L21" s="390"/>
      <c r="M21" s="243"/>
      <c r="N21" s="206"/>
      <c r="O21" s="205"/>
      <c r="P21" s="187"/>
    </row>
    <row r="22" spans="2:19" ht="15" customHeight="1" thickBot="1">
      <c r="B22" s="193"/>
      <c r="C22" s="213"/>
      <c r="D22" s="279"/>
      <c r="E22" s="279"/>
      <c r="F22" s="279"/>
      <c r="G22" s="279"/>
      <c r="H22" s="279"/>
      <c r="I22" s="279"/>
      <c r="J22" s="279"/>
      <c r="K22" s="279"/>
      <c r="L22" s="279"/>
      <c r="M22" s="243"/>
      <c r="N22" s="206"/>
      <c r="O22" s="205"/>
      <c r="P22" s="187"/>
    </row>
    <row r="23" spans="2:19" ht="15" hidden="1" customHeight="1" thickBot="1">
      <c r="B23" s="193"/>
      <c r="C23" s="213"/>
      <c r="D23" s="392" t="s">
        <v>190</v>
      </c>
      <c r="E23" s="393"/>
      <c r="F23" s="394"/>
      <c r="G23" s="242" t="s">
        <v>34</v>
      </c>
      <c r="H23" s="242" t="s">
        <v>189</v>
      </c>
      <c r="I23" s="241" t="s">
        <v>10</v>
      </c>
      <c r="J23" s="280" t="s">
        <v>188</v>
      </c>
      <c r="K23" s="239" t="s">
        <v>187</v>
      </c>
      <c r="L23" s="207"/>
      <c r="M23" s="238"/>
      <c r="N23" s="207"/>
      <c r="O23" s="207"/>
      <c r="P23" s="237"/>
    </row>
    <row r="24" spans="2:19" ht="15" hidden="1" customHeight="1">
      <c r="B24" s="193"/>
      <c r="C24" s="213"/>
      <c r="D24" s="384" t="s">
        <v>186</v>
      </c>
      <c r="E24" s="385"/>
      <c r="F24" s="386"/>
      <c r="G24" s="236"/>
      <c r="H24" s="235"/>
      <c r="I24" s="234"/>
      <c r="J24" s="219"/>
      <c r="K24" s="233"/>
      <c r="L24" s="217"/>
      <c r="M24" s="216">
        <v>0.76</v>
      </c>
      <c r="N24" s="215"/>
      <c r="O24" s="214"/>
      <c r="P24" s="187"/>
      <c r="S24" s="204"/>
    </row>
    <row r="25" spans="2:19" ht="15" hidden="1" customHeight="1">
      <c r="B25" s="193"/>
      <c r="C25" s="213"/>
      <c r="D25" s="366" t="s">
        <v>185</v>
      </c>
      <c r="E25" s="367"/>
      <c r="F25" s="368"/>
      <c r="G25" s="226"/>
      <c r="H25" s="225"/>
      <c r="I25" s="224"/>
      <c r="J25" s="219"/>
      <c r="K25" s="223"/>
      <c r="L25" s="217"/>
      <c r="M25" s="216">
        <v>8.68</v>
      </c>
      <c r="N25" s="215"/>
      <c r="O25" s="214"/>
      <c r="P25" s="187"/>
      <c r="S25" s="204"/>
    </row>
    <row r="26" spans="2:19" ht="15" hidden="1" customHeight="1">
      <c r="B26" s="193"/>
      <c r="C26" s="213"/>
      <c r="D26" s="366" t="s">
        <v>184</v>
      </c>
      <c r="E26" s="367"/>
      <c r="F26" s="368"/>
      <c r="G26" s="226"/>
      <c r="H26" s="225"/>
      <c r="I26" s="224"/>
      <c r="J26" s="219"/>
      <c r="K26" s="223"/>
      <c r="L26" s="217"/>
      <c r="M26" s="216">
        <v>0.76</v>
      </c>
      <c r="N26" s="215"/>
      <c r="O26" s="214"/>
      <c r="P26" s="187"/>
      <c r="S26" s="204"/>
    </row>
    <row r="27" spans="2:19" ht="15" hidden="1" customHeight="1">
      <c r="B27" s="193"/>
      <c r="C27" s="213"/>
      <c r="D27" s="366" t="s">
        <v>183</v>
      </c>
      <c r="E27" s="367"/>
      <c r="F27" s="368"/>
      <c r="G27" s="226"/>
      <c r="H27" s="225"/>
      <c r="I27" s="224"/>
      <c r="J27" s="219"/>
      <c r="K27" s="223"/>
      <c r="L27" s="217"/>
      <c r="M27" s="216">
        <v>8.39</v>
      </c>
      <c r="N27" s="215"/>
      <c r="O27" s="214"/>
      <c r="P27" s="187"/>
      <c r="S27" s="204"/>
    </row>
    <row r="28" spans="2:19" ht="15" hidden="1" customHeight="1">
      <c r="B28" s="193"/>
      <c r="C28" s="213"/>
      <c r="D28" s="281" t="s">
        <v>182</v>
      </c>
      <c r="E28" s="282"/>
      <c r="F28" s="283"/>
      <c r="G28" s="226"/>
      <c r="H28" s="225"/>
      <c r="I28" s="229"/>
      <c r="J28" s="228"/>
      <c r="K28" s="227"/>
      <c r="L28" s="217"/>
      <c r="M28" s="216"/>
      <c r="N28" s="215"/>
      <c r="O28" s="214"/>
      <c r="P28" s="187"/>
      <c r="S28" s="204"/>
    </row>
    <row r="29" spans="2:19" ht="15" hidden="1" customHeight="1">
      <c r="B29" s="193"/>
      <c r="C29" s="213"/>
      <c r="D29" s="369" t="s">
        <v>181</v>
      </c>
      <c r="E29" s="370"/>
      <c r="F29" s="371"/>
      <c r="G29" s="226"/>
      <c r="H29" s="225"/>
      <c r="I29" s="224"/>
      <c r="J29" s="219"/>
      <c r="K29" s="223"/>
      <c r="L29" s="217"/>
      <c r="M29" s="216">
        <v>0.05</v>
      </c>
      <c r="N29" s="215"/>
      <c r="O29" s="214"/>
      <c r="P29" s="187"/>
      <c r="S29" s="204"/>
    </row>
    <row r="30" spans="2:19" ht="15" hidden="1" customHeight="1" thickBot="1">
      <c r="B30" s="193"/>
      <c r="C30" s="213"/>
      <c r="D30" s="372" t="s">
        <v>180</v>
      </c>
      <c r="E30" s="373"/>
      <c r="F30" s="374"/>
      <c r="G30" s="222"/>
      <c r="H30" s="221"/>
      <c r="I30" s="220"/>
      <c r="J30" s="219"/>
      <c r="K30" s="218"/>
      <c r="L30" s="217"/>
      <c r="M30" s="216">
        <v>0.05</v>
      </c>
      <c r="N30" s="215"/>
      <c r="O30" s="214"/>
      <c r="P30" s="187"/>
      <c r="S30" s="204"/>
    </row>
    <row r="31" spans="2:19" ht="15" hidden="1" customHeight="1" thickBot="1">
      <c r="B31" s="193"/>
      <c r="C31" s="213"/>
      <c r="D31" s="375" t="s">
        <v>179</v>
      </c>
      <c r="E31" s="376"/>
      <c r="F31" s="376"/>
      <c r="G31" s="212">
        <v>0</v>
      </c>
      <c r="H31" s="211" t="e">
        <v>#DIV/0!</v>
      </c>
      <c r="I31" s="210">
        <v>0</v>
      </c>
      <c r="J31" s="209">
        <v>0</v>
      </c>
      <c r="K31" s="208">
        <v>0</v>
      </c>
      <c r="L31" s="207"/>
      <c r="M31" s="205"/>
      <c r="N31" s="206"/>
      <c r="O31" s="205"/>
      <c r="P31" s="187"/>
      <c r="S31" s="204"/>
    </row>
    <row r="32" spans="2:19" ht="15" hidden="1" customHeight="1" thickBot="1">
      <c r="B32" s="193"/>
      <c r="D32" s="203"/>
      <c r="H32" s="200"/>
      <c r="I32" s="202"/>
      <c r="J32" s="200"/>
      <c r="K32" s="201"/>
      <c r="L32" s="200"/>
      <c r="N32" s="199"/>
      <c r="P32" s="187"/>
    </row>
    <row r="33" spans="2:16" ht="15" customHeight="1" thickBot="1">
      <c r="B33" s="193"/>
      <c r="D33" s="377" t="s">
        <v>178</v>
      </c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9"/>
      <c r="P33" s="187"/>
    </row>
    <row r="34" spans="2:16" ht="15" customHeight="1" thickBot="1">
      <c r="B34" s="193"/>
      <c r="P34" s="187"/>
    </row>
    <row r="35" spans="2:16" ht="15" customHeight="1" thickBot="1">
      <c r="B35" s="193"/>
      <c r="D35" s="380" t="s">
        <v>177</v>
      </c>
      <c r="E35" s="381"/>
      <c r="F35" s="382"/>
      <c r="G35" s="383"/>
      <c r="H35" s="383"/>
      <c r="J35" s="380" t="s">
        <v>176</v>
      </c>
      <c r="K35" s="381"/>
      <c r="L35" s="382"/>
      <c r="M35" s="383"/>
      <c r="N35" s="383"/>
      <c r="P35" s="187"/>
    </row>
    <row r="36" spans="2:16" ht="15" customHeight="1">
      <c r="B36" s="193"/>
      <c r="D36" s="360">
        <f>+Diagrama!J91/100</f>
        <v>0.82434808049810337</v>
      </c>
      <c r="E36" s="361"/>
      <c r="F36" s="362"/>
      <c r="G36" s="198"/>
      <c r="H36" s="197"/>
      <c r="J36" s="360" t="e">
        <f>D36*N14/H14</f>
        <v>#DIV/0!</v>
      </c>
      <c r="K36" s="361"/>
      <c r="L36" s="362"/>
      <c r="M36" s="197"/>
      <c r="N36" s="197"/>
      <c r="P36" s="187"/>
    </row>
    <row r="37" spans="2:16" ht="15" customHeight="1" thickBot="1">
      <c r="B37" s="193"/>
      <c r="D37" s="363"/>
      <c r="E37" s="364"/>
      <c r="F37" s="365"/>
      <c r="G37" s="196"/>
      <c r="H37" s="194"/>
      <c r="J37" s="363"/>
      <c r="K37" s="364"/>
      <c r="L37" s="365"/>
      <c r="M37" s="195"/>
      <c r="N37" s="194"/>
      <c r="P37" s="187"/>
    </row>
    <row r="38" spans="2:16" ht="15" customHeight="1">
      <c r="B38" s="193"/>
      <c r="D38" s="190"/>
      <c r="E38" s="190"/>
      <c r="F38" s="190"/>
      <c r="G38" s="192"/>
      <c r="H38" s="191"/>
      <c r="J38" s="190"/>
      <c r="K38" s="190"/>
      <c r="L38" s="190"/>
      <c r="M38" s="189"/>
      <c r="N38" s="188"/>
      <c r="P38" s="187"/>
    </row>
    <row r="39" spans="2:16" ht="14.25" customHeight="1" thickBot="1">
      <c r="B39" s="186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4"/>
    </row>
    <row r="41" spans="2:16" ht="15" customHeight="1">
      <c r="H41" s="183"/>
    </row>
  </sheetData>
  <mergeCells count="45">
    <mergeCell ref="D7:F8"/>
    <mergeCell ref="J7:L8"/>
    <mergeCell ref="D2:E5"/>
    <mergeCell ref="F2:O3"/>
    <mergeCell ref="F4:K5"/>
    <mergeCell ref="L4:M5"/>
    <mergeCell ref="N4:O5"/>
    <mergeCell ref="D15:I15"/>
    <mergeCell ref="J15:O15"/>
    <mergeCell ref="D9:I9"/>
    <mergeCell ref="J9:O9"/>
    <mergeCell ref="D10:F10"/>
    <mergeCell ref="J10:L10"/>
    <mergeCell ref="D11:F11"/>
    <mergeCell ref="J11:L11"/>
    <mergeCell ref="D12:F12"/>
    <mergeCell ref="J12:L12"/>
    <mergeCell ref="D13:F13"/>
    <mergeCell ref="D14:F14"/>
    <mergeCell ref="J14:L14"/>
    <mergeCell ref="D24:F24"/>
    <mergeCell ref="D16:F16"/>
    <mergeCell ref="D17:F17"/>
    <mergeCell ref="J17:L17"/>
    <mergeCell ref="D18:F18"/>
    <mergeCell ref="D19:F19"/>
    <mergeCell ref="J19:L19"/>
    <mergeCell ref="D20:F20"/>
    <mergeCell ref="J20:L20"/>
    <mergeCell ref="D21:F21"/>
    <mergeCell ref="J21:L21"/>
    <mergeCell ref="D23:F23"/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G35:H35"/>
    <mergeCell ref="J35:L35"/>
    <mergeCell ref="M35:N3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3D-5B71-3340-ADA9-545BE31CB61A}">
  <dimension ref="B1:F49"/>
  <sheetViews>
    <sheetView workbookViewId="0">
      <selection activeCell="C37" sqref="C37"/>
    </sheetView>
  </sheetViews>
  <sheetFormatPr baseColWidth="10" defaultRowHeight="15"/>
  <cols>
    <col min="2" max="2" width="72.6640625" customWidth="1"/>
    <col min="3" max="3" width="11.1640625" bestFit="1" customWidth="1"/>
    <col min="4" max="4" width="24.1640625" customWidth="1"/>
    <col min="5" max="5" width="27.83203125" customWidth="1"/>
  </cols>
  <sheetData>
    <row r="1" spans="2:6" ht="24">
      <c r="B1" s="321" t="s">
        <v>29</v>
      </c>
      <c r="C1" s="322">
        <f>+C2+C3</f>
        <v>391876</v>
      </c>
      <c r="D1" s="323">
        <f>+IF(C1&lt;&gt;0,(C2*D2+C3*D3)/C1,0)</f>
        <v>0.60376589359687249</v>
      </c>
      <c r="E1" s="330">
        <f>+IF(C1&lt;&gt;0,(C2*E2+C3*E3)/C1,0)</f>
        <v>8.1856104413569643E-3</v>
      </c>
      <c r="F1" s="333"/>
    </row>
    <row r="2" spans="2:6" ht="24">
      <c r="B2" s="324" t="s">
        <v>243</v>
      </c>
      <c r="C2" s="325">
        <f>319577+5365</f>
        <v>324942</v>
      </c>
      <c r="D2" s="326">
        <v>0.59772281222951495</v>
      </c>
      <c r="E2" s="331">
        <v>8.4284979474912401E-3</v>
      </c>
      <c r="F2" s="333"/>
    </row>
    <row r="3" spans="2:6" ht="25" thickBot="1">
      <c r="B3" s="327" t="s">
        <v>244</v>
      </c>
      <c r="C3" s="328">
        <v>66934</v>
      </c>
      <c r="D3" s="329">
        <v>0.63310301592142904</v>
      </c>
      <c r="E3" s="332">
        <v>7.0064735002166798E-3</v>
      </c>
      <c r="F3" s="333"/>
    </row>
    <row r="4" spans="2:6" ht="24">
      <c r="B4" s="300" t="s">
        <v>217</v>
      </c>
      <c r="C4" s="317">
        <v>0</v>
      </c>
      <c r="D4" s="301">
        <v>0</v>
      </c>
      <c r="E4" s="318">
        <v>0</v>
      </c>
      <c r="F4" s="46"/>
    </row>
    <row r="5" spans="2:6" ht="24">
      <c r="B5" s="300" t="s">
        <v>218</v>
      </c>
      <c r="C5" s="317">
        <v>356568</v>
      </c>
      <c r="D5" s="301">
        <v>0.60199999999999998</v>
      </c>
      <c r="E5" s="318">
        <v>7.6E-3</v>
      </c>
    </row>
    <row r="6" spans="2:6" ht="24">
      <c r="B6" s="300" t="s">
        <v>219</v>
      </c>
      <c r="C6" s="317">
        <v>1140</v>
      </c>
      <c r="D6" s="301">
        <v>0.60199999999999998</v>
      </c>
      <c r="E6" s="318">
        <v>7.6E-3</v>
      </c>
    </row>
    <row r="7" spans="2:6" ht="24">
      <c r="B7" s="300" t="s">
        <v>129</v>
      </c>
      <c r="C7" s="317">
        <v>52970</v>
      </c>
      <c r="D7" s="301">
        <v>8.1481208139533301E-2</v>
      </c>
      <c r="E7" s="318">
        <v>0</v>
      </c>
    </row>
    <row r="8" spans="2:6" ht="24">
      <c r="B8" s="300" t="s">
        <v>132</v>
      </c>
      <c r="C8" s="317">
        <v>0</v>
      </c>
      <c r="D8" s="301">
        <v>0</v>
      </c>
      <c r="E8" s="318">
        <v>0</v>
      </c>
    </row>
    <row r="9" spans="2:6" ht="24">
      <c r="B9" s="300" t="s">
        <v>220</v>
      </c>
      <c r="C9" s="317">
        <v>0</v>
      </c>
      <c r="D9" s="301">
        <v>0</v>
      </c>
      <c r="E9" s="318">
        <v>0</v>
      </c>
    </row>
    <row r="10" spans="2:6" ht="24">
      <c r="B10" s="300" t="s">
        <v>137</v>
      </c>
      <c r="C10" s="317">
        <v>0</v>
      </c>
      <c r="D10" s="301">
        <v>0</v>
      </c>
      <c r="E10" s="318">
        <v>0</v>
      </c>
    </row>
    <row r="11" spans="2:6" ht="24">
      <c r="B11" s="300" t="s">
        <v>138</v>
      </c>
      <c r="C11" s="317">
        <v>0</v>
      </c>
      <c r="D11" s="301">
        <v>0</v>
      </c>
      <c r="E11" s="318">
        <v>0</v>
      </c>
    </row>
    <row r="12" spans="2:6" ht="24">
      <c r="B12" s="300" t="s">
        <v>221</v>
      </c>
      <c r="C12" s="317">
        <v>0</v>
      </c>
      <c r="D12" s="301">
        <v>0</v>
      </c>
      <c r="E12" s="318">
        <v>0</v>
      </c>
    </row>
    <row r="13" spans="2:6" ht="24">
      <c r="B13" s="300" t="s">
        <v>222</v>
      </c>
      <c r="C13" s="317">
        <v>0</v>
      </c>
      <c r="D13" s="301">
        <v>0</v>
      </c>
      <c r="E13" s="318">
        <v>0</v>
      </c>
    </row>
    <row r="14" spans="2:6" ht="24">
      <c r="B14" s="300" t="s">
        <v>223</v>
      </c>
      <c r="C14" s="317">
        <v>136144</v>
      </c>
      <c r="D14" s="301">
        <v>0.68225897450861195</v>
      </c>
      <c r="E14" s="318">
        <v>8.7809355428950395E-2</v>
      </c>
    </row>
    <row r="15" spans="2:6" ht="24">
      <c r="B15" s="300" t="s">
        <v>224</v>
      </c>
      <c r="C15" s="317">
        <v>193552.08003454749</v>
      </c>
      <c r="D15" s="301">
        <v>0.68400000000000005</v>
      </c>
      <c r="E15" s="318">
        <v>7.9699999999999993E-2</v>
      </c>
    </row>
    <row r="16" spans="2:6" ht="24">
      <c r="B16" s="300" t="s">
        <v>142</v>
      </c>
      <c r="C16" s="317">
        <v>11719</v>
      </c>
      <c r="D16" s="301">
        <v>0</v>
      </c>
      <c r="E16" s="318">
        <v>0</v>
      </c>
    </row>
    <row r="17" spans="2:5" ht="24">
      <c r="B17" s="300" t="s">
        <v>146</v>
      </c>
      <c r="C17" s="320">
        <v>412</v>
      </c>
      <c r="D17" s="320">
        <v>0</v>
      </c>
      <c r="E17" s="320">
        <v>0</v>
      </c>
    </row>
    <row r="18" spans="2:5" ht="24">
      <c r="B18" s="300" t="s">
        <v>225</v>
      </c>
      <c r="C18" s="320">
        <v>0</v>
      </c>
      <c r="D18" s="320">
        <v>0</v>
      </c>
      <c r="E18" s="320">
        <v>0</v>
      </c>
    </row>
    <row r="19" spans="2:5" ht="24">
      <c r="B19" s="300" t="s">
        <v>226</v>
      </c>
      <c r="C19" s="320">
        <v>8105.2783565110067</v>
      </c>
      <c r="D19" s="320">
        <v>0.65273617856242205</v>
      </c>
      <c r="E19" s="320">
        <v>5.0000000000000001E-3</v>
      </c>
    </row>
    <row r="20" spans="2:5" ht="24">
      <c r="B20" s="300" t="s">
        <v>227</v>
      </c>
      <c r="C20" s="320">
        <v>144250</v>
      </c>
      <c r="D20" s="320">
        <v>0.65273617856242205</v>
      </c>
      <c r="E20" s="320">
        <v>5.0000000000000001E-3</v>
      </c>
    </row>
    <row r="21" spans="2:5" ht="24">
      <c r="B21" s="300" t="s">
        <v>228</v>
      </c>
      <c r="C21" s="320">
        <v>144250</v>
      </c>
      <c r="D21" s="320">
        <v>0.65273617856242205</v>
      </c>
      <c r="E21" s="320">
        <v>5.0000000000000001E-3</v>
      </c>
    </row>
    <row r="22" spans="2:5" ht="24">
      <c r="B22" s="300" t="s">
        <v>229</v>
      </c>
      <c r="C22" s="320">
        <v>205483</v>
      </c>
      <c r="D22" s="320">
        <v>0.65439999999999998</v>
      </c>
      <c r="E22" s="320">
        <v>9.1000000000000004E-3</v>
      </c>
    </row>
    <row r="23" spans="2:5" ht="24">
      <c r="B23" s="300" t="s">
        <v>230</v>
      </c>
      <c r="C23" s="320">
        <v>0</v>
      </c>
      <c r="D23" s="320">
        <v>0</v>
      </c>
      <c r="E23" s="320">
        <v>0</v>
      </c>
    </row>
    <row r="24" spans="2:5" ht="24">
      <c r="B24" s="300" t="s">
        <v>231</v>
      </c>
      <c r="C24" s="320">
        <v>0</v>
      </c>
      <c r="D24" s="320">
        <v>0</v>
      </c>
      <c r="E24" s="320">
        <v>0</v>
      </c>
    </row>
    <row r="25" spans="2:5" ht="24">
      <c r="B25" s="300" t="s">
        <v>232</v>
      </c>
      <c r="C25" s="320">
        <v>0</v>
      </c>
      <c r="D25" s="320">
        <v>0</v>
      </c>
      <c r="E25" s="320">
        <v>0</v>
      </c>
    </row>
    <row r="26" spans="2:5" ht="24">
      <c r="B26" s="300" t="s">
        <v>233</v>
      </c>
      <c r="C26" s="320">
        <v>0</v>
      </c>
      <c r="D26" s="320">
        <v>0</v>
      </c>
      <c r="E26" s="320">
        <v>0</v>
      </c>
    </row>
    <row r="27" spans="2:5" ht="24">
      <c r="B27" s="300" t="s">
        <v>166</v>
      </c>
      <c r="C27" s="320">
        <v>0</v>
      </c>
      <c r="D27" s="320">
        <v>0</v>
      </c>
      <c r="E27" s="320">
        <v>0</v>
      </c>
    </row>
    <row r="28" spans="2:5" ht="24">
      <c r="B28" s="300" t="s">
        <v>234</v>
      </c>
      <c r="C28" s="320">
        <v>0</v>
      </c>
      <c r="D28" s="320">
        <v>0</v>
      </c>
      <c r="E28" s="320">
        <v>0</v>
      </c>
    </row>
    <row r="29" spans="2:5" ht="24">
      <c r="B29" s="300" t="s">
        <v>235</v>
      </c>
      <c r="C29" s="320">
        <v>88000</v>
      </c>
      <c r="D29" s="320">
        <v>0.64190000000000003</v>
      </c>
      <c r="E29" s="320">
        <v>9.4999999999999998E-3</v>
      </c>
    </row>
    <row r="30" spans="2:5" ht="24">
      <c r="B30" s="300" t="s">
        <v>236</v>
      </c>
      <c r="C30" s="320">
        <v>0</v>
      </c>
      <c r="D30" s="320">
        <v>0</v>
      </c>
      <c r="E30" s="320">
        <v>0</v>
      </c>
    </row>
    <row r="31" spans="2:5" ht="24">
      <c r="B31" s="300" t="s">
        <v>237</v>
      </c>
      <c r="C31" s="320">
        <v>32516</v>
      </c>
      <c r="D31" s="320">
        <v>0.65273617856242205</v>
      </c>
      <c r="E31" s="320">
        <v>5.0000000000000001E-3</v>
      </c>
    </row>
    <row r="32" spans="2:5" ht="24">
      <c r="B32" s="300" t="s">
        <v>238</v>
      </c>
      <c r="C32" s="320">
        <v>0</v>
      </c>
      <c r="D32" s="320">
        <v>0</v>
      </c>
      <c r="E32" s="320">
        <v>0</v>
      </c>
    </row>
    <row r="33" spans="2:5" ht="24">
      <c r="B33" s="300" t="s">
        <v>239</v>
      </c>
      <c r="C33" s="320">
        <v>0</v>
      </c>
      <c r="D33" s="320">
        <v>0</v>
      </c>
      <c r="E33" s="320">
        <v>0</v>
      </c>
    </row>
    <row r="34" spans="2:5" ht="24">
      <c r="B34" s="300" t="s">
        <v>240</v>
      </c>
      <c r="C34" s="320">
        <v>4447</v>
      </c>
      <c r="D34" s="320">
        <v>0.65273617856242205</v>
      </c>
      <c r="E34" s="320">
        <v>5.0000000000000001E-3</v>
      </c>
    </row>
    <row r="35" spans="2:5" ht="24">
      <c r="B35" s="300" t="s">
        <v>241</v>
      </c>
      <c r="C35" s="320">
        <v>0</v>
      </c>
      <c r="D35" s="320"/>
      <c r="E35" s="320"/>
    </row>
    <row r="36" spans="2:5" ht="25" thickBot="1">
      <c r="B36" s="300" t="s">
        <v>242</v>
      </c>
      <c r="C36" s="320">
        <v>0</v>
      </c>
      <c r="D36" s="320">
        <v>0</v>
      </c>
      <c r="E36" s="320">
        <v>0</v>
      </c>
    </row>
    <row r="37" spans="2:5" ht="16" thickBot="1">
      <c r="B37" s="334" t="s">
        <v>91</v>
      </c>
      <c r="C37" s="334">
        <v>235613</v>
      </c>
      <c r="D37" s="335">
        <v>343820.245</v>
      </c>
      <c r="E37" s="336">
        <f>'[4]Nuevo Ingreso Dat Plantas'!E92</f>
        <v>0</v>
      </c>
    </row>
    <row r="38" spans="2:5" ht="16" thickBot="1">
      <c r="B38" s="334" t="s">
        <v>92</v>
      </c>
      <c r="C38" s="334">
        <v>50216</v>
      </c>
      <c r="D38" s="335">
        <v>54550.172968748841</v>
      </c>
      <c r="E38" s="336">
        <f>'[4]Nuevo Ingreso Dat Plantas'!E93</f>
        <v>0</v>
      </c>
    </row>
    <row r="39" spans="2:5" ht="16" thickBot="1">
      <c r="B39" s="334" t="s">
        <v>93</v>
      </c>
      <c r="C39" s="334">
        <v>95389</v>
      </c>
      <c r="D39" s="335">
        <v>188165.12010567851</v>
      </c>
      <c r="E39" s="336">
        <f>'[4]Nuevo Ingreso Dat Plantas'!E94</f>
        <v>0</v>
      </c>
    </row>
    <row r="40" spans="2:5" ht="16" thickBot="1">
      <c r="B40" s="334" t="s">
        <v>94</v>
      </c>
      <c r="C40" s="334"/>
      <c r="D40" s="335"/>
      <c r="E40" s="336">
        <f>'[4]Nuevo Ingreso Dat Plantas'!E95</f>
        <v>0</v>
      </c>
    </row>
    <row r="41" spans="2:5" ht="16" thickBot="1">
      <c r="B41" s="334" t="s">
        <v>95</v>
      </c>
      <c r="C41" s="334"/>
      <c r="D41" s="335"/>
      <c r="E41" s="336">
        <f>'[4]Nuevo Ingreso Dat Plantas'!E96</f>
        <v>0</v>
      </c>
    </row>
    <row r="42" spans="2:5" ht="16" thickBot="1">
      <c r="B42" s="334" t="s">
        <v>96</v>
      </c>
      <c r="C42" s="334"/>
      <c r="D42" s="335"/>
      <c r="E42" s="336">
        <f>'[4]Nuevo Ingreso Dat Plantas'!E97</f>
        <v>0</v>
      </c>
    </row>
    <row r="43" spans="2:5" ht="16" thickBot="1">
      <c r="B43" s="334" t="s">
        <v>97</v>
      </c>
      <c r="C43" s="334"/>
      <c r="D43" s="335"/>
      <c r="E43" s="336">
        <f>'[4]Nuevo Ingreso Dat Plantas'!E98</f>
        <v>0</v>
      </c>
    </row>
    <row r="44" spans="2:5" ht="16" thickBot="1">
      <c r="B44" s="334" t="s">
        <v>103</v>
      </c>
      <c r="C44" s="334">
        <v>0</v>
      </c>
      <c r="D44" s="335">
        <v>-3937.7942680326232</v>
      </c>
      <c r="E44" s="336">
        <f>'[4]Nuevo Ingreso Dat Plantas'!E99</f>
        <v>0</v>
      </c>
    </row>
    <row r="45" spans="2:5" ht="16" thickBot="1">
      <c r="B45" s="334" t="s">
        <v>104</v>
      </c>
      <c r="C45" s="334">
        <v>174783</v>
      </c>
      <c r="D45" s="335">
        <v>186337.29989603511</v>
      </c>
      <c r="E45" s="336">
        <f>'[4]Nuevo Ingreso Dat Plantas'!E100</f>
        <v>0</v>
      </c>
    </row>
    <row r="46" spans="2:5" ht="16" thickBot="1">
      <c r="B46" s="334" t="s">
        <v>98</v>
      </c>
      <c r="C46" s="334">
        <v>57800</v>
      </c>
      <c r="D46" s="335">
        <v>59503.854706891332</v>
      </c>
      <c r="E46" s="336">
        <f>'[4]Nuevo Ingreso Dat Plantas'!E101</f>
        <v>0</v>
      </c>
    </row>
    <row r="47" spans="2:5" ht="16" thickBot="1">
      <c r="B47" s="334" t="s">
        <v>115</v>
      </c>
      <c r="C47" s="334">
        <v>27</v>
      </c>
      <c r="D47" s="335">
        <v>27</v>
      </c>
      <c r="E47" s="336">
        <f>'[4]Nuevo Ingreso Dat Plantas'!E102</f>
        <v>0</v>
      </c>
    </row>
    <row r="48" spans="2:5" ht="16" thickBot="1">
      <c r="B48" s="334" t="s">
        <v>113</v>
      </c>
      <c r="C48" s="334">
        <v>72341.902000000002</v>
      </c>
      <c r="D48" s="335">
        <v>72341.902000000002</v>
      </c>
      <c r="E48" s="336">
        <f>'[4]Nuevo Ingreso Dat Plantas'!E103</f>
        <v>0</v>
      </c>
    </row>
    <row r="49" spans="2:5">
      <c r="B49" s="334" t="s">
        <v>114</v>
      </c>
      <c r="C49" s="334">
        <v>31619</v>
      </c>
      <c r="D49" s="335">
        <v>31619</v>
      </c>
      <c r="E49" s="336">
        <f>'[4]Nuevo Ingreso Dat Plantas'!E104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tabSelected="1" zoomScaleNormal="100" workbookViewId="0">
      <pane xSplit="3" ySplit="8" topLeftCell="D9" activePane="bottomRight" state="frozen"/>
      <selection pane="topRight"/>
      <selection pane="bottomLeft"/>
      <selection pane="bottomRight" activeCell="N12" sqref="N12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6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4"/>
      <c r="O1" s="274"/>
      <c r="P1" s="273"/>
    </row>
    <row r="2" spans="2:18" ht="15" customHeight="1">
      <c r="B2" s="272"/>
      <c r="C2" s="269"/>
      <c r="D2" s="416"/>
      <c r="E2" s="417"/>
      <c r="F2" s="422" t="s">
        <v>211</v>
      </c>
      <c r="G2" s="422"/>
      <c r="H2" s="422"/>
      <c r="I2" s="422"/>
      <c r="J2" s="422"/>
      <c r="K2" s="422"/>
      <c r="L2" s="422"/>
      <c r="M2" s="422"/>
      <c r="N2" s="422"/>
      <c r="O2" s="423"/>
      <c r="P2" s="187"/>
    </row>
    <row r="3" spans="2:18" ht="15" customHeight="1">
      <c r="B3" s="272"/>
      <c r="C3" s="269"/>
      <c r="D3" s="418"/>
      <c r="E3" s="419"/>
      <c r="F3" s="424"/>
      <c r="G3" s="424"/>
      <c r="H3" s="424"/>
      <c r="I3" s="424"/>
      <c r="J3" s="424"/>
      <c r="K3" s="424"/>
      <c r="L3" s="424"/>
      <c r="M3" s="424"/>
      <c r="N3" s="424"/>
      <c r="O3" s="425"/>
      <c r="P3" s="187"/>
    </row>
    <row r="4" spans="2:18" ht="15" customHeight="1">
      <c r="B4" s="272"/>
      <c r="C4" s="269"/>
      <c r="D4" s="418"/>
      <c r="E4" s="419"/>
      <c r="F4" s="424" t="s">
        <v>210</v>
      </c>
      <c r="G4" s="424"/>
      <c r="H4" s="424"/>
      <c r="I4" s="424"/>
      <c r="J4" s="424"/>
      <c r="K4" s="424"/>
      <c r="L4" s="424" t="s">
        <v>209</v>
      </c>
      <c r="M4" s="424"/>
      <c r="N4" s="427">
        <v>44865</v>
      </c>
      <c r="O4" s="428"/>
      <c r="P4" s="187"/>
    </row>
    <row r="5" spans="2:18" ht="15" customHeight="1" thickBot="1">
      <c r="B5" s="272"/>
      <c r="C5" s="269"/>
      <c r="D5" s="420"/>
      <c r="E5" s="421"/>
      <c r="F5" s="426"/>
      <c r="G5" s="426"/>
      <c r="H5" s="426"/>
      <c r="I5" s="426"/>
      <c r="J5" s="426"/>
      <c r="K5" s="426"/>
      <c r="L5" s="426"/>
      <c r="M5" s="426"/>
      <c r="N5" s="429"/>
      <c r="O5" s="430"/>
      <c r="P5" s="187"/>
    </row>
    <row r="6" spans="2:18" ht="14.25" customHeight="1" thickBot="1">
      <c r="B6" s="272"/>
      <c r="C6" s="269"/>
      <c r="D6" s="271"/>
      <c r="E6" s="271"/>
      <c r="F6" s="271"/>
      <c r="G6" s="271"/>
      <c r="H6" s="271"/>
      <c r="I6" s="271"/>
      <c r="J6" s="271"/>
      <c r="K6" s="271"/>
      <c r="L6" s="270"/>
      <c r="M6" s="269"/>
      <c r="P6" s="187"/>
    </row>
    <row r="7" spans="2:18" ht="15" customHeight="1">
      <c r="B7" s="193"/>
      <c r="C7" s="213"/>
      <c r="D7" s="408"/>
      <c r="E7" s="409"/>
      <c r="F7" s="409"/>
      <c r="G7" s="268" t="s">
        <v>208</v>
      </c>
      <c r="H7" s="268" t="s">
        <v>207</v>
      </c>
      <c r="I7" s="267" t="s">
        <v>206</v>
      </c>
      <c r="J7" s="412"/>
      <c r="K7" s="413"/>
      <c r="L7" s="413"/>
      <c r="M7" s="268" t="s">
        <v>208</v>
      </c>
      <c r="N7" s="268" t="s">
        <v>207</v>
      </c>
      <c r="O7" s="267" t="s">
        <v>206</v>
      </c>
      <c r="P7" s="187"/>
    </row>
    <row r="8" spans="2:18" ht="15" customHeight="1" thickBot="1">
      <c r="B8" s="193"/>
      <c r="C8" s="213"/>
      <c r="D8" s="410"/>
      <c r="E8" s="411"/>
      <c r="F8" s="411"/>
      <c r="G8" s="266" t="s">
        <v>34</v>
      </c>
      <c r="H8" s="266" t="s">
        <v>189</v>
      </c>
      <c r="I8" s="265" t="s">
        <v>10</v>
      </c>
      <c r="J8" s="414"/>
      <c r="K8" s="415"/>
      <c r="L8" s="415"/>
      <c r="M8" s="266" t="s">
        <v>34</v>
      </c>
      <c r="N8" s="266" t="s">
        <v>189</v>
      </c>
      <c r="O8" s="265" t="s">
        <v>10</v>
      </c>
      <c r="P8" s="187"/>
    </row>
    <row r="9" spans="2:18" ht="15" customHeight="1" thickBot="1">
      <c r="B9" s="193"/>
      <c r="C9" s="213"/>
      <c r="D9" s="395" t="s">
        <v>71</v>
      </c>
      <c r="E9" s="396"/>
      <c r="F9" s="396"/>
      <c r="G9" s="396"/>
      <c r="H9" s="396"/>
      <c r="I9" s="397"/>
      <c r="J9" s="399" t="s">
        <v>205</v>
      </c>
      <c r="K9" s="400"/>
      <c r="L9" s="400"/>
      <c r="M9" s="400"/>
      <c r="N9" s="400"/>
      <c r="O9" s="401"/>
      <c r="P9" s="187"/>
    </row>
    <row r="10" spans="2:18" ht="15" customHeight="1">
      <c r="B10" s="193"/>
      <c r="C10" s="213" t="s">
        <v>204</v>
      </c>
      <c r="D10" s="369" t="s">
        <v>203</v>
      </c>
      <c r="E10" s="370"/>
      <c r="F10" s="371"/>
      <c r="G10" s="254">
        <f>+Diagrama!K93*(1-'Datos Extra'!E4)</f>
        <v>256044.5003281846</v>
      </c>
      <c r="H10" s="253">
        <f>+Diagrama!I20</f>
        <v>0</v>
      </c>
      <c r="I10" s="247">
        <f>H10*G10</f>
        <v>0</v>
      </c>
      <c r="J10" s="402" t="s">
        <v>193</v>
      </c>
      <c r="K10" s="403"/>
      <c r="L10" s="404"/>
      <c r="M10" s="264">
        <f>+Diagrama!J88*(1-'[5]Nuevo Ingreso Dat Plantas'!E68)</f>
        <v>84695.458023968924</v>
      </c>
      <c r="N10" s="263">
        <f>+Diagrama!G54</f>
        <v>0</v>
      </c>
      <c r="O10" s="247">
        <f>N10*M10</f>
        <v>0</v>
      </c>
      <c r="P10" s="187"/>
    </row>
    <row r="11" spans="2:18" ht="15" customHeight="1">
      <c r="B11" s="193"/>
      <c r="C11" s="213"/>
      <c r="D11" s="369" t="s">
        <v>202</v>
      </c>
      <c r="E11" s="370"/>
      <c r="F11" s="371"/>
      <c r="G11" s="226">
        <v>0</v>
      </c>
      <c r="H11" s="225">
        <v>0</v>
      </c>
      <c r="I11" s="247">
        <f>H11*G11</f>
        <v>0</v>
      </c>
      <c r="J11" s="369" t="s">
        <v>192</v>
      </c>
      <c r="K11" s="370"/>
      <c r="L11" s="371"/>
      <c r="M11" s="254">
        <f>+Diagrama!J86*(1-'[5]Nuevo Ingreso Dat Plantas'!E75)</f>
        <v>107666.20877499999</v>
      </c>
      <c r="N11" s="253">
        <f>++Diagrama!R63</f>
        <v>0</v>
      </c>
      <c r="O11" s="247">
        <f>N11*M11</f>
        <v>0</v>
      </c>
      <c r="P11" s="187"/>
    </row>
    <row r="12" spans="2:18" ht="15" customHeight="1">
      <c r="B12" s="193"/>
      <c r="C12" s="213"/>
      <c r="D12" s="369" t="s">
        <v>201</v>
      </c>
      <c r="E12" s="370"/>
      <c r="F12" s="371"/>
      <c r="G12" s="226">
        <v>0</v>
      </c>
      <c r="H12" s="225">
        <v>0</v>
      </c>
      <c r="I12" s="247">
        <v>0</v>
      </c>
      <c r="J12" s="369" t="s">
        <v>191</v>
      </c>
      <c r="K12" s="370"/>
      <c r="L12" s="371"/>
      <c r="M12" s="254">
        <f>+Diagrama!J87*(1-'[5]Nuevo Ingreso Dat Plantas'!E73)</f>
        <v>4312.5021039050998</v>
      </c>
      <c r="N12" s="253">
        <f>+Diagrama!N59</f>
        <v>0</v>
      </c>
      <c r="O12" s="247">
        <f>N12*M12</f>
        <v>0</v>
      </c>
      <c r="P12" s="187"/>
    </row>
    <row r="13" spans="2:18" ht="15" customHeight="1" thickBot="1">
      <c r="B13" s="193"/>
      <c r="C13" s="213"/>
      <c r="D13" s="405" t="s">
        <v>200</v>
      </c>
      <c r="E13" s="406"/>
      <c r="F13" s="407"/>
      <c r="G13" s="226">
        <v>0</v>
      </c>
      <c r="H13" s="225">
        <v>0</v>
      </c>
      <c r="I13" s="247">
        <v>0</v>
      </c>
      <c r="J13" s="262" t="s">
        <v>199</v>
      </c>
      <c r="K13" s="261"/>
      <c r="L13" s="260"/>
      <c r="M13" s="259">
        <f>+Diagrama!J94*(1-'[5]Nuevo Ingreso Dat Plantas'!E51)</f>
        <v>11466.332021214494</v>
      </c>
      <c r="N13" s="253">
        <f>+Diagrama!O10</f>
        <v>0</v>
      </c>
      <c r="O13" s="247">
        <f>N13*M13</f>
        <v>0</v>
      </c>
      <c r="P13" s="187"/>
      <c r="R13" s="257"/>
    </row>
    <row r="14" spans="2:18" ht="15" customHeight="1" thickBot="1">
      <c r="B14" s="193"/>
      <c r="C14" s="213" t="s">
        <v>198</v>
      </c>
      <c r="D14" s="391" t="s">
        <v>179</v>
      </c>
      <c r="E14" s="388"/>
      <c r="F14" s="388"/>
      <c r="G14" s="245">
        <f>SUM(G10:G13)</f>
        <v>256044.5003281846</v>
      </c>
      <c r="H14" s="246">
        <f>H10</f>
        <v>0</v>
      </c>
      <c r="I14" s="245">
        <f>I10</f>
        <v>0</v>
      </c>
      <c r="J14" s="387" t="s">
        <v>179</v>
      </c>
      <c r="K14" s="388"/>
      <c r="L14" s="388"/>
      <c r="M14" s="245">
        <f>SUM(M10:M13)</f>
        <v>208140.50092408853</v>
      </c>
      <c r="N14" s="246">
        <f>SUMPRODUCT(M10:M13,N10:N13)/M14</f>
        <v>0</v>
      </c>
      <c r="O14" s="245">
        <f>N14*M14</f>
        <v>0</v>
      </c>
      <c r="P14" s="187"/>
      <c r="Q14" s="258"/>
      <c r="R14" s="257"/>
    </row>
    <row r="15" spans="2:18" ht="15" customHeight="1" thickBot="1">
      <c r="B15" s="193"/>
      <c r="C15" s="213"/>
      <c r="D15" s="395" t="s">
        <v>197</v>
      </c>
      <c r="E15" s="396"/>
      <c r="F15" s="396"/>
      <c r="G15" s="396"/>
      <c r="H15" s="396"/>
      <c r="I15" s="397"/>
      <c r="J15" s="393" t="s">
        <v>196</v>
      </c>
      <c r="K15" s="393"/>
      <c r="L15" s="393"/>
      <c r="M15" s="393"/>
      <c r="N15" s="393"/>
      <c r="O15" s="398"/>
      <c r="P15" s="187"/>
    </row>
    <row r="16" spans="2:18" ht="15" customHeight="1" thickBot="1">
      <c r="B16" s="193"/>
      <c r="C16" s="213"/>
      <c r="D16" s="369" t="s">
        <v>195</v>
      </c>
      <c r="E16" s="370"/>
      <c r="F16" s="371"/>
      <c r="G16" s="226"/>
      <c r="H16" s="225">
        <f>+Diagrama!U18</f>
        <v>0</v>
      </c>
      <c r="I16" s="247">
        <f>H16*G16</f>
        <v>0</v>
      </c>
      <c r="J16" s="256" t="s">
        <v>194</v>
      </c>
      <c r="K16" s="256"/>
      <c r="L16" s="255"/>
      <c r="M16" s="254">
        <f>+Diagrama!J92</f>
        <v>43011</v>
      </c>
      <c r="N16" s="253">
        <f>+Diagrama!F32</f>
        <v>0</v>
      </c>
      <c r="O16" s="247">
        <f>N16*M16</f>
        <v>0</v>
      </c>
      <c r="P16" s="187"/>
      <c r="Q16" s="249"/>
    </row>
    <row r="17" spans="2:19" ht="15" customHeight="1" thickBot="1">
      <c r="B17" s="193"/>
      <c r="C17" s="213"/>
      <c r="D17" s="369" t="s">
        <v>193</v>
      </c>
      <c r="E17" s="370"/>
      <c r="F17" s="371"/>
      <c r="G17" s="226"/>
      <c r="H17" s="225">
        <f>+Diagrama!U69</f>
        <v>0</v>
      </c>
      <c r="I17" s="247">
        <f>H17*G17</f>
        <v>0</v>
      </c>
      <c r="J17" s="387" t="s">
        <v>179</v>
      </c>
      <c r="K17" s="388"/>
      <c r="L17" s="388"/>
      <c r="M17" s="212">
        <f>M16</f>
        <v>43011</v>
      </c>
      <c r="N17" s="252">
        <f>N16</f>
        <v>0</v>
      </c>
      <c r="O17" s="208">
        <f>N17*M17</f>
        <v>0</v>
      </c>
      <c r="P17" s="187"/>
      <c r="Q17" s="249"/>
    </row>
    <row r="18" spans="2:19" ht="15" customHeight="1">
      <c r="B18" s="193"/>
      <c r="C18" s="213"/>
      <c r="D18" s="369" t="s">
        <v>192</v>
      </c>
      <c r="E18" s="370"/>
      <c r="F18" s="371"/>
      <c r="G18" s="226"/>
      <c r="H18" s="225">
        <f>+Diagrama!T63</f>
        <v>0</v>
      </c>
      <c r="I18" s="247">
        <f>H18*G18</f>
        <v>0</v>
      </c>
      <c r="M18" s="251"/>
      <c r="N18" s="250"/>
      <c r="O18" s="250"/>
      <c r="P18" s="187"/>
      <c r="Q18" s="249"/>
    </row>
    <row r="19" spans="2:19" ht="15" customHeight="1">
      <c r="B19" s="193"/>
      <c r="C19" s="213"/>
      <c r="D19" s="369" t="s">
        <v>98</v>
      </c>
      <c r="E19" s="370"/>
      <c r="F19" s="371"/>
      <c r="G19" s="226"/>
      <c r="H19" s="225">
        <f>+Diagrama!T40</f>
        <v>0</v>
      </c>
      <c r="I19" s="247">
        <f>H19*G19</f>
        <v>0</v>
      </c>
      <c r="J19" s="389"/>
      <c r="K19" s="389"/>
      <c r="L19" s="389"/>
      <c r="M19" s="248"/>
      <c r="N19" s="215"/>
      <c r="O19" s="214"/>
      <c r="P19" s="187"/>
    </row>
    <row r="20" spans="2:19" ht="15" customHeight="1" thickBot="1">
      <c r="B20" s="193"/>
      <c r="C20" s="213"/>
      <c r="D20" s="369" t="s">
        <v>191</v>
      </c>
      <c r="E20" s="370"/>
      <c r="F20" s="371"/>
      <c r="G20" s="226"/>
      <c r="H20" s="225">
        <f>+Diagrama!T49</f>
        <v>0</v>
      </c>
      <c r="I20" s="247">
        <f>H20*G20</f>
        <v>0</v>
      </c>
      <c r="J20" s="390"/>
      <c r="K20" s="390"/>
      <c r="L20" s="390"/>
      <c r="M20" s="243"/>
      <c r="N20" s="206"/>
      <c r="O20" s="205"/>
      <c r="P20" s="187"/>
    </row>
    <row r="21" spans="2:19" ht="15" customHeight="1" thickBot="1">
      <c r="B21" s="193"/>
      <c r="C21" s="213"/>
      <c r="D21" s="391" t="s">
        <v>179</v>
      </c>
      <c r="E21" s="388"/>
      <c r="F21" s="388"/>
      <c r="G21" s="245">
        <f>SUM(G16:G20)</f>
        <v>0</v>
      </c>
      <c r="H21" s="246" t="e">
        <f>SUMPRODUCT(G16:G20,H16:H20)/G21</f>
        <v>#DIV/0!</v>
      </c>
      <c r="I21" s="245">
        <f>SUM(I16:I20)</f>
        <v>0</v>
      </c>
      <c r="J21" s="390"/>
      <c r="K21" s="390"/>
      <c r="L21" s="390"/>
      <c r="M21" s="243"/>
      <c r="N21" s="206"/>
      <c r="O21" s="205"/>
      <c r="P21" s="187"/>
    </row>
    <row r="22" spans="2:19" ht="15" customHeight="1" thickBot="1">
      <c r="B22" s="193"/>
      <c r="C22" s="213"/>
      <c r="D22" s="244"/>
      <c r="E22" s="244"/>
      <c r="F22" s="244"/>
      <c r="G22" s="244"/>
      <c r="H22" s="244"/>
      <c r="I22" s="244"/>
      <c r="J22" s="244"/>
      <c r="K22" s="244"/>
      <c r="L22" s="244"/>
      <c r="M22" s="243"/>
      <c r="N22" s="206"/>
      <c r="O22" s="205"/>
      <c r="P22" s="187"/>
    </row>
    <row r="23" spans="2:19" ht="15" hidden="1" customHeight="1" thickBot="1">
      <c r="B23" s="193"/>
      <c r="C23" s="213"/>
      <c r="D23" s="392" t="s">
        <v>190</v>
      </c>
      <c r="E23" s="393"/>
      <c r="F23" s="394"/>
      <c r="G23" s="242" t="s">
        <v>34</v>
      </c>
      <c r="H23" s="242" t="s">
        <v>189</v>
      </c>
      <c r="I23" s="241" t="s">
        <v>10</v>
      </c>
      <c r="J23" s="240" t="s">
        <v>188</v>
      </c>
      <c r="K23" s="239" t="s">
        <v>187</v>
      </c>
      <c r="L23" s="207"/>
      <c r="M23" s="238"/>
      <c r="N23" s="207"/>
      <c r="O23" s="207"/>
      <c r="P23" s="237"/>
    </row>
    <row r="24" spans="2:19" ht="15" hidden="1" customHeight="1">
      <c r="B24" s="193"/>
      <c r="C24" s="213"/>
      <c r="D24" s="384" t="s">
        <v>186</v>
      </c>
      <c r="E24" s="385"/>
      <c r="F24" s="386"/>
      <c r="G24" s="236"/>
      <c r="H24" s="235"/>
      <c r="I24" s="234"/>
      <c r="J24" s="219"/>
      <c r="K24" s="233"/>
      <c r="L24" s="217"/>
      <c r="M24" s="216">
        <v>0.76</v>
      </c>
      <c r="N24" s="215"/>
      <c r="O24" s="214"/>
      <c r="P24" s="187"/>
      <c r="S24" s="204"/>
    </row>
    <row r="25" spans="2:19" ht="15" hidden="1" customHeight="1">
      <c r="B25" s="193"/>
      <c r="C25" s="213"/>
      <c r="D25" s="366" t="s">
        <v>185</v>
      </c>
      <c r="E25" s="367"/>
      <c r="F25" s="368"/>
      <c r="G25" s="226"/>
      <c r="H25" s="225"/>
      <c r="I25" s="224"/>
      <c r="J25" s="219"/>
      <c r="K25" s="223"/>
      <c r="L25" s="217"/>
      <c r="M25" s="216">
        <v>8.68</v>
      </c>
      <c r="N25" s="215"/>
      <c r="O25" s="214"/>
      <c r="P25" s="187"/>
      <c r="S25" s="204"/>
    </row>
    <row r="26" spans="2:19" ht="15" hidden="1" customHeight="1">
      <c r="B26" s="193"/>
      <c r="C26" s="213"/>
      <c r="D26" s="366" t="s">
        <v>184</v>
      </c>
      <c r="E26" s="367"/>
      <c r="F26" s="368"/>
      <c r="G26" s="226"/>
      <c r="H26" s="225"/>
      <c r="I26" s="224"/>
      <c r="J26" s="219"/>
      <c r="K26" s="223"/>
      <c r="L26" s="217"/>
      <c r="M26" s="216">
        <v>0.76</v>
      </c>
      <c r="N26" s="215"/>
      <c r="O26" s="214"/>
      <c r="P26" s="187"/>
      <c r="S26" s="204"/>
    </row>
    <row r="27" spans="2:19" ht="15" hidden="1" customHeight="1">
      <c r="B27" s="193"/>
      <c r="C27" s="213"/>
      <c r="D27" s="366" t="s">
        <v>183</v>
      </c>
      <c r="E27" s="367"/>
      <c r="F27" s="368"/>
      <c r="G27" s="226"/>
      <c r="H27" s="225"/>
      <c r="I27" s="224"/>
      <c r="J27" s="219"/>
      <c r="K27" s="223"/>
      <c r="L27" s="217"/>
      <c r="M27" s="216">
        <v>8.39</v>
      </c>
      <c r="N27" s="215"/>
      <c r="O27" s="214"/>
      <c r="P27" s="187"/>
      <c r="S27" s="204"/>
    </row>
    <row r="28" spans="2:19" ht="15" hidden="1" customHeight="1">
      <c r="B28" s="193"/>
      <c r="C28" s="213"/>
      <c r="D28" s="232" t="s">
        <v>182</v>
      </c>
      <c r="E28" s="231"/>
      <c r="F28" s="230"/>
      <c r="G28" s="226"/>
      <c r="H28" s="225"/>
      <c r="I28" s="229"/>
      <c r="J28" s="228"/>
      <c r="K28" s="227"/>
      <c r="L28" s="217"/>
      <c r="M28" s="216"/>
      <c r="N28" s="215"/>
      <c r="O28" s="214"/>
      <c r="P28" s="187"/>
      <c r="S28" s="204"/>
    </row>
    <row r="29" spans="2:19" ht="15" hidden="1" customHeight="1">
      <c r="B29" s="193"/>
      <c r="C29" s="213"/>
      <c r="D29" s="369" t="s">
        <v>181</v>
      </c>
      <c r="E29" s="370"/>
      <c r="F29" s="371"/>
      <c r="G29" s="226"/>
      <c r="H29" s="225"/>
      <c r="I29" s="224"/>
      <c r="J29" s="219"/>
      <c r="K29" s="223"/>
      <c r="L29" s="217"/>
      <c r="M29" s="216">
        <v>0.05</v>
      </c>
      <c r="N29" s="215"/>
      <c r="O29" s="214"/>
      <c r="P29" s="187"/>
      <c r="S29" s="204"/>
    </row>
    <row r="30" spans="2:19" ht="15" hidden="1" customHeight="1" thickBot="1">
      <c r="B30" s="193"/>
      <c r="C30" s="213"/>
      <c r="D30" s="372" t="s">
        <v>180</v>
      </c>
      <c r="E30" s="373"/>
      <c r="F30" s="374"/>
      <c r="G30" s="222"/>
      <c r="H30" s="221"/>
      <c r="I30" s="220"/>
      <c r="J30" s="219"/>
      <c r="K30" s="218"/>
      <c r="L30" s="217"/>
      <c r="M30" s="216">
        <v>0.05</v>
      </c>
      <c r="N30" s="215"/>
      <c r="O30" s="214"/>
      <c r="P30" s="187"/>
      <c r="S30" s="204"/>
    </row>
    <row r="31" spans="2:19" ht="15" hidden="1" customHeight="1" thickBot="1">
      <c r="B31" s="193"/>
      <c r="C31" s="213"/>
      <c r="D31" s="375" t="s">
        <v>179</v>
      </c>
      <c r="E31" s="376"/>
      <c r="F31" s="376"/>
      <c r="G31" s="212">
        <v>0</v>
      </c>
      <c r="H31" s="211" t="e">
        <v>#DIV/0!</v>
      </c>
      <c r="I31" s="210">
        <v>0</v>
      </c>
      <c r="J31" s="209">
        <v>0</v>
      </c>
      <c r="K31" s="208">
        <v>0</v>
      </c>
      <c r="L31" s="207"/>
      <c r="M31" s="205"/>
      <c r="N31" s="206"/>
      <c r="O31" s="205"/>
      <c r="P31" s="187"/>
      <c r="S31" s="204"/>
    </row>
    <row r="32" spans="2:19" ht="15" hidden="1" customHeight="1" thickBot="1">
      <c r="B32" s="193"/>
      <c r="D32" s="203"/>
      <c r="H32" s="200"/>
      <c r="I32" s="202"/>
      <c r="J32" s="200"/>
      <c r="K32" s="201"/>
      <c r="L32" s="200"/>
      <c r="N32" s="199"/>
      <c r="P32" s="187"/>
    </row>
    <row r="33" spans="2:16" ht="15" customHeight="1" thickBot="1">
      <c r="B33" s="193"/>
      <c r="D33" s="377" t="s">
        <v>178</v>
      </c>
      <c r="E33" s="378"/>
      <c r="F33" s="378"/>
      <c r="G33" s="378"/>
      <c r="H33" s="378"/>
      <c r="I33" s="378"/>
      <c r="J33" s="378"/>
      <c r="K33" s="378"/>
      <c r="L33" s="378"/>
      <c r="M33" s="378"/>
      <c r="N33" s="378"/>
      <c r="O33" s="379"/>
      <c r="P33" s="187"/>
    </row>
    <row r="34" spans="2:16" ht="15" customHeight="1" thickBot="1">
      <c r="B34" s="193"/>
      <c r="P34" s="187"/>
    </row>
    <row r="35" spans="2:16" ht="15" customHeight="1" thickBot="1">
      <c r="B35" s="193"/>
      <c r="D35" s="380" t="s">
        <v>177</v>
      </c>
      <c r="E35" s="381"/>
      <c r="F35" s="382"/>
      <c r="G35" s="383"/>
      <c r="H35" s="383"/>
      <c r="J35" s="380" t="s">
        <v>176</v>
      </c>
      <c r="K35" s="381"/>
      <c r="L35" s="382"/>
      <c r="M35" s="383"/>
      <c r="N35" s="383"/>
      <c r="P35" s="187"/>
    </row>
    <row r="36" spans="2:16" ht="15" customHeight="1">
      <c r="B36" s="193"/>
      <c r="D36" s="360">
        <f>+Diagrama!J91/100</f>
        <v>0.82434808049810337</v>
      </c>
      <c r="E36" s="361"/>
      <c r="F36" s="362"/>
      <c r="G36" s="198"/>
      <c r="H36" s="197"/>
      <c r="J36" s="360" t="e">
        <f>D36*N14/H14</f>
        <v>#DIV/0!</v>
      </c>
      <c r="K36" s="361"/>
      <c r="L36" s="362"/>
      <c r="M36" s="197"/>
      <c r="N36" s="197"/>
      <c r="P36" s="187"/>
    </row>
    <row r="37" spans="2:16" ht="15" customHeight="1" thickBot="1">
      <c r="B37" s="193"/>
      <c r="D37" s="363"/>
      <c r="E37" s="364"/>
      <c r="F37" s="365"/>
      <c r="G37" s="196"/>
      <c r="H37" s="194"/>
      <c r="J37" s="363"/>
      <c r="K37" s="364"/>
      <c r="L37" s="365"/>
      <c r="M37" s="195"/>
      <c r="N37" s="194"/>
      <c r="P37" s="187"/>
    </row>
    <row r="38" spans="2:16" ht="15" customHeight="1">
      <c r="B38" s="193"/>
      <c r="D38" s="190"/>
      <c r="E38" s="190"/>
      <c r="F38" s="190"/>
      <c r="G38" s="192"/>
      <c r="H38" s="191"/>
      <c r="J38" s="190"/>
      <c r="K38" s="190"/>
      <c r="L38" s="190"/>
      <c r="M38" s="189"/>
      <c r="N38" s="188"/>
      <c r="P38" s="187"/>
    </row>
    <row r="39" spans="2:16" ht="14.25" customHeight="1" thickBot="1">
      <c r="B39" s="186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4"/>
    </row>
    <row r="41" spans="2:16" ht="15" customHeight="1">
      <c r="H41" s="183"/>
    </row>
  </sheetData>
  <mergeCells count="45"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11:F11"/>
    <mergeCell ref="J11:L11"/>
    <mergeCell ref="D20:F20"/>
    <mergeCell ref="J20:L20"/>
    <mergeCell ref="D21:F21"/>
    <mergeCell ref="J21:L21"/>
    <mergeCell ref="D12:F12"/>
    <mergeCell ref="J12:L12"/>
    <mergeCell ref="D13:F13"/>
    <mergeCell ref="D14:F14"/>
    <mergeCell ref="J14:L14"/>
    <mergeCell ref="D7:F8"/>
    <mergeCell ref="J7:L8"/>
    <mergeCell ref="D9:I9"/>
    <mergeCell ref="J9:O9"/>
    <mergeCell ref="D10:F10"/>
    <mergeCell ref="J10:L10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A21" zoomScale="90" zoomScaleNormal="90" workbookViewId="0">
      <selection activeCell="O67" sqref="O67"/>
    </sheetView>
  </sheetViews>
  <sheetFormatPr baseColWidth="10" defaultRowHeight="15"/>
  <cols>
    <col min="1" max="3" width="10.83203125" customWidth="1"/>
    <col min="4" max="4" width="15.5" customWidth="1"/>
    <col min="5" max="5" width="14.1640625" style="299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70">
        <v>261455.17020557521</v>
      </c>
      <c r="B1" s="170">
        <v>261455.17020557521</v>
      </c>
      <c r="C1" s="172">
        <v>0</v>
      </c>
      <c r="D1" s="172">
        <v>0</v>
      </c>
      <c r="E1" s="167">
        <v>0.01</v>
      </c>
      <c r="F1" s="170">
        <f>D1*B1</f>
        <v>0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3"/>
      <c r="S1" s="173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70">
        <v>11473.344999999999</v>
      </c>
      <c r="B2" s="170">
        <v>11473.344999999999</v>
      </c>
      <c r="C2" s="172">
        <v>0</v>
      </c>
      <c r="D2" s="172">
        <v>0</v>
      </c>
      <c r="E2" s="167">
        <v>0.01</v>
      </c>
      <c r="F2" s="170">
        <f t="shared" ref="F2:F60" si="0">D2*B2</f>
        <v>0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3"/>
      <c r="S2" s="173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70">
        <v>249981.82520557521</v>
      </c>
      <c r="B3" s="170">
        <v>249981.82520557521</v>
      </c>
      <c r="C3" s="172">
        <v>0</v>
      </c>
      <c r="D3" s="172">
        <v>0</v>
      </c>
      <c r="E3" s="167">
        <v>0.01</v>
      </c>
      <c r="F3" s="170">
        <f t="shared" si="0"/>
        <v>0</v>
      </c>
      <c r="G3" s="174"/>
      <c r="H3" s="174"/>
      <c r="I3" s="174"/>
      <c r="J3" s="174"/>
      <c r="K3" s="175"/>
      <c r="L3" s="175"/>
      <c r="M3" s="175"/>
      <c r="N3" s="175"/>
      <c r="O3" s="175"/>
      <c r="P3" s="175"/>
      <c r="Q3" s="175"/>
      <c r="R3" s="176"/>
      <c r="S3" s="176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</row>
    <row r="4" spans="1:99" s="2" customFormat="1" ht="83" customHeight="1">
      <c r="A4" s="170">
        <v>-4116.7369201152997</v>
      </c>
      <c r="B4" s="170">
        <v>-4116.7369201152997</v>
      </c>
      <c r="C4" s="172">
        <v>0</v>
      </c>
      <c r="D4" s="172">
        <v>0</v>
      </c>
      <c r="E4" s="167">
        <v>0.01</v>
      </c>
      <c r="F4" s="170">
        <f t="shared" si="0"/>
        <v>0</v>
      </c>
      <c r="G4" s="174"/>
      <c r="H4" s="174"/>
      <c r="I4" s="170"/>
      <c r="J4" s="170"/>
      <c r="K4" s="170"/>
      <c r="L4" s="170"/>
      <c r="M4" s="170"/>
      <c r="N4" s="170"/>
      <c r="O4" s="170"/>
      <c r="P4" s="170"/>
      <c r="Q4" s="170"/>
      <c r="R4" s="177"/>
      <c r="S4" s="177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1"/>
      <c r="AK4" s="152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1"/>
      <c r="CU4" s="151"/>
    </row>
    <row r="5" spans="1:99">
      <c r="A5" s="170">
        <v>254098.5621256904</v>
      </c>
      <c r="B5" s="170">
        <v>254098.5621256904</v>
      </c>
      <c r="C5" s="172">
        <v>0</v>
      </c>
      <c r="D5" s="172">
        <v>0</v>
      </c>
      <c r="E5" s="167">
        <v>0.01</v>
      </c>
      <c r="F5" s="170">
        <f t="shared" si="0"/>
        <v>0</v>
      </c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7"/>
      <c r="S5" s="177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70">
        <v>693.98717870610005</v>
      </c>
      <c r="B6" s="170">
        <v>693.98717870610005</v>
      </c>
      <c r="C6" s="172">
        <v>0</v>
      </c>
      <c r="D6" s="172">
        <v>0</v>
      </c>
      <c r="E6" s="167">
        <v>0.01</v>
      </c>
      <c r="F6" s="170">
        <f t="shared" si="0"/>
        <v>0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7"/>
      <c r="S6" s="177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70">
        <v>253404.5749469843</v>
      </c>
      <c r="B7" s="170">
        <v>253404.5749469843</v>
      </c>
      <c r="C7" s="172">
        <v>0</v>
      </c>
      <c r="D7" s="172">
        <v>0</v>
      </c>
      <c r="E7" s="167">
        <v>0.01</v>
      </c>
      <c r="F7" s="170">
        <f t="shared" si="0"/>
        <v>0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7"/>
      <c r="S7" s="177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70">
        <v>1500</v>
      </c>
      <c r="B8" s="170">
        <v>1500</v>
      </c>
      <c r="C8" s="172">
        <v>0</v>
      </c>
      <c r="D8" s="172">
        <v>0</v>
      </c>
      <c r="E8" s="167">
        <v>0.01</v>
      </c>
      <c r="F8" s="170">
        <f t="shared" si="0"/>
        <v>0</v>
      </c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7"/>
      <c r="S8" s="177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70">
        <v>43011</v>
      </c>
      <c r="B9" s="170">
        <v>43011</v>
      </c>
      <c r="C9" s="172">
        <v>0</v>
      </c>
      <c r="D9" s="172">
        <v>0</v>
      </c>
      <c r="E9" s="167">
        <v>0.01</v>
      </c>
      <c r="F9" s="170">
        <f t="shared" si="0"/>
        <v>0</v>
      </c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7"/>
      <c r="S9" s="177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70">
        <v>208893.5749469843</v>
      </c>
      <c r="B10" s="170">
        <v>208893.5749469843</v>
      </c>
      <c r="C10" s="172">
        <v>0</v>
      </c>
      <c r="D10" s="172">
        <v>0</v>
      </c>
      <c r="E10" s="167">
        <v>0.01</v>
      </c>
      <c r="F10" s="170">
        <f t="shared" si="0"/>
        <v>0</v>
      </c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7"/>
      <c r="S10" s="177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70">
        <v>-870</v>
      </c>
      <c r="B11" s="170">
        <v>-870</v>
      </c>
      <c r="C11" s="172">
        <v>0</v>
      </c>
      <c r="D11" s="172">
        <v>0</v>
      </c>
      <c r="E11" s="167">
        <v>0.01</v>
      </c>
      <c r="F11" s="170">
        <f t="shared" si="0"/>
        <v>0</v>
      </c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7"/>
      <c r="S11" s="177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70">
        <v>0</v>
      </c>
      <c r="B12" s="170">
        <v>0</v>
      </c>
      <c r="C12" s="172">
        <v>0</v>
      </c>
      <c r="D12" s="172">
        <v>0</v>
      </c>
      <c r="E12" s="167">
        <v>0.01</v>
      </c>
      <c r="F12" s="170">
        <f t="shared" si="0"/>
        <v>0</v>
      </c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7"/>
      <c r="S12" s="177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70">
        <v>209763.5749469843</v>
      </c>
      <c r="B13" s="170">
        <v>209763.5749469843</v>
      </c>
      <c r="C13" s="172">
        <v>0</v>
      </c>
      <c r="D13" s="172">
        <v>0</v>
      </c>
      <c r="E13" s="167">
        <v>0.01</v>
      </c>
      <c r="F13" s="170">
        <f t="shared" si="0"/>
        <v>0</v>
      </c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7"/>
      <c r="S13" s="177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70">
        <v>84629.508799999996</v>
      </c>
      <c r="B14" s="170">
        <v>84629.508799999996</v>
      </c>
      <c r="C14" s="172">
        <v>0</v>
      </c>
      <c r="D14" s="172">
        <v>0</v>
      </c>
      <c r="E14" s="167">
        <v>0.01</v>
      </c>
      <c r="F14" s="170">
        <f t="shared" si="0"/>
        <v>0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7"/>
      <c r="S14" s="177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70">
        <v>125134.0661469843</v>
      </c>
      <c r="B15" s="170">
        <v>125134.0661469843</v>
      </c>
      <c r="C15" s="172">
        <v>0</v>
      </c>
      <c r="D15" s="172">
        <v>0</v>
      </c>
      <c r="E15" s="167">
        <v>0.01</v>
      </c>
      <c r="F15" s="170">
        <f t="shared" si="0"/>
        <v>0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7"/>
      <c r="S15" s="177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70">
        <v>0</v>
      </c>
      <c r="B16" s="170">
        <v>0</v>
      </c>
      <c r="C16" s="172">
        <v>0</v>
      </c>
      <c r="D16" s="172">
        <v>0</v>
      </c>
      <c r="E16" s="167">
        <v>0.01</v>
      </c>
      <c r="F16" s="170">
        <f t="shared" si="0"/>
        <v>0</v>
      </c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7"/>
      <c r="S16" s="177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70">
        <v>1151.136</v>
      </c>
      <c r="B17" s="170">
        <v>1151.136</v>
      </c>
      <c r="C17" s="172">
        <v>0</v>
      </c>
      <c r="D17" s="172">
        <v>0</v>
      </c>
      <c r="E17" s="167">
        <v>0.01</v>
      </c>
      <c r="F17" s="170">
        <f t="shared" si="0"/>
        <v>0</v>
      </c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7"/>
      <c r="S17" s="177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70">
        <v>0</v>
      </c>
      <c r="B18" s="170">
        <v>0</v>
      </c>
      <c r="C18" s="172">
        <v>0</v>
      </c>
      <c r="D18" s="172">
        <v>0</v>
      </c>
      <c r="E18" s="167">
        <v>0.01</v>
      </c>
      <c r="F18" s="170">
        <f t="shared" si="0"/>
        <v>0</v>
      </c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7"/>
      <c r="S18" s="177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70">
        <v>0</v>
      </c>
      <c r="B19" s="170">
        <v>0</v>
      </c>
      <c r="C19" s="172">
        <v>0</v>
      </c>
      <c r="D19" s="172">
        <v>0</v>
      </c>
      <c r="E19" s="167">
        <v>0.01</v>
      </c>
      <c r="F19" s="170">
        <f t="shared" si="0"/>
        <v>0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7"/>
      <c r="S19" s="177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70">
        <v>1151.136</v>
      </c>
      <c r="B20" s="170">
        <v>1151.136</v>
      </c>
      <c r="C20" s="172">
        <v>0</v>
      </c>
      <c r="D20" s="172">
        <v>0</v>
      </c>
      <c r="E20" s="167">
        <v>0.01</v>
      </c>
      <c r="F20" s="170">
        <f t="shared" si="0"/>
        <v>0</v>
      </c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7"/>
      <c r="S20" s="177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70">
        <v>83478.372799999997</v>
      </c>
      <c r="B21" s="170">
        <v>83478.372799999997</v>
      </c>
      <c r="C21" s="172">
        <v>0</v>
      </c>
      <c r="D21" s="172">
        <v>0</v>
      </c>
      <c r="E21" s="167">
        <v>0.01</v>
      </c>
      <c r="F21" s="170">
        <f t="shared" si="0"/>
        <v>0</v>
      </c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7"/>
      <c r="S21" s="177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70">
        <v>87216.858032629694</v>
      </c>
      <c r="B22" s="170">
        <v>87216.858032629694</v>
      </c>
      <c r="C22" s="172">
        <v>0</v>
      </c>
      <c r="D22" s="172">
        <v>0</v>
      </c>
      <c r="E22" s="167">
        <v>0.01</v>
      </c>
      <c r="F22" s="170">
        <f t="shared" si="0"/>
        <v>0</v>
      </c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7"/>
      <c r="S22" s="177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70">
        <v>0</v>
      </c>
      <c r="B23" s="170">
        <v>0</v>
      </c>
      <c r="C23" s="172">
        <v>0</v>
      </c>
      <c r="D23" s="172">
        <v>0</v>
      </c>
      <c r="E23" s="167">
        <v>0.01</v>
      </c>
      <c r="F23" s="170">
        <f t="shared" si="0"/>
        <v>0</v>
      </c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7"/>
      <c r="S23" s="177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70">
        <v>7011</v>
      </c>
      <c r="B24" s="170">
        <v>7011</v>
      </c>
      <c r="C24" s="172">
        <v>0</v>
      </c>
      <c r="D24" s="172">
        <v>0</v>
      </c>
      <c r="E24" s="167">
        <v>0.01</v>
      </c>
      <c r="F24" s="170">
        <f t="shared" si="0"/>
        <v>0</v>
      </c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7"/>
      <c r="S24" s="177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70">
        <v>132145.06614698429</v>
      </c>
      <c r="B25" s="170">
        <v>132145.06614698429</v>
      </c>
      <c r="C25" s="172">
        <v>0</v>
      </c>
      <c r="D25" s="172">
        <v>0</v>
      </c>
      <c r="E25" s="167">
        <v>0.01</v>
      </c>
      <c r="F25" s="170">
        <f t="shared" si="0"/>
        <v>0</v>
      </c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7"/>
      <c r="S25" s="177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70">
        <v>11983.055953228601</v>
      </c>
      <c r="B26" s="170">
        <v>11983.055953228601</v>
      </c>
      <c r="C26" s="172">
        <v>0</v>
      </c>
      <c r="D26" s="172">
        <v>0</v>
      </c>
      <c r="E26" s="167">
        <v>0.01</v>
      </c>
      <c r="F26" s="170">
        <f t="shared" si="0"/>
        <v>0</v>
      </c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7"/>
      <c r="S26" s="177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70">
        <v>13097.735953228599</v>
      </c>
      <c r="B27" s="170">
        <v>13097.735953228599</v>
      </c>
      <c r="C27" s="172">
        <v>0</v>
      </c>
      <c r="D27" s="172">
        <v>0</v>
      </c>
      <c r="E27" s="167">
        <v>0.01</v>
      </c>
      <c r="F27" s="170">
        <f t="shared" si="0"/>
        <v>0</v>
      </c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7"/>
      <c r="S27" s="177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70">
        <v>1189.3055953229</v>
      </c>
      <c r="B28" s="170">
        <v>1189.3055953229</v>
      </c>
      <c r="C28" s="172">
        <v>0</v>
      </c>
      <c r="D28" s="172">
        <v>0</v>
      </c>
      <c r="E28" s="167">
        <v>0.01</v>
      </c>
      <c r="F28" s="170">
        <f t="shared" si="0"/>
        <v>0</v>
      </c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7"/>
      <c r="S28" s="177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70">
        <v>1189.3055953229</v>
      </c>
      <c r="B29" s="170">
        <v>1189.3055953229</v>
      </c>
      <c r="C29" s="172">
        <v>0</v>
      </c>
      <c r="D29" s="172">
        <v>0</v>
      </c>
      <c r="E29" s="167">
        <v>0.01</v>
      </c>
      <c r="F29" s="170">
        <f t="shared" si="0"/>
        <v>0</v>
      </c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7"/>
      <c r="S29" s="177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70">
        <v>1000</v>
      </c>
      <c r="B30" s="170">
        <v>1000</v>
      </c>
      <c r="C30" s="172">
        <v>0</v>
      </c>
      <c r="D30" s="172">
        <v>0</v>
      </c>
      <c r="E30" s="167">
        <v>0.01</v>
      </c>
      <c r="F30" s="170">
        <f t="shared" si="0"/>
        <v>0</v>
      </c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8"/>
      <c r="S30" s="178"/>
      <c r="T30" s="156"/>
      <c r="U30" s="156"/>
      <c r="V30" s="156"/>
      <c r="W30" s="156"/>
      <c r="X30" s="156"/>
      <c r="Y30" s="156"/>
      <c r="Z30" s="156"/>
      <c r="AA30" s="155"/>
      <c r="AB30" s="156"/>
      <c r="AC30" s="155"/>
      <c r="AD30" s="155"/>
      <c r="AE30" s="156"/>
      <c r="AF30" s="156"/>
      <c r="AG30" s="156"/>
      <c r="AH30" s="156"/>
      <c r="AI30" s="156"/>
      <c r="AJ30" s="156"/>
      <c r="AK30" s="157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70">
        <v>3287.8954015671002</v>
      </c>
      <c r="B31" s="170">
        <v>3287.8954015671002</v>
      </c>
      <c r="C31" s="172">
        <v>0</v>
      </c>
      <c r="D31" s="172">
        <v>0</v>
      </c>
      <c r="E31" s="167">
        <v>0.01</v>
      </c>
      <c r="F31" s="170">
        <f t="shared" si="0"/>
        <v>0</v>
      </c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7"/>
      <c r="S31" s="177"/>
      <c r="T31" s="155"/>
      <c r="U31" s="156"/>
      <c r="V31" s="156"/>
      <c r="W31" s="156"/>
      <c r="X31" s="156"/>
      <c r="Y31" s="156"/>
      <c r="Z31" s="156"/>
      <c r="AA31" s="155"/>
      <c r="AB31" s="156"/>
      <c r="AC31" s="155"/>
      <c r="AD31" s="155"/>
      <c r="AE31" s="156"/>
      <c r="AF31" s="156"/>
      <c r="AG31" s="156"/>
      <c r="AH31" s="156"/>
      <c r="AI31" s="156"/>
      <c r="AJ31" s="156"/>
      <c r="AK31" s="157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70">
        <v>123260.6</v>
      </c>
      <c r="B32" s="170">
        <v>123260.6</v>
      </c>
      <c r="C32" s="172">
        <v>0</v>
      </c>
      <c r="D32" s="172">
        <v>0</v>
      </c>
      <c r="E32" s="167">
        <v>0.01</v>
      </c>
      <c r="F32" s="170">
        <f t="shared" si="0"/>
        <v>0</v>
      </c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7"/>
      <c r="S32" s="177"/>
      <c r="T32" s="155"/>
      <c r="U32" s="155"/>
      <c r="V32" s="155"/>
      <c r="W32" s="155"/>
      <c r="X32" s="155"/>
      <c r="Y32" s="156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6"/>
      <c r="AK32" s="157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70">
        <v>0</v>
      </c>
      <c r="B33" s="170">
        <v>0</v>
      </c>
      <c r="C33" s="172">
        <v>0</v>
      </c>
      <c r="D33" s="172">
        <v>0</v>
      </c>
      <c r="E33" s="167">
        <v>0.01</v>
      </c>
      <c r="F33" s="170">
        <f t="shared" si="0"/>
        <v>0</v>
      </c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8"/>
      <c r="S33" s="178"/>
      <c r="T33" s="156"/>
      <c r="U33" s="156"/>
      <c r="V33" s="156"/>
      <c r="W33" s="156"/>
      <c r="X33" s="156"/>
      <c r="Y33" s="156"/>
      <c r="Z33" s="155"/>
      <c r="AA33" s="155"/>
      <c r="AB33" s="156"/>
      <c r="AC33" s="155"/>
      <c r="AD33" s="155"/>
      <c r="AE33" s="156"/>
      <c r="AF33" s="156"/>
      <c r="AG33" s="156"/>
      <c r="AH33" s="156"/>
      <c r="AI33" s="156"/>
      <c r="AJ33" s="156"/>
      <c r="AK33" s="157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70">
        <v>-3287.8954015671002</v>
      </c>
      <c r="B34" s="170">
        <v>-3287.8954015671002</v>
      </c>
      <c r="C34" s="172">
        <v>0</v>
      </c>
      <c r="D34" s="172">
        <v>0</v>
      </c>
      <c r="E34" s="167">
        <v>0.01</v>
      </c>
      <c r="F34" s="170">
        <f t="shared" si="0"/>
        <v>0</v>
      </c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8"/>
      <c r="S34" s="178"/>
      <c r="T34" s="156"/>
      <c r="U34" s="156"/>
      <c r="V34" s="156"/>
      <c r="W34" s="156"/>
      <c r="X34" s="156"/>
      <c r="Y34" s="156"/>
      <c r="Z34" s="155"/>
      <c r="AA34" s="155"/>
      <c r="AB34" s="156"/>
      <c r="AC34" s="155"/>
      <c r="AD34" s="155"/>
      <c r="AE34" s="156"/>
      <c r="AF34" s="156"/>
      <c r="AG34" s="156"/>
      <c r="AH34" s="156"/>
      <c r="AI34" s="156"/>
      <c r="AJ34" s="156"/>
      <c r="AK34" s="157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70">
        <v>4312.5021039050998</v>
      </c>
      <c r="B35" s="170">
        <v>4312.5021039050998</v>
      </c>
      <c r="C35" s="172">
        <v>0</v>
      </c>
      <c r="D35" s="172">
        <v>0</v>
      </c>
      <c r="E35" s="167">
        <v>0.01</v>
      </c>
      <c r="F35" s="170">
        <f t="shared" si="0"/>
        <v>0</v>
      </c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8"/>
      <c r="S35" s="178"/>
      <c r="T35" s="156"/>
      <c r="U35" s="156"/>
      <c r="V35" s="156"/>
      <c r="W35" s="156"/>
      <c r="X35" s="156"/>
      <c r="Y35" s="156"/>
      <c r="Z35" s="155"/>
      <c r="AA35" s="155"/>
      <c r="AB35" s="156"/>
      <c r="AC35" s="155"/>
      <c r="AD35" s="155"/>
      <c r="AE35" s="156"/>
      <c r="AF35" s="156"/>
      <c r="AG35" s="156"/>
      <c r="AH35" s="156"/>
      <c r="AI35" s="156"/>
      <c r="AJ35" s="156"/>
      <c r="AK35" s="157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70">
        <v>-6548.9178960949002</v>
      </c>
      <c r="B36" s="170">
        <v>-6548.9178960949002</v>
      </c>
      <c r="C36" s="172">
        <v>0</v>
      </c>
      <c r="D36" s="172">
        <v>0</v>
      </c>
      <c r="E36" s="167">
        <v>0.01</v>
      </c>
      <c r="F36" s="170">
        <f t="shared" si="0"/>
        <v>0</v>
      </c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8"/>
      <c r="S36" s="178"/>
      <c r="T36" s="156"/>
      <c r="U36" s="156"/>
      <c r="V36" s="156"/>
      <c r="W36" s="156"/>
      <c r="X36" s="156"/>
      <c r="Y36" s="156"/>
      <c r="Z36" s="156"/>
      <c r="AA36" s="156"/>
      <c r="AB36" s="156"/>
      <c r="AC36" s="155"/>
      <c r="AD36" s="155"/>
      <c r="AE36" s="156"/>
      <c r="AF36" s="156"/>
      <c r="AG36" s="156"/>
      <c r="AH36" s="156"/>
      <c r="AI36" s="156"/>
      <c r="AJ36" s="156"/>
      <c r="AK36" s="157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70">
        <v>108207.245</v>
      </c>
      <c r="B37" s="170">
        <v>108207.245</v>
      </c>
      <c r="C37" s="172">
        <v>0</v>
      </c>
      <c r="D37" s="172">
        <v>0</v>
      </c>
      <c r="E37" s="167">
        <v>0.01</v>
      </c>
      <c r="F37" s="170">
        <f t="shared" si="0"/>
        <v>0</v>
      </c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8"/>
      <c r="S37" s="178"/>
      <c r="T37" s="156"/>
      <c r="U37" s="156"/>
      <c r="V37" s="156"/>
      <c r="W37" s="156"/>
      <c r="X37" s="156"/>
      <c r="Y37" s="156"/>
      <c r="Z37" s="156"/>
      <c r="AA37" s="156"/>
      <c r="AB37" s="156"/>
      <c r="AC37" s="155"/>
      <c r="AD37" s="155"/>
      <c r="AE37" s="156"/>
      <c r="AF37" s="156"/>
      <c r="AG37" s="156"/>
      <c r="AH37" s="156"/>
      <c r="AI37" s="156"/>
      <c r="AJ37" s="156"/>
      <c r="AK37" s="157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70">
        <v>117765.29459999999</v>
      </c>
      <c r="B38" s="170">
        <v>117765.29459999999</v>
      </c>
      <c r="C38" s="172">
        <v>0</v>
      </c>
      <c r="D38" s="172">
        <v>0</v>
      </c>
      <c r="E38" s="167">
        <v>0.01</v>
      </c>
      <c r="F38" s="170">
        <f t="shared" si="0"/>
        <v>0</v>
      </c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7"/>
      <c r="S38" s="177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6"/>
      <c r="AK38" s="157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70">
        <v>0</v>
      </c>
      <c r="B39" s="170">
        <v>0</v>
      </c>
      <c r="C39" s="172">
        <v>0</v>
      </c>
      <c r="D39" s="172">
        <v>0</v>
      </c>
      <c r="E39" s="167">
        <v>0.01</v>
      </c>
      <c r="F39" s="170">
        <f t="shared" si="0"/>
        <v>0</v>
      </c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7"/>
      <c r="S39" s="177"/>
      <c r="T39" s="155"/>
      <c r="U39" s="155"/>
      <c r="V39" s="155"/>
      <c r="W39" s="155"/>
      <c r="X39" s="155"/>
      <c r="Y39" s="155"/>
      <c r="Z39" s="156"/>
      <c r="AA39" s="155"/>
      <c r="AB39" s="155"/>
      <c r="AC39" s="155"/>
      <c r="AD39" s="155"/>
      <c r="AE39" s="155"/>
      <c r="AF39" s="155"/>
      <c r="AG39" s="155"/>
      <c r="AH39" s="155"/>
      <c r="AI39" s="155"/>
      <c r="AJ39" s="156"/>
      <c r="AK39" s="157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70">
        <v>1926.6</v>
      </c>
      <c r="B40" s="170">
        <v>1926.6</v>
      </c>
      <c r="C40" s="172">
        <v>0</v>
      </c>
      <c r="D40" s="172">
        <v>0</v>
      </c>
      <c r="E40" s="167">
        <v>0.01</v>
      </c>
      <c r="F40" s="170">
        <f t="shared" si="0"/>
        <v>0</v>
      </c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8"/>
      <c r="S40" s="178"/>
      <c r="T40" s="156"/>
      <c r="U40" s="156"/>
      <c r="V40" s="156"/>
      <c r="W40" s="156"/>
      <c r="X40" s="156"/>
      <c r="Y40" s="156"/>
      <c r="Z40" s="156"/>
      <c r="AA40" s="155"/>
      <c r="AB40" s="156"/>
      <c r="AC40" s="155"/>
      <c r="AD40" s="155"/>
      <c r="AE40" s="156"/>
      <c r="AF40" s="156"/>
      <c r="AG40" s="156"/>
      <c r="AH40" s="156"/>
      <c r="AI40" s="156"/>
      <c r="AJ40" s="156"/>
      <c r="AK40" s="157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70">
        <v>1541.28</v>
      </c>
      <c r="B41" s="170">
        <v>1541.28</v>
      </c>
      <c r="C41" s="172">
        <v>0</v>
      </c>
      <c r="D41" s="172">
        <v>0</v>
      </c>
      <c r="E41" s="167">
        <v>0.01</v>
      </c>
      <c r="F41" s="170">
        <f t="shared" si="0"/>
        <v>0</v>
      </c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8"/>
      <c r="S41" s="178"/>
      <c r="T41" s="156"/>
      <c r="U41" s="156"/>
      <c r="V41" s="156"/>
      <c r="W41" s="156"/>
      <c r="X41" s="156"/>
      <c r="Y41" s="156"/>
      <c r="Z41" s="156"/>
      <c r="AA41" s="155"/>
      <c r="AB41" s="156"/>
      <c r="AC41" s="155"/>
      <c r="AD41" s="155"/>
      <c r="AE41" s="156"/>
      <c r="AF41" s="156"/>
      <c r="AG41" s="156"/>
      <c r="AH41" s="156"/>
      <c r="AI41" s="156"/>
      <c r="AJ41" s="156"/>
      <c r="AK41" s="157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70">
        <v>385.32</v>
      </c>
      <c r="B42" s="170">
        <v>385.32</v>
      </c>
      <c r="C42" s="172">
        <v>0</v>
      </c>
      <c r="D42" s="172">
        <v>0</v>
      </c>
      <c r="E42" s="167">
        <v>0.01</v>
      </c>
      <c r="F42" s="170">
        <f t="shared" si="0"/>
        <v>0</v>
      </c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8"/>
      <c r="S42" s="178"/>
      <c r="T42" s="156"/>
      <c r="U42" s="156"/>
      <c r="V42" s="156"/>
      <c r="W42" s="156"/>
      <c r="X42" s="156"/>
      <c r="Y42" s="156"/>
      <c r="Z42" s="156"/>
      <c r="AA42" s="155"/>
      <c r="AB42" s="156"/>
      <c r="AC42" s="155"/>
      <c r="AD42" s="155"/>
      <c r="AE42" s="156"/>
      <c r="AF42" s="156"/>
      <c r="AG42" s="156"/>
      <c r="AH42" s="156"/>
      <c r="AI42" s="156"/>
      <c r="AJ42" s="156"/>
      <c r="AK42" s="157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70">
        <v>385.32</v>
      </c>
      <c r="B43" s="170">
        <v>385.32</v>
      </c>
      <c r="C43" s="172">
        <v>0</v>
      </c>
      <c r="D43" s="172">
        <v>0</v>
      </c>
      <c r="E43" s="167">
        <v>0.01</v>
      </c>
      <c r="F43" s="170">
        <f t="shared" si="0"/>
        <v>0</v>
      </c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8"/>
      <c r="S43" s="178"/>
      <c r="T43" s="156"/>
      <c r="U43" s="156"/>
      <c r="V43" s="156"/>
      <c r="W43" s="156"/>
      <c r="X43" s="156"/>
      <c r="Y43" s="156"/>
      <c r="Z43" s="156"/>
      <c r="AA43" s="155"/>
      <c r="AB43" s="156"/>
      <c r="AC43" s="155"/>
      <c r="AD43" s="155"/>
      <c r="AE43" s="156"/>
      <c r="AF43" s="156"/>
      <c r="AG43" s="156"/>
      <c r="AH43" s="156"/>
      <c r="AI43" s="156"/>
      <c r="AJ43" s="156"/>
      <c r="AK43" s="157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70">
        <v>0</v>
      </c>
      <c r="B44" s="170">
        <v>0</v>
      </c>
      <c r="C44" s="172">
        <v>0</v>
      </c>
      <c r="D44" s="172">
        <v>0</v>
      </c>
      <c r="E44" s="167">
        <v>0.01</v>
      </c>
      <c r="F44" s="170">
        <f t="shared" si="0"/>
        <v>0</v>
      </c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7"/>
      <c r="S44" s="177"/>
      <c r="T44" s="155"/>
      <c r="U44" s="155"/>
      <c r="V44" s="156"/>
      <c r="W44" s="156"/>
      <c r="X44" s="156"/>
      <c r="Y44" s="156"/>
      <c r="Z44" s="156"/>
      <c r="AA44" s="155"/>
      <c r="AB44" s="156"/>
      <c r="AC44" s="156"/>
      <c r="AD44" s="156"/>
      <c r="AE44" s="156"/>
      <c r="AF44" s="156"/>
      <c r="AG44" s="156"/>
      <c r="AH44" s="156"/>
      <c r="AI44" s="156"/>
      <c r="AJ44" s="156"/>
      <c r="AK44" s="157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70">
        <v>0</v>
      </c>
      <c r="B45" s="170">
        <v>0</v>
      </c>
      <c r="C45" s="172">
        <v>0</v>
      </c>
      <c r="D45" s="172">
        <v>0</v>
      </c>
      <c r="E45" s="167">
        <v>0.01</v>
      </c>
      <c r="F45" s="170">
        <f t="shared" si="0"/>
        <v>0</v>
      </c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7"/>
      <c r="S45" s="177"/>
      <c r="T45" s="155"/>
      <c r="U45" s="155"/>
      <c r="V45" s="155"/>
      <c r="W45" s="155"/>
      <c r="X45" s="155"/>
      <c r="Y45" s="155"/>
      <c r="Z45" s="155"/>
      <c r="AA45" s="155"/>
      <c r="AB45" s="156"/>
      <c r="AC45" s="156"/>
      <c r="AD45" s="156"/>
      <c r="AE45" s="156"/>
      <c r="AF45" s="156"/>
      <c r="AG45" s="156"/>
      <c r="AH45" s="156"/>
      <c r="AI45" s="156"/>
      <c r="AJ45" s="156"/>
      <c r="AK45" s="157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70">
        <v>0</v>
      </c>
      <c r="B46" s="170">
        <v>0</v>
      </c>
      <c r="C46" s="172">
        <v>0</v>
      </c>
      <c r="D46" s="172">
        <v>0</v>
      </c>
      <c r="E46" s="167">
        <v>0.01</v>
      </c>
      <c r="F46" s="170">
        <f t="shared" si="0"/>
        <v>0</v>
      </c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7"/>
      <c r="S46" s="177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6"/>
      <c r="AG46" s="156"/>
      <c r="AH46" s="156"/>
      <c r="AI46" s="156"/>
      <c r="AJ46" s="156"/>
      <c r="AK46" s="157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70">
        <v>0</v>
      </c>
      <c r="B47" s="170">
        <v>0</v>
      </c>
      <c r="C47" s="172">
        <v>0</v>
      </c>
      <c r="D47" s="172">
        <v>0</v>
      </c>
      <c r="E47" s="167">
        <v>0.01</v>
      </c>
      <c r="F47" s="170">
        <f t="shared" si="0"/>
        <v>0</v>
      </c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7"/>
      <c r="S47" s="177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6"/>
      <c r="AK47" s="157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70">
        <v>0</v>
      </c>
      <c r="B48" s="170">
        <v>0</v>
      </c>
      <c r="C48" s="172">
        <v>0</v>
      </c>
      <c r="D48" s="172">
        <v>0</v>
      </c>
      <c r="E48" s="167">
        <v>0.01</v>
      </c>
      <c r="F48" s="170">
        <f t="shared" si="0"/>
        <v>0</v>
      </c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8"/>
      <c r="S48" s="178"/>
      <c r="T48" s="156"/>
      <c r="U48" s="156"/>
      <c r="V48" s="156"/>
      <c r="W48" s="156"/>
      <c r="X48" s="156"/>
      <c r="Y48" s="156"/>
      <c r="Z48" s="156"/>
      <c r="AA48" s="155"/>
      <c r="AB48" s="156"/>
      <c r="AC48" s="156"/>
      <c r="AD48" s="156"/>
      <c r="AE48" s="156"/>
      <c r="AF48" s="156"/>
      <c r="AG48" s="156"/>
      <c r="AH48" s="156"/>
      <c r="AI48" s="156"/>
      <c r="AJ48" s="156"/>
      <c r="AK48" s="157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70">
        <v>10861.42</v>
      </c>
      <c r="B49" s="170">
        <v>10861.42</v>
      </c>
      <c r="C49" s="172">
        <v>0</v>
      </c>
      <c r="D49" s="172">
        <v>0</v>
      </c>
      <c r="E49" s="167">
        <v>0.01</v>
      </c>
      <c r="F49" s="170">
        <f t="shared" si="0"/>
        <v>0</v>
      </c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7"/>
      <c r="S49" s="177"/>
      <c r="T49" s="155"/>
      <c r="U49" s="155"/>
      <c r="V49" s="155"/>
      <c r="W49" s="155"/>
      <c r="X49" s="155"/>
      <c r="Y49" s="156"/>
      <c r="Z49" s="156"/>
      <c r="AA49" s="155"/>
      <c r="AB49" s="156"/>
      <c r="AC49" s="156"/>
      <c r="AD49" s="156"/>
      <c r="AE49" s="156"/>
      <c r="AF49" s="156"/>
      <c r="AG49" s="156"/>
      <c r="AH49" s="156"/>
      <c r="AI49" s="156"/>
      <c r="AJ49" s="156"/>
      <c r="AK49" s="157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70">
        <v>1303.3704</v>
      </c>
      <c r="B50" s="170">
        <v>1303.3704</v>
      </c>
      <c r="C50" s="172">
        <v>0</v>
      </c>
      <c r="D50" s="172">
        <v>0</v>
      </c>
      <c r="E50" s="167">
        <v>0.01</v>
      </c>
      <c r="F50" s="170">
        <f t="shared" si="0"/>
        <v>0</v>
      </c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7"/>
      <c r="S50" s="177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6"/>
      <c r="AK50" s="157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70">
        <v>0</v>
      </c>
      <c r="B51" s="170">
        <v>0</v>
      </c>
      <c r="C51" s="172">
        <v>0</v>
      </c>
      <c r="D51" s="172">
        <v>0</v>
      </c>
      <c r="E51" s="167">
        <v>0.01</v>
      </c>
      <c r="F51" s="170">
        <f t="shared" si="0"/>
        <v>0</v>
      </c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7"/>
      <c r="S51" s="177"/>
      <c r="T51" s="155"/>
      <c r="U51" s="155"/>
      <c r="V51" s="155"/>
      <c r="W51" s="156"/>
      <c r="X51" s="155"/>
      <c r="Y51" s="155"/>
      <c r="Z51" s="155"/>
      <c r="AA51" s="155"/>
      <c r="AB51" s="155"/>
      <c r="AC51" s="156"/>
      <c r="AD51" s="155"/>
      <c r="AE51" s="155"/>
      <c r="AF51" s="155"/>
      <c r="AG51" s="155"/>
      <c r="AH51" s="155"/>
      <c r="AI51" s="155"/>
      <c r="AJ51" s="156"/>
      <c r="AK51" s="157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70">
        <v>9558.0496000000003</v>
      </c>
      <c r="B52" s="170">
        <v>9558.0496000000003</v>
      </c>
      <c r="C52" s="172">
        <v>0</v>
      </c>
      <c r="D52" s="172">
        <v>0</v>
      </c>
      <c r="E52" s="167">
        <v>0.01</v>
      </c>
      <c r="F52" s="170">
        <f t="shared" si="0"/>
        <v>0</v>
      </c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8"/>
      <c r="S52" s="178"/>
      <c r="T52" s="156"/>
      <c r="U52" s="156"/>
      <c r="V52" s="156"/>
      <c r="W52" s="156"/>
      <c r="X52" s="156"/>
      <c r="Y52" s="156"/>
      <c r="Z52" s="156"/>
      <c r="AA52" s="155"/>
      <c r="AB52" s="156"/>
      <c r="AC52" s="156"/>
      <c r="AD52" s="156"/>
      <c r="AE52" s="156"/>
      <c r="AF52" s="156"/>
      <c r="AG52" s="156"/>
      <c r="AH52" s="156"/>
      <c r="AI52" s="156"/>
      <c r="AJ52" s="156"/>
      <c r="AK52" s="157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70">
        <v>0</v>
      </c>
      <c r="B53" s="170">
        <v>0</v>
      </c>
      <c r="C53" s="172">
        <v>0</v>
      </c>
      <c r="D53" s="172">
        <v>0</v>
      </c>
      <c r="E53" s="167">
        <v>0.01</v>
      </c>
      <c r="F53" s="170">
        <f t="shared" si="0"/>
        <v>0</v>
      </c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8"/>
      <c r="S53" s="178"/>
      <c r="T53" s="156"/>
      <c r="U53" s="156"/>
      <c r="V53" s="156"/>
      <c r="W53" s="156"/>
      <c r="X53" s="156"/>
      <c r="Y53" s="156"/>
      <c r="Z53" s="156"/>
      <c r="AA53" s="155"/>
      <c r="AB53" s="156"/>
      <c r="AC53" s="156"/>
      <c r="AD53" s="156"/>
      <c r="AE53" s="156"/>
      <c r="AF53" s="156"/>
      <c r="AG53" s="156"/>
      <c r="AH53" s="156"/>
      <c r="AI53" s="156"/>
      <c r="AJ53" s="156"/>
      <c r="AK53" s="157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70">
        <v>0</v>
      </c>
      <c r="B54" s="170">
        <v>0</v>
      </c>
      <c r="C54" s="172">
        <v>0</v>
      </c>
      <c r="D54" s="172">
        <v>0</v>
      </c>
      <c r="E54" s="167">
        <v>0.01</v>
      </c>
      <c r="F54" s="170">
        <f t="shared" si="0"/>
        <v>0</v>
      </c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8"/>
      <c r="S54" s="178"/>
      <c r="T54" s="156"/>
      <c r="U54" s="156"/>
      <c r="V54" s="156"/>
      <c r="W54" s="156"/>
      <c r="X54" s="156"/>
      <c r="Y54" s="156"/>
      <c r="Z54" s="156"/>
      <c r="AA54" s="155"/>
      <c r="AB54" s="156"/>
      <c r="AC54" s="156"/>
      <c r="AD54" s="156"/>
      <c r="AE54" s="156"/>
      <c r="AF54" s="156"/>
      <c r="AG54" s="156"/>
      <c r="AH54" s="156"/>
      <c r="AI54" s="156"/>
      <c r="AJ54" s="156"/>
      <c r="AK54" s="157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70">
        <v>1688.6904</v>
      </c>
      <c r="B55" s="170">
        <v>1688.6904</v>
      </c>
      <c r="C55" s="172">
        <v>0</v>
      </c>
      <c r="D55" s="172">
        <v>0</v>
      </c>
      <c r="E55" s="167">
        <v>0.01</v>
      </c>
      <c r="F55" s="170">
        <f t="shared" si="0"/>
        <v>0</v>
      </c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7"/>
      <c r="S55" s="177"/>
      <c r="T55" s="155"/>
      <c r="U55" s="155"/>
      <c r="V55" s="155"/>
      <c r="W55" s="155"/>
      <c r="X55" s="155"/>
      <c r="Y55" s="155"/>
      <c r="Z55" s="155"/>
      <c r="AA55" s="155"/>
      <c r="AB55" s="155"/>
      <c r="AC55" s="156"/>
      <c r="AD55" s="156"/>
      <c r="AE55" s="156"/>
      <c r="AF55" s="156"/>
      <c r="AG55" s="156"/>
      <c r="AH55" s="156"/>
      <c r="AI55" s="156"/>
      <c r="AJ55" s="156"/>
      <c r="AK55" s="157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70">
        <v>0</v>
      </c>
      <c r="B56" s="170">
        <v>0</v>
      </c>
      <c r="C56" s="172">
        <v>0</v>
      </c>
      <c r="D56" s="172">
        <v>0</v>
      </c>
      <c r="E56" s="167">
        <v>0.01</v>
      </c>
      <c r="F56" s="170">
        <f t="shared" si="0"/>
        <v>0</v>
      </c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8"/>
      <c r="S56" s="178"/>
      <c r="T56" s="156"/>
      <c r="U56" s="156"/>
      <c r="V56" s="156"/>
      <c r="W56" s="156"/>
      <c r="X56" s="156"/>
      <c r="Y56" s="156"/>
      <c r="Z56" s="156"/>
      <c r="AA56" s="155"/>
      <c r="AB56" s="156"/>
      <c r="AC56" s="156"/>
      <c r="AD56" s="156"/>
      <c r="AE56" s="156"/>
      <c r="AF56" s="156"/>
      <c r="AG56" s="156"/>
      <c r="AH56" s="156"/>
      <c r="AI56" s="156"/>
      <c r="AJ56" s="156"/>
      <c r="AK56" s="157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70">
        <v>11473.344999999999</v>
      </c>
      <c r="B57" s="170">
        <v>11473.344999999999</v>
      </c>
      <c r="C57" s="172">
        <v>0</v>
      </c>
      <c r="D57" s="172">
        <v>0</v>
      </c>
      <c r="E57" s="167">
        <v>0.01</v>
      </c>
      <c r="F57" s="170">
        <f t="shared" si="0"/>
        <v>0</v>
      </c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8"/>
      <c r="S57" s="178"/>
      <c r="T57" s="156"/>
      <c r="U57" s="156"/>
      <c r="V57" s="156"/>
      <c r="W57" s="156"/>
      <c r="X57" s="156"/>
      <c r="Y57" s="156"/>
      <c r="Z57" s="156"/>
      <c r="AA57" s="155"/>
      <c r="AB57" s="156"/>
      <c r="AC57" s="156"/>
      <c r="AD57" s="156"/>
      <c r="AE57" s="156"/>
      <c r="AF57" s="156"/>
      <c r="AG57" s="156"/>
      <c r="AH57" s="156"/>
      <c r="AI57" s="156"/>
      <c r="AJ57" s="156"/>
      <c r="AK57" s="157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70">
        <v>0</v>
      </c>
      <c r="B58" s="170">
        <v>0</v>
      </c>
      <c r="C58" s="172">
        <v>0</v>
      </c>
      <c r="D58" s="172">
        <v>0</v>
      </c>
      <c r="E58" s="167">
        <v>0.01</v>
      </c>
      <c r="F58" s="170">
        <f t="shared" si="0"/>
        <v>0</v>
      </c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8"/>
      <c r="S58" s="178"/>
      <c r="T58" s="156"/>
      <c r="U58" s="156"/>
      <c r="V58" s="156"/>
      <c r="W58" s="156"/>
      <c r="X58" s="156"/>
      <c r="Y58" s="156"/>
      <c r="Z58" s="156"/>
      <c r="AA58" s="155"/>
      <c r="AB58" s="156"/>
      <c r="AC58" s="156"/>
      <c r="AD58" s="156"/>
      <c r="AE58" s="156"/>
      <c r="AF58" s="156"/>
      <c r="AG58" s="156"/>
      <c r="AH58" s="156"/>
      <c r="AI58" s="156"/>
      <c r="AJ58" s="156"/>
      <c r="AK58" s="157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70">
        <v>0</v>
      </c>
      <c r="B59" s="170">
        <v>0</v>
      </c>
      <c r="C59" s="172">
        <v>0</v>
      </c>
      <c r="D59" s="172">
        <v>0</v>
      </c>
      <c r="E59" s="167">
        <v>0.01</v>
      </c>
      <c r="F59" s="170">
        <f t="shared" si="0"/>
        <v>0</v>
      </c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8"/>
      <c r="S59" s="178"/>
      <c r="T59" s="156"/>
      <c r="U59" s="156"/>
      <c r="V59" s="156"/>
      <c r="W59" s="156"/>
      <c r="X59" s="156"/>
      <c r="Y59" s="156"/>
      <c r="Z59" s="156"/>
      <c r="AA59" s="155"/>
      <c r="AB59" s="156"/>
      <c r="AC59" s="156"/>
      <c r="AD59" s="156"/>
      <c r="AE59" s="156"/>
      <c r="AF59" s="156"/>
      <c r="AG59" s="156"/>
      <c r="AH59" s="156"/>
      <c r="AI59" s="156"/>
      <c r="AJ59" s="156"/>
      <c r="AK59" s="157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70">
        <v>0</v>
      </c>
      <c r="B60" s="170">
        <v>0</v>
      </c>
      <c r="C60" s="172">
        <v>0</v>
      </c>
      <c r="D60" s="172">
        <v>0</v>
      </c>
      <c r="E60" s="167">
        <v>0.01</v>
      </c>
      <c r="F60" s="170">
        <f t="shared" si="0"/>
        <v>0</v>
      </c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8"/>
      <c r="S60" s="178"/>
      <c r="T60" s="156"/>
      <c r="U60" s="156"/>
      <c r="V60" s="156"/>
      <c r="W60" s="156"/>
      <c r="X60" s="156"/>
      <c r="Y60" s="156"/>
      <c r="Z60" s="156"/>
      <c r="AA60" s="155"/>
      <c r="AB60" s="156"/>
      <c r="AC60" s="156"/>
      <c r="AD60" s="156"/>
      <c r="AE60" s="156"/>
      <c r="AF60" s="156"/>
      <c r="AG60" s="156"/>
      <c r="AH60" s="156"/>
      <c r="AI60" s="156"/>
      <c r="AJ60" s="156"/>
      <c r="AK60" s="157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70"/>
      <c r="B61" s="171"/>
      <c r="C61" s="171"/>
      <c r="D61" s="170"/>
      <c r="E61" s="167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8"/>
      <c r="S61" s="178"/>
      <c r="T61" s="156"/>
      <c r="U61" s="156"/>
      <c r="V61" s="156"/>
      <c r="W61" s="156"/>
      <c r="X61" s="156"/>
      <c r="Y61" s="156"/>
      <c r="Z61" s="156"/>
      <c r="AA61" s="155"/>
      <c r="AB61" s="156"/>
      <c r="AC61" s="156"/>
      <c r="AD61" s="156"/>
      <c r="AE61" s="156"/>
      <c r="AF61" s="156"/>
      <c r="AG61" s="156"/>
      <c r="AH61" s="156"/>
      <c r="AI61" s="156"/>
      <c r="AJ61" s="157"/>
      <c r="AK61" s="157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70"/>
      <c r="B62" s="171"/>
      <c r="C62" s="171"/>
      <c r="D62" s="170"/>
      <c r="E62" s="167"/>
      <c r="F62" s="170"/>
      <c r="G62" s="170"/>
      <c r="H62" s="170"/>
      <c r="I62" s="170"/>
      <c r="J62" s="170"/>
      <c r="K62" s="170"/>
      <c r="L62" s="170"/>
      <c r="M62" s="170"/>
      <c r="N62" s="154"/>
      <c r="O62" s="154"/>
      <c r="P62" s="154"/>
      <c r="Q62" s="154"/>
      <c r="R62" s="156"/>
      <c r="S62" s="156"/>
      <c r="T62" s="156"/>
      <c r="U62" s="156"/>
      <c r="V62" s="156"/>
      <c r="W62" s="156"/>
      <c r="X62" s="156"/>
      <c r="Y62" s="156"/>
      <c r="Z62" s="156"/>
      <c r="AA62" s="155"/>
      <c r="AB62" s="156"/>
      <c r="AC62" s="156"/>
      <c r="AD62" s="156"/>
      <c r="AE62" s="156"/>
      <c r="AF62" s="156"/>
      <c r="AG62" s="156"/>
      <c r="AH62" s="156"/>
      <c r="AI62" s="156"/>
      <c r="AJ62" s="157"/>
      <c r="AK62" s="157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70"/>
      <c r="B63" s="171"/>
      <c r="C63" s="171"/>
      <c r="D63" s="170"/>
      <c r="E63" s="167"/>
      <c r="F63" s="170"/>
      <c r="G63" s="170"/>
      <c r="H63" s="170"/>
      <c r="I63" s="170"/>
      <c r="J63" s="170"/>
      <c r="K63" s="170"/>
      <c r="L63" s="170"/>
      <c r="M63" s="170"/>
      <c r="N63" s="154"/>
      <c r="O63" s="154"/>
      <c r="P63" s="154"/>
      <c r="Q63" s="154"/>
      <c r="R63" s="44"/>
      <c r="S63" s="44"/>
      <c r="T63" s="44"/>
      <c r="U63" s="44"/>
      <c r="V63" s="44"/>
      <c r="W63" s="44"/>
      <c r="X63" s="44"/>
      <c r="Y63" s="44"/>
      <c r="Z63" s="44"/>
      <c r="AA63" s="155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70"/>
      <c r="B64" s="170"/>
      <c r="C64" s="170"/>
      <c r="D64" s="170"/>
      <c r="E64" s="167"/>
      <c r="F64" s="170"/>
      <c r="G64" s="170"/>
      <c r="H64" s="170"/>
      <c r="I64" s="170"/>
      <c r="J64" s="170"/>
      <c r="K64" s="170"/>
      <c r="L64" s="170"/>
      <c r="M64" s="170"/>
      <c r="N64" s="154"/>
      <c r="O64" s="154"/>
      <c r="P64" s="154"/>
      <c r="Q64" s="154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70"/>
      <c r="B65" s="170"/>
      <c r="C65" s="170"/>
      <c r="D65" s="170"/>
      <c r="E65" s="167"/>
      <c r="F65" s="170"/>
      <c r="G65" s="170"/>
      <c r="H65" s="170"/>
      <c r="I65" s="170"/>
      <c r="J65" s="170"/>
      <c r="K65" s="431"/>
      <c r="L65" s="431"/>
      <c r="M65" s="170"/>
      <c r="N65" s="432" t="s">
        <v>40</v>
      </c>
      <c r="O65" s="432"/>
      <c r="P65" s="432"/>
      <c r="Q65" s="154"/>
      <c r="R65" s="434"/>
      <c r="S65" s="434"/>
      <c r="T65" s="155"/>
      <c r="U65" s="155"/>
      <c r="V65" s="155"/>
      <c r="W65" s="158"/>
      <c r="X65" s="155"/>
      <c r="Y65" s="155"/>
      <c r="Z65" s="155"/>
      <c r="AA65" s="155"/>
      <c r="AB65" s="155"/>
      <c r="AC65" s="159"/>
      <c r="AD65" s="159"/>
      <c r="AE65" s="159"/>
      <c r="AF65" s="157"/>
      <c r="AG65" s="156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70"/>
      <c r="B66" s="170"/>
      <c r="C66" s="170"/>
      <c r="D66" s="170"/>
      <c r="E66" s="167"/>
      <c r="F66" s="170"/>
      <c r="G66" s="170"/>
      <c r="H66" s="170"/>
      <c r="I66" s="170"/>
      <c r="J66" s="170"/>
      <c r="K66" s="284"/>
      <c r="L66" s="284"/>
      <c r="M66" s="170"/>
      <c r="N66" s="284" t="s">
        <v>34</v>
      </c>
      <c r="O66" s="284" t="s">
        <v>9</v>
      </c>
      <c r="P66" s="292" t="s">
        <v>41</v>
      </c>
      <c r="Q66" s="154" t="s">
        <v>171</v>
      </c>
      <c r="R66" s="285"/>
      <c r="S66" s="285"/>
      <c r="T66" s="155"/>
      <c r="U66" s="160"/>
      <c r="V66" s="155"/>
      <c r="W66" s="160"/>
      <c r="X66" s="155"/>
      <c r="Y66" s="155"/>
      <c r="Z66" s="155"/>
      <c r="AA66" s="155"/>
      <c r="AB66" s="161"/>
      <c r="AC66" s="162"/>
      <c r="AD66" s="159"/>
      <c r="AE66" s="159"/>
      <c r="AF66" s="157"/>
      <c r="AG66" s="156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70"/>
      <c r="B67" s="170"/>
      <c r="C67" s="170"/>
      <c r="D67" s="170"/>
      <c r="E67" s="167"/>
      <c r="F67" s="170"/>
      <c r="G67" s="170"/>
      <c r="H67" s="170"/>
      <c r="I67" s="170"/>
      <c r="J67" s="170"/>
      <c r="K67" s="286"/>
      <c r="L67" s="287"/>
      <c r="M67" s="170"/>
      <c r="N67" s="154">
        <f>B1</f>
        <v>261455.17020557521</v>
      </c>
      <c r="O67" s="167">
        <f>IF(D1&gt;1,D1/100,D1)</f>
        <v>0</v>
      </c>
      <c r="P67" s="293">
        <f t="shared" ref="P67:P98" si="1">D1</f>
        <v>0</v>
      </c>
      <c r="Q67" s="288">
        <f>E1</f>
        <v>0.01</v>
      </c>
      <c r="R67" s="289"/>
      <c r="S67" s="289"/>
      <c r="T67" s="155"/>
      <c r="U67" s="163"/>
      <c r="V67" s="164"/>
      <c r="W67" s="163"/>
      <c r="X67" s="164"/>
      <c r="Y67" s="155"/>
      <c r="Z67" s="155"/>
      <c r="AA67" s="165"/>
      <c r="AB67" s="159"/>
      <c r="AC67" s="159"/>
      <c r="AD67" s="155"/>
      <c r="AE67" s="155"/>
      <c r="AF67" s="157"/>
      <c r="AG67" s="156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70"/>
      <c r="B68" s="170"/>
      <c r="C68" s="170"/>
      <c r="D68" s="170"/>
      <c r="E68" s="167"/>
      <c r="F68" s="170"/>
      <c r="G68" s="170"/>
      <c r="H68" s="170"/>
      <c r="I68" s="170"/>
      <c r="J68" s="170"/>
      <c r="K68" s="166"/>
      <c r="L68" s="167"/>
      <c r="M68" s="179"/>
      <c r="N68" s="154">
        <f t="shared" ref="N68:N126" si="2">A2</f>
        <v>11473.344999999999</v>
      </c>
      <c r="O68" s="167">
        <f t="shared" ref="O68:O125" si="3">IF(D2&gt;1,D2/100,D2)</f>
        <v>0</v>
      </c>
      <c r="P68" s="293">
        <f t="shared" si="1"/>
        <v>0</v>
      </c>
      <c r="Q68" s="288">
        <f t="shared" ref="Q68:Q126" si="4">E2</f>
        <v>0.01</v>
      </c>
      <c r="R68" s="289"/>
      <c r="S68" s="289"/>
      <c r="T68" s="155"/>
      <c r="U68" s="163"/>
      <c r="V68" s="164"/>
      <c r="W68" s="163"/>
      <c r="X68" s="164"/>
      <c r="Y68" s="155"/>
      <c r="Z68" s="155"/>
      <c r="AA68" s="165"/>
      <c r="AB68" s="159"/>
      <c r="AC68" s="159"/>
      <c r="AD68" s="155"/>
      <c r="AE68" s="155"/>
      <c r="AF68" s="157"/>
      <c r="AG68" s="156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70"/>
      <c r="B69" s="170"/>
      <c r="C69" s="170"/>
      <c r="D69" s="170"/>
      <c r="E69" s="167"/>
      <c r="F69" s="170"/>
      <c r="G69" s="170"/>
      <c r="H69" s="170"/>
      <c r="I69" s="170"/>
      <c r="J69" s="170"/>
      <c r="K69" s="166"/>
      <c r="L69" s="167"/>
      <c r="M69" s="170"/>
      <c r="N69" s="154">
        <f t="shared" si="2"/>
        <v>249981.82520557521</v>
      </c>
      <c r="O69" s="167">
        <f t="shared" si="3"/>
        <v>0</v>
      </c>
      <c r="P69" s="293">
        <f t="shared" si="1"/>
        <v>0</v>
      </c>
      <c r="Q69" s="288">
        <f t="shared" si="4"/>
        <v>0.01</v>
      </c>
      <c r="R69" s="289"/>
      <c r="S69" s="289"/>
      <c r="T69" s="155"/>
      <c r="U69" s="163"/>
      <c r="V69" s="164"/>
      <c r="W69" s="163"/>
      <c r="X69" s="164"/>
      <c r="Y69" s="155"/>
      <c r="Z69" s="155"/>
      <c r="AA69" s="165"/>
      <c r="AB69" s="159"/>
      <c r="AC69" s="159"/>
      <c r="AD69" s="155"/>
      <c r="AE69" s="155"/>
      <c r="AF69" s="157"/>
      <c r="AG69" s="156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70"/>
      <c r="B70" s="170"/>
      <c r="C70" s="170"/>
      <c r="D70" s="179"/>
      <c r="E70" s="167"/>
      <c r="F70" s="180"/>
      <c r="G70" s="170"/>
      <c r="H70" s="170"/>
      <c r="I70" s="170"/>
      <c r="J70" s="170"/>
      <c r="K70" s="166"/>
      <c r="L70" s="167"/>
      <c r="M70" s="170"/>
      <c r="N70" s="154">
        <f t="shared" si="2"/>
        <v>-4116.7369201152997</v>
      </c>
      <c r="O70" s="167">
        <f t="shared" si="3"/>
        <v>0</v>
      </c>
      <c r="P70" s="293">
        <f t="shared" si="1"/>
        <v>0</v>
      </c>
      <c r="Q70" s="288">
        <f t="shared" si="4"/>
        <v>0.01</v>
      </c>
      <c r="R70" s="289"/>
      <c r="S70" s="289"/>
      <c r="T70" s="155"/>
      <c r="U70" s="163"/>
      <c r="V70" s="164"/>
      <c r="W70" s="163"/>
      <c r="X70" s="164"/>
      <c r="Y70" s="155"/>
      <c r="Z70" s="155"/>
      <c r="AA70" s="165"/>
      <c r="AB70" s="159"/>
      <c r="AC70" s="159"/>
      <c r="AD70" s="155"/>
      <c r="AE70" s="155"/>
      <c r="AF70" s="157"/>
      <c r="AG70" s="156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70"/>
      <c r="B71" s="170"/>
      <c r="C71" s="170"/>
      <c r="D71" s="170"/>
      <c r="E71" s="167"/>
      <c r="F71" s="170"/>
      <c r="G71" s="170"/>
      <c r="H71" s="170"/>
      <c r="I71" s="170"/>
      <c r="J71" s="170"/>
      <c r="K71" s="166"/>
      <c r="L71" s="167"/>
      <c r="M71" s="170"/>
      <c r="N71" s="154">
        <f t="shared" si="2"/>
        <v>254098.5621256904</v>
      </c>
      <c r="O71" s="167">
        <f t="shared" si="3"/>
        <v>0</v>
      </c>
      <c r="P71" s="293">
        <f t="shared" si="1"/>
        <v>0</v>
      </c>
      <c r="Q71" s="288">
        <f t="shared" si="4"/>
        <v>0.01</v>
      </c>
      <c r="R71" s="289"/>
      <c r="S71" s="289"/>
      <c r="T71" s="155"/>
      <c r="U71" s="163"/>
      <c r="V71" s="164"/>
      <c r="W71" s="163"/>
      <c r="X71" s="164"/>
      <c r="Y71" s="155"/>
      <c r="Z71" s="155"/>
      <c r="AA71" s="165"/>
      <c r="AB71" s="159"/>
      <c r="AC71" s="159"/>
      <c r="AD71" s="155"/>
      <c r="AE71" s="155"/>
      <c r="AF71" s="157"/>
      <c r="AG71" s="156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70"/>
      <c r="B72" s="170"/>
      <c r="C72" s="170"/>
      <c r="D72" s="179"/>
      <c r="E72" s="167"/>
      <c r="F72" s="180"/>
      <c r="G72" s="170"/>
      <c r="H72" s="170"/>
      <c r="I72" s="170"/>
      <c r="J72" s="170"/>
      <c r="K72" s="166"/>
      <c r="L72" s="167"/>
      <c r="M72" s="170"/>
      <c r="N72" s="154">
        <f t="shared" si="2"/>
        <v>693.98717870610005</v>
      </c>
      <c r="O72" s="167">
        <f t="shared" si="3"/>
        <v>0</v>
      </c>
      <c r="P72" s="293">
        <f t="shared" si="1"/>
        <v>0</v>
      </c>
      <c r="Q72" s="288">
        <f t="shared" si="4"/>
        <v>0.01</v>
      </c>
      <c r="R72" s="289"/>
      <c r="S72" s="289"/>
      <c r="T72" s="155"/>
      <c r="U72" s="163"/>
      <c r="V72" s="164"/>
      <c r="W72" s="163"/>
      <c r="X72" s="164"/>
      <c r="Y72" s="155"/>
      <c r="Z72" s="155"/>
      <c r="AA72" s="165"/>
      <c r="AB72" s="159"/>
      <c r="AC72" s="159"/>
      <c r="AD72" s="155"/>
      <c r="AE72" s="155"/>
      <c r="AF72" s="157"/>
      <c r="AG72" s="156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70"/>
      <c r="B73" s="170"/>
      <c r="C73" s="179"/>
      <c r="D73" s="170"/>
      <c r="E73" s="167"/>
      <c r="F73" s="170"/>
      <c r="G73" s="170"/>
      <c r="H73" s="170"/>
      <c r="I73" s="170"/>
      <c r="J73" s="170"/>
      <c r="K73" s="166"/>
      <c r="L73" s="167"/>
      <c r="M73" s="170"/>
      <c r="N73" s="154">
        <f t="shared" si="2"/>
        <v>253404.5749469843</v>
      </c>
      <c r="O73" s="167">
        <f t="shared" si="3"/>
        <v>0</v>
      </c>
      <c r="P73" s="293">
        <f t="shared" si="1"/>
        <v>0</v>
      </c>
      <c r="Q73" s="288">
        <f t="shared" si="4"/>
        <v>0.01</v>
      </c>
      <c r="R73" s="289"/>
      <c r="S73" s="289"/>
      <c r="T73" s="155"/>
      <c r="U73" s="163"/>
      <c r="V73" s="164"/>
      <c r="W73" s="163"/>
      <c r="X73" s="164"/>
      <c r="Y73" s="155"/>
      <c r="Z73" s="155"/>
      <c r="AA73" s="165"/>
      <c r="AB73" s="159"/>
      <c r="AC73" s="159"/>
      <c r="AD73" s="155"/>
      <c r="AE73" s="155"/>
      <c r="AF73" s="157"/>
      <c r="AG73" s="156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70"/>
      <c r="B74" s="170"/>
      <c r="C74" s="170"/>
      <c r="D74" s="179"/>
      <c r="E74" s="167"/>
      <c r="F74" s="181"/>
      <c r="G74" s="181"/>
      <c r="H74" s="171"/>
      <c r="I74" s="170"/>
      <c r="J74" s="170"/>
      <c r="K74" s="166"/>
      <c r="L74" s="167"/>
      <c r="M74" s="170"/>
      <c r="N74" s="154">
        <f t="shared" si="2"/>
        <v>1500</v>
      </c>
      <c r="O74" s="167">
        <f t="shared" si="3"/>
        <v>0</v>
      </c>
      <c r="P74" s="293">
        <f t="shared" si="1"/>
        <v>0</v>
      </c>
      <c r="Q74" s="288">
        <f t="shared" si="4"/>
        <v>0.01</v>
      </c>
      <c r="R74" s="289"/>
      <c r="S74" s="289"/>
      <c r="T74" s="155"/>
      <c r="U74" s="163"/>
      <c r="V74" s="164"/>
      <c r="W74" s="163"/>
      <c r="X74" s="164"/>
      <c r="Y74" s="155"/>
      <c r="Z74" s="155"/>
      <c r="AA74" s="165"/>
      <c r="AB74" s="159"/>
      <c r="AC74" s="159"/>
      <c r="AD74" s="155"/>
      <c r="AE74" s="155"/>
      <c r="AF74" s="157"/>
      <c r="AG74" s="156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70"/>
      <c r="B75" s="170"/>
      <c r="C75" s="170"/>
      <c r="D75" s="170"/>
      <c r="E75" s="167"/>
      <c r="F75" s="170"/>
      <c r="G75" s="170"/>
      <c r="H75" s="170"/>
      <c r="I75" s="170"/>
      <c r="J75" s="170"/>
      <c r="K75" s="166"/>
      <c r="L75" s="167"/>
      <c r="M75" s="170"/>
      <c r="N75" s="154">
        <f t="shared" si="2"/>
        <v>43011</v>
      </c>
      <c r="O75" s="167">
        <f t="shared" si="3"/>
        <v>0</v>
      </c>
      <c r="P75" s="293">
        <f t="shared" si="1"/>
        <v>0</v>
      </c>
      <c r="Q75" s="288">
        <f t="shared" si="4"/>
        <v>0.01</v>
      </c>
      <c r="R75" s="289"/>
      <c r="S75" s="289"/>
      <c r="T75" s="155"/>
      <c r="U75" s="163"/>
      <c r="V75" s="164"/>
      <c r="W75" s="163"/>
      <c r="X75" s="164"/>
      <c r="Y75" s="155"/>
      <c r="Z75" s="155"/>
      <c r="AA75" s="165"/>
      <c r="AB75" s="159"/>
      <c r="AC75" s="159"/>
      <c r="AD75" s="155"/>
      <c r="AE75" s="155"/>
      <c r="AF75" s="157"/>
      <c r="AG75" s="156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70"/>
      <c r="B76" s="170"/>
      <c r="C76" s="170"/>
      <c r="D76" s="170"/>
      <c r="E76" s="167"/>
      <c r="F76" s="170"/>
      <c r="G76" s="170"/>
      <c r="H76" s="170"/>
      <c r="I76" s="170"/>
      <c r="J76" s="170"/>
      <c r="K76" s="166"/>
      <c r="L76" s="167"/>
      <c r="M76" s="170"/>
      <c r="N76" s="154">
        <f t="shared" si="2"/>
        <v>208893.5749469843</v>
      </c>
      <c r="O76" s="167">
        <f t="shared" si="3"/>
        <v>0</v>
      </c>
      <c r="P76" s="293">
        <f t="shared" si="1"/>
        <v>0</v>
      </c>
      <c r="Q76" s="288">
        <f t="shared" si="4"/>
        <v>0.01</v>
      </c>
      <c r="R76" s="289"/>
      <c r="S76" s="289"/>
      <c r="T76" s="155"/>
      <c r="U76" s="163"/>
      <c r="V76" s="164"/>
      <c r="W76" s="163"/>
      <c r="X76" s="164"/>
      <c r="Y76" s="155"/>
      <c r="Z76" s="155"/>
      <c r="AA76" s="165"/>
      <c r="AB76" s="159"/>
      <c r="AC76" s="159"/>
      <c r="AD76" s="155"/>
      <c r="AE76" s="155"/>
      <c r="AF76" s="157"/>
      <c r="AG76" s="156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70"/>
      <c r="B77" s="170"/>
      <c r="C77" s="170"/>
      <c r="D77" s="179"/>
      <c r="E77" s="167"/>
      <c r="F77" s="180"/>
      <c r="G77" s="170"/>
      <c r="H77" s="170"/>
      <c r="I77" s="170"/>
      <c r="J77" s="170"/>
      <c r="K77" s="166"/>
      <c r="L77" s="167"/>
      <c r="M77" s="170"/>
      <c r="N77" s="154">
        <f t="shared" si="2"/>
        <v>-870</v>
      </c>
      <c r="O77" s="167">
        <f t="shared" si="3"/>
        <v>0</v>
      </c>
      <c r="P77" s="293">
        <f t="shared" si="1"/>
        <v>0</v>
      </c>
      <c r="Q77" s="288">
        <f t="shared" si="4"/>
        <v>0.01</v>
      </c>
      <c r="R77" s="289"/>
      <c r="S77" s="289"/>
      <c r="T77" s="155"/>
      <c r="U77" s="163"/>
      <c r="V77" s="164"/>
      <c r="W77" s="163"/>
      <c r="X77" s="164"/>
      <c r="Y77" s="155"/>
      <c r="Z77" s="155"/>
      <c r="AA77" s="165"/>
      <c r="AB77" s="159"/>
      <c r="AC77" s="159"/>
      <c r="AD77" s="155"/>
      <c r="AE77" s="155"/>
      <c r="AF77" s="157"/>
      <c r="AG77" s="156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70"/>
      <c r="B78" s="170"/>
      <c r="C78" s="170"/>
      <c r="D78" s="170"/>
      <c r="E78" s="167"/>
      <c r="F78" s="170"/>
      <c r="G78" s="170"/>
      <c r="H78" s="170"/>
      <c r="I78" s="170"/>
      <c r="J78" s="170"/>
      <c r="K78" s="166"/>
      <c r="L78" s="167"/>
      <c r="M78" s="170"/>
      <c r="N78" s="154">
        <f t="shared" si="2"/>
        <v>0</v>
      </c>
      <c r="O78" s="167">
        <f t="shared" si="3"/>
        <v>0</v>
      </c>
      <c r="P78" s="293">
        <f t="shared" si="1"/>
        <v>0</v>
      </c>
      <c r="Q78" s="288">
        <f t="shared" si="4"/>
        <v>0.01</v>
      </c>
      <c r="R78" s="289"/>
      <c r="S78" s="289"/>
      <c r="T78" s="155"/>
      <c r="U78" s="163"/>
      <c r="V78" s="164"/>
      <c r="W78" s="163"/>
      <c r="X78" s="164"/>
      <c r="Y78" s="155"/>
      <c r="Z78" s="155"/>
      <c r="AA78" s="165"/>
      <c r="AB78" s="159"/>
      <c r="AC78" s="159"/>
      <c r="AD78" s="155"/>
      <c r="AE78" s="155"/>
      <c r="AF78" s="157"/>
      <c r="AG78" s="156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70"/>
      <c r="B79" s="170"/>
      <c r="C79" s="170"/>
      <c r="D79" s="170"/>
      <c r="E79" s="167"/>
      <c r="F79" s="170"/>
      <c r="G79" s="170"/>
      <c r="H79" s="170"/>
      <c r="I79" s="170"/>
      <c r="J79" s="170"/>
      <c r="K79" s="166"/>
      <c r="L79" s="167"/>
      <c r="M79" s="170"/>
      <c r="N79" s="154">
        <f t="shared" si="2"/>
        <v>209763.5749469843</v>
      </c>
      <c r="O79" s="167">
        <f t="shared" si="3"/>
        <v>0</v>
      </c>
      <c r="P79" s="293">
        <f t="shared" si="1"/>
        <v>0</v>
      </c>
      <c r="Q79" s="288">
        <f t="shared" si="4"/>
        <v>0.01</v>
      </c>
      <c r="R79" s="289"/>
      <c r="S79" s="289"/>
      <c r="T79" s="155"/>
      <c r="U79" s="163"/>
      <c r="V79" s="164"/>
      <c r="W79" s="163"/>
      <c r="X79" s="164"/>
      <c r="Y79" s="155"/>
      <c r="Z79" s="155"/>
      <c r="AA79" s="165"/>
      <c r="AB79" s="159"/>
      <c r="AC79" s="159"/>
      <c r="AD79" s="155"/>
      <c r="AE79" s="155"/>
      <c r="AF79" s="157"/>
      <c r="AG79" s="156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70"/>
      <c r="B80" s="170"/>
      <c r="C80" s="170"/>
      <c r="D80" s="170"/>
      <c r="E80" s="167"/>
      <c r="F80" s="179"/>
      <c r="G80" s="179"/>
      <c r="H80" s="170"/>
      <c r="I80" s="170"/>
      <c r="J80" s="170"/>
      <c r="K80" s="166"/>
      <c r="L80" s="167"/>
      <c r="M80" s="170"/>
      <c r="N80" s="154">
        <f t="shared" si="2"/>
        <v>84629.508799999996</v>
      </c>
      <c r="O80" s="167">
        <f t="shared" si="3"/>
        <v>0</v>
      </c>
      <c r="P80" s="293">
        <f t="shared" si="1"/>
        <v>0</v>
      </c>
      <c r="Q80" s="288">
        <f t="shared" si="4"/>
        <v>0.01</v>
      </c>
      <c r="R80" s="289"/>
      <c r="S80" s="289"/>
      <c r="T80" s="155"/>
      <c r="U80" s="163"/>
      <c r="V80" s="164"/>
      <c r="W80" s="163"/>
      <c r="X80" s="164"/>
      <c r="Y80" s="155"/>
      <c r="Z80" s="155"/>
      <c r="AA80" s="165"/>
      <c r="AB80" s="159"/>
      <c r="AC80" s="159"/>
      <c r="AD80" s="155"/>
      <c r="AE80" s="155"/>
      <c r="AF80" s="157"/>
      <c r="AG80" s="156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70"/>
      <c r="B81" s="170"/>
      <c r="C81" s="170"/>
      <c r="D81" s="170"/>
      <c r="E81" s="167"/>
      <c r="F81" s="170"/>
      <c r="G81" s="170"/>
      <c r="H81" s="170"/>
      <c r="I81" s="170"/>
      <c r="J81" s="170"/>
      <c r="K81" s="166"/>
      <c r="L81" s="167"/>
      <c r="M81" s="170"/>
      <c r="N81" s="154">
        <f t="shared" si="2"/>
        <v>125134.0661469843</v>
      </c>
      <c r="O81" s="167">
        <f t="shared" si="3"/>
        <v>0</v>
      </c>
      <c r="P81" s="293">
        <f t="shared" si="1"/>
        <v>0</v>
      </c>
      <c r="Q81" s="288">
        <f t="shared" si="4"/>
        <v>0.01</v>
      </c>
      <c r="R81" s="289"/>
      <c r="S81" s="289"/>
      <c r="T81" s="155"/>
      <c r="U81" s="163"/>
      <c r="V81" s="164"/>
      <c r="W81" s="163"/>
      <c r="X81" s="164"/>
      <c r="Y81" s="155"/>
      <c r="Z81" s="155"/>
      <c r="AA81" s="165"/>
      <c r="AB81" s="159"/>
      <c r="AC81" s="159"/>
      <c r="AD81" s="155"/>
      <c r="AE81" s="155"/>
      <c r="AF81" s="157"/>
      <c r="AG81" s="156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70"/>
      <c r="B82" s="170"/>
      <c r="C82" s="170"/>
      <c r="D82" s="179"/>
      <c r="E82" s="167"/>
      <c r="F82" s="170"/>
      <c r="G82" s="170"/>
      <c r="H82" s="170"/>
      <c r="I82" s="170"/>
      <c r="J82" s="170"/>
      <c r="K82" s="166"/>
      <c r="L82" s="167"/>
      <c r="M82" s="170"/>
      <c r="N82" s="154">
        <f t="shared" si="2"/>
        <v>0</v>
      </c>
      <c r="O82" s="167">
        <f t="shared" si="3"/>
        <v>0</v>
      </c>
      <c r="P82" s="293">
        <f t="shared" si="1"/>
        <v>0</v>
      </c>
      <c r="Q82" s="288">
        <f t="shared" si="4"/>
        <v>0.01</v>
      </c>
      <c r="R82" s="289"/>
      <c r="S82" s="289"/>
      <c r="T82" s="155"/>
      <c r="U82" s="163"/>
      <c r="V82" s="164"/>
      <c r="W82" s="163"/>
      <c r="X82" s="164"/>
      <c r="Y82" s="155"/>
      <c r="Z82" s="155"/>
      <c r="AA82" s="165"/>
      <c r="AB82" s="159"/>
      <c r="AC82" s="159"/>
      <c r="AD82" s="155"/>
      <c r="AE82" s="155"/>
      <c r="AF82" s="157"/>
      <c r="AG82" s="156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70"/>
      <c r="B83" s="170"/>
      <c r="C83" s="170"/>
      <c r="D83" s="170"/>
      <c r="E83" s="167"/>
      <c r="F83" s="170"/>
      <c r="G83" s="170"/>
      <c r="H83" s="170"/>
      <c r="I83" s="170"/>
      <c r="J83" s="170"/>
      <c r="K83" s="166"/>
      <c r="L83" s="167"/>
      <c r="M83" s="170"/>
      <c r="N83" s="154">
        <f t="shared" si="2"/>
        <v>1151.136</v>
      </c>
      <c r="O83" s="167">
        <f t="shared" si="3"/>
        <v>0</v>
      </c>
      <c r="P83" s="293">
        <f t="shared" si="1"/>
        <v>0</v>
      </c>
      <c r="Q83" s="288">
        <f t="shared" si="4"/>
        <v>0.01</v>
      </c>
      <c r="R83" s="289"/>
      <c r="S83" s="289"/>
      <c r="T83" s="155"/>
      <c r="U83" s="163"/>
      <c r="V83" s="164"/>
      <c r="W83" s="163"/>
      <c r="X83" s="164"/>
      <c r="Y83" s="155"/>
      <c r="Z83" s="155"/>
      <c r="AA83" s="165"/>
      <c r="AB83" s="159"/>
      <c r="AC83" s="159"/>
      <c r="AD83" s="155"/>
      <c r="AE83" s="155"/>
      <c r="AF83" s="157"/>
      <c r="AG83" s="156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70"/>
      <c r="B84" s="170"/>
      <c r="C84" s="170"/>
      <c r="D84" s="179"/>
      <c r="E84" s="167"/>
      <c r="F84" s="180"/>
      <c r="G84" s="180"/>
      <c r="H84" s="170"/>
      <c r="I84" s="170"/>
      <c r="J84" s="170"/>
      <c r="K84" s="166"/>
      <c r="L84" s="167"/>
      <c r="M84" s="170"/>
      <c r="N84" s="154">
        <f t="shared" si="2"/>
        <v>0</v>
      </c>
      <c r="O84" s="167">
        <f t="shared" si="3"/>
        <v>0</v>
      </c>
      <c r="P84" s="293">
        <f t="shared" si="1"/>
        <v>0</v>
      </c>
      <c r="Q84" s="288">
        <f t="shared" si="4"/>
        <v>0.01</v>
      </c>
      <c r="R84" s="289"/>
      <c r="S84" s="289"/>
      <c r="T84" s="155"/>
      <c r="U84" s="163"/>
      <c r="V84" s="164"/>
      <c r="W84" s="163"/>
      <c r="X84" s="164"/>
      <c r="Y84" s="155"/>
      <c r="Z84" s="155"/>
      <c r="AA84" s="165"/>
      <c r="AB84" s="159"/>
      <c r="AC84" s="159"/>
      <c r="AD84" s="155"/>
      <c r="AE84" s="155"/>
      <c r="AF84" s="157"/>
      <c r="AG84" s="156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70"/>
      <c r="B85" s="170"/>
      <c r="C85" s="170"/>
      <c r="D85" s="170"/>
      <c r="E85" s="167"/>
      <c r="F85" s="170"/>
      <c r="G85" s="170"/>
      <c r="H85" s="170"/>
      <c r="I85" s="170"/>
      <c r="J85" s="170"/>
      <c r="K85" s="166"/>
      <c r="L85" s="167"/>
      <c r="M85" s="170"/>
      <c r="N85" s="154">
        <f t="shared" si="2"/>
        <v>0</v>
      </c>
      <c r="O85" s="167">
        <f t="shared" si="3"/>
        <v>0</v>
      </c>
      <c r="P85" s="293">
        <f t="shared" si="1"/>
        <v>0</v>
      </c>
      <c r="Q85" s="288">
        <f t="shared" si="4"/>
        <v>0.01</v>
      </c>
      <c r="R85" s="289"/>
      <c r="S85" s="289"/>
      <c r="T85" s="155"/>
      <c r="U85" s="163"/>
      <c r="V85" s="164"/>
      <c r="W85" s="163"/>
      <c r="X85" s="164"/>
      <c r="Y85" s="155"/>
      <c r="Z85" s="155"/>
      <c r="AA85" s="165"/>
      <c r="AB85" s="159"/>
      <c r="AC85" s="159"/>
      <c r="AD85" s="155"/>
      <c r="AE85" s="155"/>
      <c r="AF85" s="157"/>
      <c r="AG85" s="156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70"/>
      <c r="B86" s="170"/>
      <c r="C86" s="170"/>
      <c r="D86" s="170"/>
      <c r="E86" s="167"/>
      <c r="F86" s="170"/>
      <c r="G86" s="170"/>
      <c r="H86" s="170"/>
      <c r="I86" s="170"/>
      <c r="J86" s="170"/>
      <c r="K86" s="166"/>
      <c r="L86" s="167"/>
      <c r="M86" s="170"/>
      <c r="N86" s="154">
        <f t="shared" si="2"/>
        <v>1151.136</v>
      </c>
      <c r="O86" s="167">
        <f t="shared" si="3"/>
        <v>0</v>
      </c>
      <c r="P86" s="293">
        <f t="shared" si="1"/>
        <v>0</v>
      </c>
      <c r="Q86" s="288">
        <f t="shared" si="4"/>
        <v>0.01</v>
      </c>
      <c r="R86" s="289"/>
      <c r="S86" s="289"/>
      <c r="T86" s="155"/>
      <c r="U86" s="163"/>
      <c r="V86" s="164"/>
      <c r="W86" s="163"/>
      <c r="X86" s="164"/>
      <c r="Y86" s="155"/>
      <c r="Z86" s="155"/>
      <c r="AA86" s="165"/>
      <c r="AB86" s="159"/>
      <c r="AC86" s="159"/>
      <c r="AD86" s="155"/>
      <c r="AE86" s="155"/>
      <c r="AF86" s="157"/>
      <c r="AG86" s="156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70"/>
      <c r="B87" s="170"/>
      <c r="C87" s="170"/>
      <c r="D87" s="170"/>
      <c r="E87" s="167"/>
      <c r="F87" s="170"/>
      <c r="G87" s="170"/>
      <c r="H87" s="170"/>
      <c r="I87" s="170"/>
      <c r="J87" s="170"/>
      <c r="K87" s="166"/>
      <c r="L87" s="167"/>
      <c r="M87" s="179"/>
      <c r="N87" s="154">
        <f t="shared" si="2"/>
        <v>83478.372799999997</v>
      </c>
      <c r="O87" s="167">
        <f t="shared" si="3"/>
        <v>0</v>
      </c>
      <c r="P87" s="293">
        <f t="shared" si="1"/>
        <v>0</v>
      </c>
      <c r="Q87" s="288">
        <f t="shared" si="4"/>
        <v>0.01</v>
      </c>
      <c r="R87" s="289"/>
      <c r="S87" s="289"/>
      <c r="T87" s="155"/>
      <c r="U87" s="163"/>
      <c r="V87" s="164"/>
      <c r="W87" s="163"/>
      <c r="X87" s="164"/>
      <c r="Y87" s="155"/>
      <c r="Z87" s="155"/>
      <c r="AA87" s="165"/>
      <c r="AB87" s="159"/>
      <c r="AC87" s="159"/>
      <c r="AD87" s="155"/>
      <c r="AE87" s="155"/>
      <c r="AF87" s="157"/>
      <c r="AG87" s="156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70"/>
      <c r="B88" s="170"/>
      <c r="C88" s="170"/>
      <c r="D88" s="179"/>
      <c r="E88" s="167"/>
      <c r="F88" s="180"/>
      <c r="G88" s="180"/>
      <c r="H88" s="170"/>
      <c r="I88" s="170"/>
      <c r="J88" s="170"/>
      <c r="K88" s="166"/>
      <c r="L88" s="167"/>
      <c r="M88" s="170"/>
      <c r="N88" s="154">
        <f t="shared" si="2"/>
        <v>87216.858032629694</v>
      </c>
      <c r="O88" s="167">
        <f t="shared" si="3"/>
        <v>0</v>
      </c>
      <c r="P88" s="293">
        <f t="shared" si="1"/>
        <v>0</v>
      </c>
      <c r="Q88" s="288">
        <f t="shared" si="4"/>
        <v>0.01</v>
      </c>
      <c r="R88" s="289"/>
      <c r="S88" s="289"/>
      <c r="T88" s="155"/>
      <c r="U88" s="163"/>
      <c r="V88" s="164"/>
      <c r="W88" s="163"/>
      <c r="X88" s="164"/>
      <c r="Y88" s="155"/>
      <c r="Z88" s="155"/>
      <c r="AA88" s="165"/>
      <c r="AB88" s="159"/>
      <c r="AC88" s="159"/>
      <c r="AD88" s="155"/>
      <c r="AE88" s="155"/>
      <c r="AF88" s="156"/>
      <c r="AG88" s="156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70"/>
      <c r="B89" s="170"/>
      <c r="C89" s="170"/>
      <c r="D89" s="170"/>
      <c r="E89" s="167"/>
      <c r="F89" s="170"/>
      <c r="G89" s="170"/>
      <c r="H89" s="170"/>
      <c r="I89" s="170"/>
      <c r="J89" s="170"/>
      <c r="K89" s="166"/>
      <c r="L89" s="167"/>
      <c r="M89" s="170"/>
      <c r="N89" s="154">
        <f t="shared" si="2"/>
        <v>0</v>
      </c>
      <c r="O89" s="167">
        <f t="shared" si="3"/>
        <v>0</v>
      </c>
      <c r="P89" s="293">
        <f t="shared" si="1"/>
        <v>0</v>
      </c>
      <c r="Q89" s="288">
        <f t="shared" si="4"/>
        <v>0.01</v>
      </c>
      <c r="R89" s="289"/>
      <c r="S89" s="289"/>
      <c r="T89" s="155"/>
      <c r="U89" s="163"/>
      <c r="V89" s="164"/>
      <c r="W89" s="163"/>
      <c r="X89" s="164"/>
      <c r="Y89" s="155"/>
      <c r="Z89" s="155"/>
      <c r="AA89" s="165"/>
      <c r="AB89" s="159"/>
      <c r="AC89" s="159"/>
      <c r="AD89" s="155"/>
      <c r="AE89" s="155"/>
      <c r="AF89" s="156"/>
      <c r="AG89" s="156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70"/>
      <c r="B90" s="170"/>
      <c r="C90" s="170"/>
      <c r="D90" s="170"/>
      <c r="E90" s="167"/>
      <c r="F90" s="170"/>
      <c r="G90" s="170"/>
      <c r="H90" s="170"/>
      <c r="I90" s="170"/>
      <c r="J90" s="170"/>
      <c r="K90" s="166"/>
      <c r="L90" s="167"/>
      <c r="M90" s="170"/>
      <c r="N90" s="154">
        <f t="shared" si="2"/>
        <v>7011</v>
      </c>
      <c r="O90" s="167">
        <f t="shared" si="3"/>
        <v>0</v>
      </c>
      <c r="P90" s="293">
        <f t="shared" si="1"/>
        <v>0</v>
      </c>
      <c r="Q90" s="288">
        <f t="shared" si="4"/>
        <v>0.01</v>
      </c>
      <c r="R90" s="289"/>
      <c r="S90" s="289"/>
      <c r="T90" s="155"/>
      <c r="U90" s="163"/>
      <c r="V90" s="164"/>
      <c r="W90" s="163"/>
      <c r="X90" s="164"/>
      <c r="Y90" s="155"/>
      <c r="Z90" s="155"/>
      <c r="AA90" s="165"/>
      <c r="AB90" s="159"/>
      <c r="AC90" s="159"/>
      <c r="AD90" s="155"/>
      <c r="AE90" s="155"/>
      <c r="AF90" s="156"/>
      <c r="AG90" s="156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70"/>
      <c r="B91" s="170"/>
      <c r="C91" s="170"/>
      <c r="D91" s="170"/>
      <c r="E91" s="167"/>
      <c r="F91" s="179"/>
      <c r="G91" s="179"/>
      <c r="H91" s="179"/>
      <c r="I91" s="170"/>
      <c r="J91" s="170"/>
      <c r="K91" s="166"/>
      <c r="L91" s="167"/>
      <c r="M91" s="170"/>
      <c r="N91" s="154">
        <f t="shared" si="2"/>
        <v>132145.06614698429</v>
      </c>
      <c r="O91" s="167">
        <f t="shared" si="3"/>
        <v>0</v>
      </c>
      <c r="P91" s="293">
        <f t="shared" si="1"/>
        <v>0</v>
      </c>
      <c r="Q91" s="288">
        <f t="shared" si="4"/>
        <v>0.01</v>
      </c>
      <c r="R91" s="289"/>
      <c r="S91" s="289"/>
      <c r="T91" s="155"/>
      <c r="U91" s="163"/>
      <c r="V91" s="164"/>
      <c r="W91" s="163"/>
      <c r="X91" s="164"/>
      <c r="Y91" s="155"/>
      <c r="Z91" s="155"/>
      <c r="AA91" s="155"/>
      <c r="AB91" s="155"/>
      <c r="AC91" s="155"/>
      <c r="AD91" s="155"/>
      <c r="AE91" s="155"/>
      <c r="AF91" s="156"/>
      <c r="AG91" s="156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70"/>
      <c r="B92" s="170"/>
      <c r="C92" s="170"/>
      <c r="D92" s="170"/>
      <c r="E92" s="167"/>
      <c r="F92" s="170"/>
      <c r="G92" s="170"/>
      <c r="H92" s="170"/>
      <c r="I92" s="170"/>
      <c r="J92" s="170"/>
      <c r="K92" s="166"/>
      <c r="L92" s="167"/>
      <c r="M92" s="170"/>
      <c r="N92" s="154">
        <f t="shared" si="2"/>
        <v>11983.055953228601</v>
      </c>
      <c r="O92" s="167">
        <f t="shared" si="3"/>
        <v>0</v>
      </c>
      <c r="P92" s="293">
        <f t="shared" si="1"/>
        <v>0</v>
      </c>
      <c r="Q92" s="288">
        <f t="shared" si="4"/>
        <v>0.01</v>
      </c>
      <c r="R92" s="289"/>
      <c r="S92" s="289"/>
      <c r="T92" s="155"/>
      <c r="U92" s="163"/>
      <c r="V92" s="164"/>
      <c r="W92" s="163"/>
      <c r="X92" s="164"/>
      <c r="Y92" s="155"/>
      <c r="Z92" s="155"/>
      <c r="AA92" s="155"/>
      <c r="AB92" s="155"/>
      <c r="AC92" s="159"/>
      <c r="AD92" s="163"/>
      <c r="AE92" s="155"/>
      <c r="AF92" s="156"/>
      <c r="AG92" s="156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70"/>
      <c r="B93" s="170"/>
      <c r="C93" s="170"/>
      <c r="D93" s="179"/>
      <c r="E93" s="167"/>
      <c r="F93" s="180"/>
      <c r="G93" s="180"/>
      <c r="H93" s="170"/>
      <c r="I93" s="170"/>
      <c r="J93" s="170"/>
      <c r="K93" s="166"/>
      <c r="L93" s="167"/>
      <c r="M93" s="170"/>
      <c r="N93" s="154">
        <f t="shared" si="2"/>
        <v>13097.735953228599</v>
      </c>
      <c r="O93" s="167">
        <f t="shared" si="3"/>
        <v>0</v>
      </c>
      <c r="P93" s="293">
        <f t="shared" si="1"/>
        <v>0</v>
      </c>
      <c r="Q93" s="288">
        <f t="shared" si="4"/>
        <v>0.01</v>
      </c>
      <c r="R93" s="289"/>
      <c r="S93" s="289"/>
      <c r="T93" s="155"/>
      <c r="U93" s="163"/>
      <c r="V93" s="164"/>
      <c r="W93" s="163"/>
      <c r="X93" s="164"/>
      <c r="Y93" s="155"/>
      <c r="Z93" s="155"/>
      <c r="AA93" s="150"/>
      <c r="AB93" s="150"/>
      <c r="AC93" s="155"/>
      <c r="AD93" s="155"/>
      <c r="AE93" s="155"/>
      <c r="AF93" s="156"/>
      <c r="AG93" s="156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70"/>
      <c r="B94" s="170"/>
      <c r="C94" s="170"/>
      <c r="D94" s="179"/>
      <c r="E94" s="167"/>
      <c r="F94" s="180"/>
      <c r="G94" s="180"/>
      <c r="H94" s="170"/>
      <c r="I94" s="170"/>
      <c r="J94" s="170"/>
      <c r="K94" s="166"/>
      <c r="L94" s="167"/>
      <c r="M94" s="170"/>
      <c r="N94" s="154">
        <f t="shared" si="2"/>
        <v>1189.3055953229</v>
      </c>
      <c r="O94" s="167">
        <f t="shared" si="3"/>
        <v>0</v>
      </c>
      <c r="P94" s="293">
        <f t="shared" si="1"/>
        <v>0</v>
      </c>
      <c r="Q94" s="288">
        <f t="shared" si="4"/>
        <v>0.01</v>
      </c>
      <c r="R94" s="289"/>
      <c r="S94" s="289"/>
      <c r="T94" s="155"/>
      <c r="U94" s="163"/>
      <c r="V94" s="164"/>
      <c r="W94" s="163"/>
      <c r="X94" s="164"/>
      <c r="Y94" s="155"/>
      <c r="Z94" s="155"/>
      <c r="AA94" s="155"/>
      <c r="AB94" s="155"/>
      <c r="AC94" s="155"/>
      <c r="AD94" s="155"/>
      <c r="AE94" s="155"/>
      <c r="AF94" s="156"/>
      <c r="AG94" s="156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70"/>
      <c r="B95" s="170"/>
      <c r="C95" s="170"/>
      <c r="D95" s="179"/>
      <c r="E95" s="167"/>
      <c r="F95" s="180"/>
      <c r="G95" s="170"/>
      <c r="H95" s="170"/>
      <c r="I95" s="170"/>
      <c r="J95" s="170"/>
      <c r="K95" s="166"/>
      <c r="L95" s="167"/>
      <c r="M95" s="170"/>
      <c r="N95" s="154">
        <f t="shared" si="2"/>
        <v>1189.3055953229</v>
      </c>
      <c r="O95" s="167">
        <f t="shared" si="3"/>
        <v>0</v>
      </c>
      <c r="P95" s="293">
        <f t="shared" si="1"/>
        <v>0</v>
      </c>
      <c r="Q95" s="288">
        <f t="shared" si="4"/>
        <v>0.01</v>
      </c>
      <c r="R95" s="289"/>
      <c r="S95" s="289"/>
      <c r="T95" s="155"/>
      <c r="U95" s="163"/>
      <c r="V95" s="164"/>
      <c r="W95" s="163"/>
      <c r="X95" s="164"/>
      <c r="Y95" s="155"/>
      <c r="Z95" s="155"/>
      <c r="AA95" s="155"/>
      <c r="AB95" s="155"/>
      <c r="AC95" s="155"/>
      <c r="AD95" s="155"/>
      <c r="AE95" s="155"/>
      <c r="AF95" s="156"/>
      <c r="AG95" s="156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70"/>
      <c r="B96" s="170"/>
      <c r="C96" s="170"/>
      <c r="D96" s="170"/>
      <c r="E96" s="167"/>
      <c r="F96" s="170"/>
      <c r="G96" s="170"/>
      <c r="H96" s="170"/>
      <c r="I96" s="170"/>
      <c r="J96" s="170"/>
      <c r="K96" s="166"/>
      <c r="L96" s="167"/>
      <c r="M96" s="170"/>
      <c r="N96" s="154">
        <f t="shared" si="2"/>
        <v>1000</v>
      </c>
      <c r="O96" s="167">
        <f t="shared" si="3"/>
        <v>0</v>
      </c>
      <c r="P96" s="293">
        <f t="shared" si="1"/>
        <v>0</v>
      </c>
      <c r="Q96" s="288">
        <f t="shared" si="4"/>
        <v>0.01</v>
      </c>
      <c r="R96" s="289"/>
      <c r="S96" s="289"/>
      <c r="T96" s="155"/>
      <c r="U96" s="163"/>
      <c r="V96" s="164"/>
      <c r="W96" s="163"/>
      <c r="X96" s="164"/>
      <c r="Y96" s="155"/>
      <c r="Z96" s="155"/>
      <c r="AA96" s="155"/>
      <c r="AB96" s="155"/>
      <c r="AC96" s="155"/>
      <c r="AD96" s="155"/>
      <c r="AE96" s="155"/>
      <c r="AF96" s="156"/>
      <c r="AG96" s="156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70"/>
      <c r="B97" s="170"/>
      <c r="C97" s="170"/>
      <c r="D97" s="179"/>
      <c r="E97" s="167"/>
      <c r="F97" s="170"/>
      <c r="G97" s="170"/>
      <c r="H97" s="170"/>
      <c r="I97" s="170"/>
      <c r="J97" s="170"/>
      <c r="K97" s="166"/>
      <c r="L97" s="167"/>
      <c r="M97" s="170"/>
      <c r="N97" s="154">
        <f t="shared" si="2"/>
        <v>3287.8954015671002</v>
      </c>
      <c r="O97" s="167">
        <f t="shared" si="3"/>
        <v>0</v>
      </c>
      <c r="P97" s="293">
        <f t="shared" si="1"/>
        <v>0</v>
      </c>
      <c r="Q97" s="288">
        <f t="shared" si="4"/>
        <v>0.01</v>
      </c>
      <c r="R97" s="289"/>
      <c r="S97" s="289"/>
      <c r="T97" s="155"/>
      <c r="U97" s="163"/>
      <c r="V97" s="164"/>
      <c r="W97" s="163"/>
      <c r="X97" s="164"/>
      <c r="Y97" s="155"/>
      <c r="Z97" s="155"/>
      <c r="AA97" s="155"/>
      <c r="AB97" s="155"/>
      <c r="AC97" s="155"/>
      <c r="AD97" s="155"/>
      <c r="AE97" s="155"/>
      <c r="AF97" s="156"/>
      <c r="AG97" s="156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70"/>
      <c r="B98" s="170"/>
      <c r="C98" s="170"/>
      <c r="D98" s="170"/>
      <c r="E98" s="167"/>
      <c r="F98" s="170"/>
      <c r="G98" s="170"/>
      <c r="H98" s="170"/>
      <c r="I98" s="170"/>
      <c r="J98" s="170"/>
      <c r="K98" s="166"/>
      <c r="L98" s="167"/>
      <c r="M98" s="170"/>
      <c r="N98" s="154">
        <f t="shared" si="2"/>
        <v>123260.6</v>
      </c>
      <c r="O98" s="167">
        <f t="shared" si="3"/>
        <v>0</v>
      </c>
      <c r="P98" s="293">
        <f t="shared" si="1"/>
        <v>0</v>
      </c>
      <c r="Q98" s="288">
        <f t="shared" si="4"/>
        <v>0.01</v>
      </c>
      <c r="R98" s="289"/>
      <c r="S98" s="289"/>
      <c r="T98" s="155"/>
      <c r="U98" s="163"/>
      <c r="V98" s="164"/>
      <c r="W98" s="163"/>
      <c r="X98" s="164"/>
      <c r="Y98" s="155"/>
      <c r="Z98" s="155"/>
      <c r="AA98" s="155"/>
      <c r="AB98" s="155"/>
      <c r="AC98" s="155"/>
      <c r="AD98" s="155"/>
      <c r="AE98" s="155"/>
      <c r="AF98" s="156"/>
      <c r="AG98" s="156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70"/>
      <c r="B99" s="170"/>
      <c r="C99" s="170"/>
      <c r="D99" s="170"/>
      <c r="E99" s="167"/>
      <c r="F99" s="170"/>
      <c r="G99" s="170"/>
      <c r="H99" s="170"/>
      <c r="I99" s="170"/>
      <c r="J99" s="170"/>
      <c r="K99" s="166"/>
      <c r="L99" s="167"/>
      <c r="M99" s="170"/>
      <c r="N99" s="154">
        <f t="shared" si="2"/>
        <v>0</v>
      </c>
      <c r="O99" s="167">
        <f t="shared" si="3"/>
        <v>0</v>
      </c>
      <c r="P99" s="293">
        <f t="shared" ref="P99:P126" si="5">D33</f>
        <v>0</v>
      </c>
      <c r="Q99" s="288">
        <f t="shared" si="4"/>
        <v>0.01</v>
      </c>
      <c r="R99" s="289"/>
      <c r="S99" s="289"/>
      <c r="T99" s="155"/>
      <c r="U99" s="163"/>
      <c r="V99" s="164"/>
      <c r="W99" s="163"/>
      <c r="X99" s="164"/>
      <c r="Y99" s="155"/>
      <c r="Z99" s="155"/>
      <c r="AA99" s="155"/>
      <c r="AB99" s="155"/>
      <c r="AC99" s="155"/>
      <c r="AD99" s="155"/>
      <c r="AE99" s="155"/>
      <c r="AF99" s="156"/>
      <c r="AG99" s="156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70"/>
      <c r="B100" s="170"/>
      <c r="C100" s="170"/>
      <c r="D100" s="179"/>
      <c r="E100" s="167"/>
      <c r="F100" s="180"/>
      <c r="G100" s="180"/>
      <c r="H100" s="170"/>
      <c r="I100" s="170"/>
      <c r="J100" s="170"/>
      <c r="K100" s="166"/>
      <c r="L100" s="167"/>
      <c r="M100" s="170"/>
      <c r="N100" s="154">
        <f t="shared" si="2"/>
        <v>-3287.8954015671002</v>
      </c>
      <c r="O100" s="167">
        <f t="shared" si="3"/>
        <v>0</v>
      </c>
      <c r="P100" s="293">
        <f t="shared" si="5"/>
        <v>0</v>
      </c>
      <c r="Q100" s="288">
        <f t="shared" si="4"/>
        <v>0.01</v>
      </c>
      <c r="R100" s="289"/>
      <c r="S100" s="289"/>
      <c r="T100" s="155"/>
      <c r="U100" s="163"/>
      <c r="V100" s="164"/>
      <c r="W100" s="163"/>
      <c r="X100" s="164"/>
      <c r="Y100" s="155"/>
      <c r="Z100" s="155"/>
      <c r="AA100" s="155"/>
      <c r="AB100" s="155"/>
      <c r="AC100" s="155"/>
      <c r="AD100" s="155"/>
      <c r="AE100" s="155"/>
      <c r="AF100" s="156"/>
      <c r="AG100" s="156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70"/>
      <c r="B101" s="170"/>
      <c r="C101" s="170"/>
      <c r="D101" s="179"/>
      <c r="E101" s="167"/>
      <c r="F101" s="181"/>
      <c r="G101" s="181"/>
      <c r="H101" s="171"/>
      <c r="I101" s="170"/>
      <c r="J101" s="170"/>
      <c r="K101" s="166"/>
      <c r="L101" s="167"/>
      <c r="M101" s="170"/>
      <c r="N101" s="154">
        <f t="shared" si="2"/>
        <v>4312.5021039050998</v>
      </c>
      <c r="O101" s="167">
        <f t="shared" si="3"/>
        <v>0</v>
      </c>
      <c r="P101" s="293">
        <f t="shared" si="5"/>
        <v>0</v>
      </c>
      <c r="Q101" s="288">
        <f t="shared" si="4"/>
        <v>0.01</v>
      </c>
      <c r="R101" s="289"/>
      <c r="S101" s="289"/>
      <c r="T101" s="155"/>
      <c r="U101" s="163"/>
      <c r="V101" s="164"/>
      <c r="W101" s="163"/>
      <c r="X101" s="164"/>
      <c r="Y101" s="155"/>
      <c r="Z101" s="155"/>
      <c r="AA101" s="155"/>
      <c r="AB101" s="155"/>
      <c r="AC101" s="155"/>
      <c r="AD101" s="155"/>
      <c r="AE101" s="155"/>
      <c r="AF101" s="156"/>
      <c r="AG101" s="156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70"/>
      <c r="B102" s="170"/>
      <c r="C102" s="170"/>
      <c r="D102" s="179"/>
      <c r="E102" s="167"/>
      <c r="F102" s="180"/>
      <c r="G102" s="180"/>
      <c r="H102" s="170"/>
      <c r="I102" s="170"/>
      <c r="J102" s="170"/>
      <c r="K102" s="166"/>
      <c r="L102" s="167"/>
      <c r="M102" s="170"/>
      <c r="N102" s="154">
        <f t="shared" si="2"/>
        <v>-6548.9178960949002</v>
      </c>
      <c r="O102" s="167">
        <f t="shared" si="3"/>
        <v>0</v>
      </c>
      <c r="P102" s="293">
        <f t="shared" si="5"/>
        <v>0</v>
      </c>
      <c r="Q102" s="288">
        <f t="shared" si="4"/>
        <v>0.01</v>
      </c>
      <c r="R102" s="289"/>
      <c r="S102" s="289"/>
      <c r="T102" s="155"/>
      <c r="U102" s="163"/>
      <c r="V102" s="164"/>
      <c r="W102" s="163"/>
      <c r="X102" s="164"/>
      <c r="Y102" s="155"/>
      <c r="Z102" s="155"/>
      <c r="AA102" s="155"/>
      <c r="AB102" s="155"/>
      <c r="AC102" s="155"/>
      <c r="AD102" s="155"/>
      <c r="AE102" s="155"/>
      <c r="AF102" s="156"/>
      <c r="AG102" s="156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70"/>
      <c r="B103" s="170"/>
      <c r="C103" s="170"/>
      <c r="D103" s="170"/>
      <c r="E103" s="167"/>
      <c r="F103" s="170"/>
      <c r="G103" s="170"/>
      <c r="H103" s="170"/>
      <c r="I103" s="170"/>
      <c r="J103" s="170"/>
      <c r="K103" s="166"/>
      <c r="L103" s="167"/>
      <c r="M103" s="170"/>
      <c r="N103" s="154">
        <f t="shared" si="2"/>
        <v>108207.245</v>
      </c>
      <c r="O103" s="167">
        <f t="shared" si="3"/>
        <v>0</v>
      </c>
      <c r="P103" s="293">
        <f t="shared" si="5"/>
        <v>0</v>
      </c>
      <c r="Q103" s="288">
        <f t="shared" si="4"/>
        <v>0.01</v>
      </c>
      <c r="R103" s="289"/>
      <c r="S103" s="289"/>
      <c r="T103" s="155"/>
      <c r="U103" s="163"/>
      <c r="V103" s="164"/>
      <c r="W103" s="163"/>
      <c r="X103" s="164"/>
      <c r="Y103" s="155"/>
      <c r="Z103" s="155"/>
      <c r="AA103" s="155"/>
      <c r="AB103" s="155"/>
      <c r="AC103" s="155"/>
      <c r="AD103" s="155"/>
      <c r="AE103" s="155"/>
      <c r="AF103" s="156"/>
      <c r="AG103" s="156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70"/>
      <c r="B104" s="170"/>
      <c r="C104" s="170"/>
      <c r="D104" s="179"/>
      <c r="E104" s="167"/>
      <c r="F104" s="180"/>
      <c r="G104" s="180"/>
      <c r="H104" s="170"/>
      <c r="I104" s="170"/>
      <c r="J104" s="170"/>
      <c r="K104" s="166"/>
      <c r="L104" s="167"/>
      <c r="M104" s="170"/>
      <c r="N104" s="154">
        <f t="shared" si="2"/>
        <v>117765.29459999999</v>
      </c>
      <c r="O104" s="167">
        <f t="shared" si="3"/>
        <v>0</v>
      </c>
      <c r="P104" s="293">
        <f t="shared" si="5"/>
        <v>0</v>
      </c>
      <c r="Q104" s="288">
        <f t="shared" si="4"/>
        <v>0.01</v>
      </c>
      <c r="R104" s="289"/>
      <c r="S104" s="289"/>
      <c r="T104" s="155"/>
      <c r="U104" s="163"/>
      <c r="V104" s="164"/>
      <c r="W104" s="163"/>
      <c r="X104" s="164"/>
      <c r="Y104" s="155"/>
      <c r="Z104" s="155"/>
      <c r="AA104" s="155"/>
      <c r="AB104" s="155"/>
      <c r="AC104" s="155"/>
      <c r="AD104" s="155"/>
      <c r="AE104" s="155"/>
      <c r="AF104" s="156"/>
      <c r="AG104" s="156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70"/>
      <c r="B105" s="170"/>
      <c r="C105" s="170"/>
      <c r="D105" s="170"/>
      <c r="E105" s="167"/>
      <c r="F105" s="170"/>
      <c r="G105" s="170"/>
      <c r="H105" s="170"/>
      <c r="I105" s="170"/>
      <c r="J105" s="170"/>
      <c r="K105" s="166"/>
      <c r="L105" s="167"/>
      <c r="M105" s="170"/>
      <c r="N105" s="154">
        <f t="shared" si="2"/>
        <v>0</v>
      </c>
      <c r="O105" s="167">
        <f t="shared" si="3"/>
        <v>0</v>
      </c>
      <c r="P105" s="293">
        <f t="shared" si="5"/>
        <v>0</v>
      </c>
      <c r="Q105" s="288">
        <f t="shared" si="4"/>
        <v>0.01</v>
      </c>
      <c r="R105" s="289"/>
      <c r="S105" s="289"/>
      <c r="T105" s="155"/>
      <c r="U105" s="163"/>
      <c r="V105" s="164"/>
      <c r="W105" s="163"/>
      <c r="X105" s="164"/>
      <c r="Y105" s="155"/>
      <c r="Z105" s="155"/>
      <c r="AA105" s="155"/>
      <c r="AB105" s="155"/>
      <c r="AC105" s="155"/>
      <c r="AD105" s="155"/>
      <c r="AE105" s="155"/>
      <c r="AF105" s="156"/>
      <c r="AG105" s="156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70"/>
      <c r="B106" s="170"/>
      <c r="C106" s="170"/>
      <c r="D106" s="170"/>
      <c r="E106" s="167"/>
      <c r="F106" s="170"/>
      <c r="G106" s="170"/>
      <c r="H106" s="170"/>
      <c r="I106" s="170"/>
      <c r="J106" s="170"/>
      <c r="K106" s="166"/>
      <c r="L106" s="167"/>
      <c r="M106" s="170"/>
      <c r="N106" s="154">
        <f t="shared" si="2"/>
        <v>1926.6</v>
      </c>
      <c r="O106" s="167">
        <f t="shared" si="3"/>
        <v>0</v>
      </c>
      <c r="P106" s="293">
        <f t="shared" si="5"/>
        <v>0</v>
      </c>
      <c r="Q106" s="288">
        <f t="shared" si="4"/>
        <v>0.01</v>
      </c>
      <c r="R106" s="289"/>
      <c r="S106" s="289"/>
      <c r="T106" s="155"/>
      <c r="U106" s="163"/>
      <c r="V106" s="164"/>
      <c r="W106" s="163"/>
      <c r="X106" s="164"/>
      <c r="Y106" s="155"/>
      <c r="Z106" s="155"/>
      <c r="AA106" s="155"/>
      <c r="AB106" s="155"/>
      <c r="AC106" s="155"/>
      <c r="AD106" s="155"/>
      <c r="AE106" s="155"/>
      <c r="AF106" s="156"/>
      <c r="AG106" s="156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70"/>
      <c r="B107" s="170"/>
      <c r="C107" s="170"/>
      <c r="D107" s="170"/>
      <c r="E107" s="167"/>
      <c r="F107" s="170"/>
      <c r="G107" s="170"/>
      <c r="H107" s="170"/>
      <c r="I107" s="170"/>
      <c r="J107" s="170"/>
      <c r="K107" s="166"/>
      <c r="L107" s="167"/>
      <c r="M107" s="170"/>
      <c r="N107" s="154">
        <f t="shared" si="2"/>
        <v>1541.28</v>
      </c>
      <c r="O107" s="167">
        <f t="shared" si="3"/>
        <v>0</v>
      </c>
      <c r="P107" s="293">
        <f t="shared" si="5"/>
        <v>0</v>
      </c>
      <c r="Q107" s="288">
        <f t="shared" si="4"/>
        <v>0.01</v>
      </c>
      <c r="R107" s="289"/>
      <c r="S107" s="289"/>
      <c r="T107" s="155"/>
      <c r="U107" s="163"/>
      <c r="V107" s="164"/>
      <c r="W107" s="163"/>
      <c r="X107" s="164"/>
      <c r="Y107" s="155"/>
      <c r="Z107" s="155"/>
      <c r="AA107" s="155"/>
      <c r="AB107" s="155"/>
      <c r="AC107" s="155"/>
      <c r="AD107" s="155"/>
      <c r="AE107" s="155"/>
      <c r="AF107" s="156"/>
      <c r="AG107" s="156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70"/>
      <c r="B108" s="170"/>
      <c r="C108" s="170"/>
      <c r="D108" s="170"/>
      <c r="E108" s="167"/>
      <c r="F108" s="170"/>
      <c r="G108" s="170"/>
      <c r="H108" s="170"/>
      <c r="I108" s="170"/>
      <c r="J108" s="170"/>
      <c r="K108" s="166"/>
      <c r="L108" s="167"/>
      <c r="M108" s="170"/>
      <c r="N108" s="154">
        <f t="shared" si="2"/>
        <v>385.32</v>
      </c>
      <c r="O108" s="167">
        <f t="shared" si="3"/>
        <v>0</v>
      </c>
      <c r="P108" s="293">
        <f t="shared" si="5"/>
        <v>0</v>
      </c>
      <c r="Q108" s="288">
        <f t="shared" si="4"/>
        <v>0.01</v>
      </c>
      <c r="R108" s="289"/>
      <c r="S108" s="289"/>
      <c r="T108" s="155"/>
      <c r="U108" s="163"/>
      <c r="V108" s="164"/>
      <c r="W108" s="163"/>
      <c r="X108" s="164"/>
      <c r="Y108" s="155"/>
      <c r="Z108" s="155"/>
      <c r="AA108" s="155"/>
      <c r="AB108" s="155"/>
      <c r="AC108" s="155"/>
      <c r="AD108" s="155"/>
      <c r="AE108" s="155"/>
      <c r="AF108" s="156"/>
      <c r="AG108" s="156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70"/>
      <c r="B109" s="170"/>
      <c r="C109" s="170"/>
      <c r="D109" s="170"/>
      <c r="E109" s="167"/>
      <c r="F109" s="170"/>
      <c r="G109" s="170"/>
      <c r="H109" s="170"/>
      <c r="I109" s="170"/>
      <c r="J109" s="170"/>
      <c r="K109" s="166"/>
      <c r="L109" s="167"/>
      <c r="M109" s="170"/>
      <c r="N109" s="154">
        <f t="shared" si="2"/>
        <v>385.32</v>
      </c>
      <c r="O109" s="167">
        <f t="shared" si="3"/>
        <v>0</v>
      </c>
      <c r="P109" s="293">
        <f t="shared" si="5"/>
        <v>0</v>
      </c>
      <c r="Q109" s="288">
        <f t="shared" si="4"/>
        <v>0.01</v>
      </c>
      <c r="R109" s="289"/>
      <c r="S109" s="289"/>
      <c r="T109" s="155"/>
      <c r="U109" s="163"/>
      <c r="V109" s="164"/>
      <c r="W109" s="163"/>
      <c r="X109" s="164"/>
      <c r="Y109" s="155"/>
      <c r="Z109" s="155"/>
      <c r="AA109" s="155"/>
      <c r="AB109" s="155"/>
      <c r="AC109" s="155"/>
      <c r="AD109" s="155"/>
      <c r="AE109" s="155"/>
      <c r="AF109" s="156"/>
      <c r="AG109" s="156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70"/>
      <c r="B110" s="170"/>
      <c r="C110" s="170"/>
      <c r="D110" s="170"/>
      <c r="E110" s="167"/>
      <c r="F110" s="170"/>
      <c r="G110" s="170"/>
      <c r="H110" s="170"/>
      <c r="I110" s="170"/>
      <c r="J110" s="170"/>
      <c r="K110" s="166"/>
      <c r="L110" s="167"/>
      <c r="M110" s="170"/>
      <c r="N110" s="154">
        <f t="shared" si="2"/>
        <v>0</v>
      </c>
      <c r="O110" s="167">
        <f t="shared" si="3"/>
        <v>0</v>
      </c>
      <c r="P110" s="293">
        <f t="shared" si="5"/>
        <v>0</v>
      </c>
      <c r="Q110" s="288">
        <f t="shared" si="4"/>
        <v>0.01</v>
      </c>
      <c r="R110" s="289"/>
      <c r="S110" s="289"/>
      <c r="T110" s="155"/>
      <c r="U110" s="163"/>
      <c r="V110" s="164"/>
      <c r="W110" s="163"/>
      <c r="X110" s="164"/>
      <c r="Y110" s="155"/>
      <c r="Z110" s="155"/>
      <c r="AA110" s="155"/>
      <c r="AB110" s="155"/>
      <c r="AC110" s="155"/>
      <c r="AD110" s="155"/>
      <c r="AE110" s="155"/>
      <c r="AF110" s="156"/>
      <c r="AG110" s="156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70"/>
      <c r="B111" s="170"/>
      <c r="C111" s="170"/>
      <c r="D111" s="179"/>
      <c r="E111" s="167"/>
      <c r="F111" s="181"/>
      <c r="G111" s="181"/>
      <c r="H111" s="171"/>
      <c r="I111" s="170"/>
      <c r="J111" s="170"/>
      <c r="K111" s="166"/>
      <c r="L111" s="167"/>
      <c r="M111" s="170"/>
      <c r="N111" s="154">
        <f t="shared" si="2"/>
        <v>0</v>
      </c>
      <c r="O111" s="167">
        <f t="shared" si="3"/>
        <v>0</v>
      </c>
      <c r="P111" s="293">
        <f t="shared" si="5"/>
        <v>0</v>
      </c>
      <c r="Q111" s="288">
        <f t="shared" si="4"/>
        <v>0.01</v>
      </c>
      <c r="R111" s="289"/>
      <c r="S111" s="289"/>
      <c r="T111" s="155"/>
      <c r="U111" s="163"/>
      <c r="V111" s="164"/>
      <c r="W111" s="163"/>
      <c r="X111" s="164"/>
      <c r="Y111" s="155"/>
      <c r="Z111" s="155"/>
      <c r="AA111" s="155"/>
      <c r="AB111" s="155"/>
      <c r="AC111" s="155"/>
      <c r="AD111" s="155"/>
      <c r="AE111" s="155"/>
      <c r="AF111" s="156"/>
      <c r="AG111" s="156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70"/>
      <c r="B112" s="170"/>
      <c r="C112" s="170"/>
      <c r="D112" s="170"/>
      <c r="E112" s="167"/>
      <c r="F112" s="170"/>
      <c r="G112" s="170"/>
      <c r="H112" s="170"/>
      <c r="I112" s="170"/>
      <c r="J112" s="170"/>
      <c r="K112" s="166"/>
      <c r="L112" s="167"/>
      <c r="M112" s="170"/>
      <c r="N112" s="154">
        <f t="shared" si="2"/>
        <v>0</v>
      </c>
      <c r="O112" s="167">
        <f t="shared" si="3"/>
        <v>0</v>
      </c>
      <c r="P112" s="293">
        <f t="shared" si="5"/>
        <v>0</v>
      </c>
      <c r="Q112" s="288">
        <f t="shared" si="4"/>
        <v>0.01</v>
      </c>
      <c r="R112" s="289"/>
      <c r="S112" s="289"/>
      <c r="T112" s="155"/>
      <c r="U112" s="163"/>
      <c r="V112" s="164"/>
      <c r="W112" s="163"/>
      <c r="X112" s="164"/>
      <c r="Y112" s="155"/>
      <c r="Z112" s="155"/>
      <c r="AA112" s="155"/>
      <c r="AB112" s="155"/>
      <c r="AC112" s="155"/>
      <c r="AD112" s="155"/>
      <c r="AE112" s="155"/>
      <c r="AF112" s="156"/>
      <c r="AG112" s="156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70"/>
      <c r="B113" s="170"/>
      <c r="C113" s="170"/>
      <c r="D113" s="170"/>
      <c r="E113" s="167"/>
      <c r="F113" s="170"/>
      <c r="G113" s="170"/>
      <c r="H113" s="170"/>
      <c r="I113" s="170"/>
      <c r="J113" s="170"/>
      <c r="K113" s="166"/>
      <c r="L113" s="167"/>
      <c r="M113" s="170"/>
      <c r="N113" s="154">
        <f t="shared" si="2"/>
        <v>0</v>
      </c>
      <c r="O113" s="167">
        <f t="shared" si="3"/>
        <v>0</v>
      </c>
      <c r="P113" s="293">
        <f t="shared" si="5"/>
        <v>0</v>
      </c>
      <c r="Q113" s="288">
        <f t="shared" si="4"/>
        <v>0.01</v>
      </c>
      <c r="R113" s="289"/>
      <c r="S113" s="289"/>
      <c r="T113" s="155"/>
      <c r="U113" s="163"/>
      <c r="V113" s="164"/>
      <c r="W113" s="163"/>
      <c r="X113" s="164"/>
      <c r="Y113" s="155"/>
      <c r="Z113" s="155"/>
      <c r="AA113" s="155"/>
      <c r="AB113" s="155"/>
      <c r="AC113" s="155"/>
      <c r="AD113" s="155"/>
      <c r="AE113" s="155"/>
      <c r="AF113" s="156"/>
      <c r="AG113" s="156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70"/>
      <c r="B114" s="170"/>
      <c r="C114" s="170"/>
      <c r="D114" s="179"/>
      <c r="E114" s="167"/>
      <c r="F114" s="181"/>
      <c r="G114" s="181"/>
      <c r="H114" s="171"/>
      <c r="I114" s="170"/>
      <c r="J114" s="170"/>
      <c r="K114" s="166"/>
      <c r="L114" s="167"/>
      <c r="M114" s="170"/>
      <c r="N114" s="154">
        <f t="shared" si="2"/>
        <v>0</v>
      </c>
      <c r="O114" s="167">
        <f t="shared" si="3"/>
        <v>0</v>
      </c>
      <c r="P114" s="293">
        <f t="shared" si="5"/>
        <v>0</v>
      </c>
      <c r="Q114" s="288">
        <f t="shared" si="4"/>
        <v>0.01</v>
      </c>
      <c r="R114" s="289"/>
      <c r="S114" s="289"/>
      <c r="T114" s="155"/>
      <c r="U114" s="163"/>
      <c r="V114" s="164"/>
      <c r="W114" s="163"/>
      <c r="X114" s="164"/>
      <c r="Y114" s="155"/>
      <c r="Z114" s="155"/>
      <c r="AA114" s="155"/>
      <c r="AB114" s="155"/>
      <c r="AC114" s="155"/>
      <c r="AD114" s="155"/>
      <c r="AE114" s="155"/>
      <c r="AF114" s="156"/>
      <c r="AG114" s="156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70"/>
      <c r="B115" s="170"/>
      <c r="C115" s="170"/>
      <c r="D115" s="170"/>
      <c r="E115" s="167"/>
      <c r="F115" s="170"/>
      <c r="G115" s="170"/>
      <c r="H115" s="170"/>
      <c r="I115" s="170"/>
      <c r="J115" s="170"/>
      <c r="K115" s="179"/>
      <c r="L115" s="171"/>
      <c r="M115" s="170"/>
      <c r="N115" s="154">
        <f t="shared" si="2"/>
        <v>10861.42</v>
      </c>
      <c r="O115" s="167">
        <f t="shared" si="3"/>
        <v>0</v>
      </c>
      <c r="P115" s="293">
        <f t="shared" si="5"/>
        <v>0</v>
      </c>
      <c r="Q115" s="288">
        <f t="shared" si="4"/>
        <v>0.01</v>
      </c>
      <c r="R115" s="289"/>
      <c r="S115" s="289"/>
      <c r="T115" s="155"/>
      <c r="U115" s="163"/>
      <c r="V115" s="164"/>
      <c r="W115" s="163"/>
      <c r="X115" s="164"/>
      <c r="Y115" s="155"/>
      <c r="Z115" s="155"/>
      <c r="AA115" s="155"/>
      <c r="AB115" s="155"/>
      <c r="AC115" s="155"/>
      <c r="AD115" s="155"/>
      <c r="AE115" s="155"/>
      <c r="AF115" s="156"/>
      <c r="AG115" s="156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70"/>
      <c r="B116" s="170"/>
      <c r="C116" s="170"/>
      <c r="D116" s="179"/>
      <c r="E116" s="167"/>
      <c r="F116" s="181"/>
      <c r="G116" s="181"/>
      <c r="H116" s="171"/>
      <c r="I116" s="170"/>
      <c r="J116" s="170"/>
      <c r="K116" s="179"/>
      <c r="L116" s="171"/>
      <c r="M116" s="170"/>
      <c r="N116" s="154">
        <f t="shared" si="2"/>
        <v>1303.3704</v>
      </c>
      <c r="O116" s="167">
        <f t="shared" si="3"/>
        <v>0</v>
      </c>
      <c r="P116" s="293">
        <f t="shared" si="5"/>
        <v>0</v>
      </c>
      <c r="Q116" s="288">
        <f t="shared" si="4"/>
        <v>0.01</v>
      </c>
      <c r="R116" s="289"/>
      <c r="S116" s="289"/>
      <c r="T116" s="155"/>
      <c r="U116" s="163"/>
      <c r="V116" s="164"/>
      <c r="W116" s="163"/>
      <c r="X116" s="164"/>
      <c r="Y116" s="155"/>
      <c r="Z116" s="155"/>
      <c r="AA116" s="155"/>
      <c r="AB116" s="155"/>
      <c r="AC116" s="155"/>
      <c r="AD116" s="155"/>
      <c r="AE116" s="155"/>
      <c r="AF116" s="156"/>
      <c r="AG116" s="156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70"/>
      <c r="B117" s="170"/>
      <c r="C117" s="170"/>
      <c r="D117" s="179"/>
      <c r="E117" s="167"/>
      <c r="F117" s="180"/>
      <c r="G117" s="180"/>
      <c r="H117" s="170"/>
      <c r="I117" s="170"/>
      <c r="J117" s="170"/>
      <c r="K117" s="179"/>
      <c r="L117" s="171"/>
      <c r="M117" s="170"/>
      <c r="N117" s="154">
        <f t="shared" si="2"/>
        <v>0</v>
      </c>
      <c r="O117" s="167">
        <f t="shared" si="3"/>
        <v>0</v>
      </c>
      <c r="P117" s="293">
        <f t="shared" si="5"/>
        <v>0</v>
      </c>
      <c r="Q117" s="288">
        <f t="shared" si="4"/>
        <v>0.01</v>
      </c>
      <c r="R117" s="289"/>
      <c r="S117" s="289"/>
      <c r="T117" s="155"/>
      <c r="U117" s="163"/>
      <c r="V117" s="164"/>
      <c r="W117" s="163"/>
      <c r="X117" s="164"/>
      <c r="Y117" s="155"/>
      <c r="Z117" s="155"/>
      <c r="AA117" s="155"/>
      <c r="AB117" s="155"/>
      <c r="AC117" s="155"/>
      <c r="AD117" s="155"/>
      <c r="AE117" s="155"/>
      <c r="AF117" s="156"/>
      <c r="AG117" s="156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70"/>
      <c r="B118" s="170"/>
      <c r="C118" s="170"/>
      <c r="D118" s="170"/>
      <c r="E118" s="167"/>
      <c r="F118" s="170"/>
      <c r="G118" s="170"/>
      <c r="H118" s="170"/>
      <c r="I118" s="170"/>
      <c r="J118" s="170"/>
      <c r="K118" s="179"/>
      <c r="L118" s="171"/>
      <c r="M118" s="170"/>
      <c r="N118" s="154">
        <f t="shared" si="2"/>
        <v>9558.0496000000003</v>
      </c>
      <c r="O118" s="167">
        <f t="shared" si="3"/>
        <v>0</v>
      </c>
      <c r="P118" s="293">
        <f t="shared" si="5"/>
        <v>0</v>
      </c>
      <c r="Q118" s="288">
        <f t="shared" si="4"/>
        <v>0.01</v>
      </c>
      <c r="R118" s="289"/>
      <c r="S118" s="289"/>
      <c r="T118" s="155"/>
      <c r="U118" s="163"/>
      <c r="V118" s="164"/>
      <c r="W118" s="163"/>
      <c r="X118" s="164"/>
      <c r="Y118" s="155"/>
      <c r="Z118" s="155"/>
      <c r="AA118" s="155"/>
      <c r="AB118" s="155"/>
      <c r="AC118" s="155"/>
      <c r="AD118" s="155"/>
      <c r="AE118" s="155"/>
      <c r="AF118" s="156"/>
      <c r="AG118" s="156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70"/>
      <c r="B119" s="170"/>
      <c r="C119" s="170"/>
      <c r="D119" s="170"/>
      <c r="E119" s="167"/>
      <c r="F119" s="170"/>
      <c r="G119" s="170"/>
      <c r="H119" s="170"/>
      <c r="I119" s="170"/>
      <c r="J119" s="170"/>
      <c r="K119" s="179"/>
      <c r="L119" s="171"/>
      <c r="M119" s="170"/>
      <c r="N119" s="154">
        <f t="shared" si="2"/>
        <v>0</v>
      </c>
      <c r="O119" s="167">
        <f t="shared" si="3"/>
        <v>0</v>
      </c>
      <c r="P119" s="293">
        <f t="shared" si="5"/>
        <v>0</v>
      </c>
      <c r="Q119" s="288">
        <f t="shared" si="4"/>
        <v>0.01</v>
      </c>
      <c r="R119" s="289"/>
      <c r="S119" s="289"/>
      <c r="T119" s="155"/>
      <c r="U119" s="163"/>
      <c r="V119" s="164"/>
      <c r="W119" s="163"/>
      <c r="X119" s="164"/>
      <c r="Y119" s="155"/>
      <c r="Z119" s="155"/>
      <c r="AA119" s="155"/>
      <c r="AB119" s="155"/>
      <c r="AC119" s="155"/>
      <c r="AD119" s="155"/>
      <c r="AE119" s="155"/>
      <c r="AF119" s="156"/>
      <c r="AG119" s="156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70"/>
      <c r="B120" s="170"/>
      <c r="C120" s="170"/>
      <c r="D120" s="170"/>
      <c r="E120" s="167"/>
      <c r="F120" s="170"/>
      <c r="G120" s="170"/>
      <c r="H120" s="170"/>
      <c r="I120" s="170"/>
      <c r="J120" s="170"/>
      <c r="K120" s="179"/>
      <c r="L120" s="171"/>
      <c r="M120" s="170"/>
      <c r="N120" s="154">
        <f t="shared" si="2"/>
        <v>0</v>
      </c>
      <c r="O120" s="167">
        <f t="shared" si="3"/>
        <v>0</v>
      </c>
      <c r="P120" s="293">
        <f t="shared" si="5"/>
        <v>0</v>
      </c>
      <c r="Q120" s="288">
        <f t="shared" si="4"/>
        <v>0.01</v>
      </c>
      <c r="R120" s="289"/>
      <c r="S120" s="289"/>
      <c r="T120" s="155"/>
      <c r="U120" s="163"/>
      <c r="V120" s="164"/>
      <c r="W120" s="163"/>
      <c r="X120" s="164"/>
      <c r="Y120" s="155"/>
      <c r="Z120" s="155"/>
      <c r="AA120" s="155"/>
      <c r="AB120" s="155"/>
      <c r="AC120" s="155"/>
      <c r="AD120" s="155"/>
      <c r="AE120" s="155"/>
      <c r="AF120" s="156"/>
      <c r="AG120" s="156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70"/>
      <c r="B121" s="170"/>
      <c r="C121" s="170"/>
      <c r="D121" s="179"/>
      <c r="E121" s="167"/>
      <c r="F121" s="180"/>
      <c r="G121" s="180"/>
      <c r="H121" s="170"/>
      <c r="I121" s="170"/>
      <c r="J121" s="170"/>
      <c r="K121" s="179"/>
      <c r="L121" s="171"/>
      <c r="M121" s="170"/>
      <c r="N121" s="154">
        <f t="shared" si="2"/>
        <v>1688.6904</v>
      </c>
      <c r="O121" s="167">
        <f t="shared" si="3"/>
        <v>0</v>
      </c>
      <c r="P121" s="293">
        <f t="shared" si="5"/>
        <v>0</v>
      </c>
      <c r="Q121" s="288">
        <f t="shared" si="4"/>
        <v>0.01</v>
      </c>
      <c r="R121" s="289"/>
      <c r="S121" s="289"/>
      <c r="T121" s="155"/>
      <c r="U121" s="163"/>
      <c r="V121" s="164"/>
      <c r="W121" s="163"/>
      <c r="X121" s="164"/>
      <c r="Y121" s="155"/>
      <c r="Z121" s="155"/>
      <c r="AA121" s="155"/>
      <c r="AB121" s="155"/>
      <c r="AC121" s="155"/>
      <c r="AD121" s="155"/>
      <c r="AE121" s="155"/>
      <c r="AF121" s="156"/>
      <c r="AG121" s="156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70"/>
      <c r="B122" s="170"/>
      <c r="C122" s="170"/>
      <c r="D122" s="170"/>
      <c r="E122" s="167"/>
      <c r="F122" s="170"/>
      <c r="G122" s="170"/>
      <c r="H122" s="170"/>
      <c r="I122" s="170"/>
      <c r="J122" s="170"/>
      <c r="K122" s="179"/>
      <c r="L122" s="171"/>
      <c r="M122" s="170"/>
      <c r="N122" s="154">
        <f t="shared" si="2"/>
        <v>0</v>
      </c>
      <c r="O122" s="167">
        <f t="shared" si="3"/>
        <v>0</v>
      </c>
      <c r="P122" s="293">
        <f t="shared" si="5"/>
        <v>0</v>
      </c>
      <c r="Q122" s="288">
        <f t="shared" si="4"/>
        <v>0.01</v>
      </c>
      <c r="R122" s="289"/>
      <c r="S122" s="289"/>
      <c r="T122" s="155"/>
      <c r="U122" s="163"/>
      <c r="V122" s="164"/>
      <c r="W122" s="163"/>
      <c r="X122" s="164"/>
      <c r="Y122" s="155"/>
      <c r="Z122" s="155"/>
      <c r="AA122" s="155"/>
      <c r="AB122" s="155"/>
      <c r="AC122" s="155"/>
      <c r="AD122" s="155"/>
      <c r="AE122" s="155"/>
      <c r="AF122" s="156"/>
      <c r="AG122" s="156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70"/>
      <c r="B123" s="170"/>
      <c r="C123" s="170"/>
      <c r="D123" s="179"/>
      <c r="E123" s="167"/>
      <c r="F123" s="180"/>
      <c r="G123" s="179"/>
      <c r="H123" s="170"/>
      <c r="I123" s="170"/>
      <c r="J123" s="170"/>
      <c r="K123" s="179"/>
      <c r="L123" s="171"/>
      <c r="M123" s="170"/>
      <c r="N123" s="154">
        <f t="shared" si="2"/>
        <v>11473.344999999999</v>
      </c>
      <c r="O123" s="167">
        <f t="shared" si="3"/>
        <v>0</v>
      </c>
      <c r="P123" s="293">
        <f t="shared" si="5"/>
        <v>0</v>
      </c>
      <c r="Q123" s="288">
        <f t="shared" si="4"/>
        <v>0.01</v>
      </c>
      <c r="R123" s="289"/>
      <c r="S123" s="289"/>
      <c r="T123" s="155"/>
      <c r="U123" s="163"/>
      <c r="V123" s="164"/>
      <c r="W123" s="163"/>
      <c r="X123" s="164"/>
      <c r="Y123" s="155"/>
      <c r="Z123" s="155"/>
      <c r="AA123" s="155"/>
      <c r="AB123" s="155"/>
      <c r="AC123" s="155"/>
      <c r="AD123" s="155"/>
      <c r="AE123" s="155"/>
      <c r="AF123" s="156"/>
      <c r="AG123" s="156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70"/>
      <c r="B124" s="170"/>
      <c r="C124" s="170"/>
      <c r="D124" s="170"/>
      <c r="E124" s="167"/>
      <c r="F124" s="170"/>
      <c r="G124" s="170"/>
      <c r="H124" s="170"/>
      <c r="I124" s="170"/>
      <c r="J124" s="170"/>
      <c r="K124" s="179"/>
      <c r="L124" s="171"/>
      <c r="M124" s="170"/>
      <c r="N124" s="154">
        <f t="shared" si="2"/>
        <v>0</v>
      </c>
      <c r="O124" s="167">
        <f t="shared" si="3"/>
        <v>0</v>
      </c>
      <c r="P124" s="293">
        <f t="shared" si="5"/>
        <v>0</v>
      </c>
      <c r="Q124" s="288">
        <f t="shared" si="4"/>
        <v>0.01</v>
      </c>
      <c r="R124" s="289"/>
      <c r="S124" s="289"/>
      <c r="T124" s="155"/>
      <c r="U124" s="163"/>
      <c r="V124" s="164"/>
      <c r="W124" s="163"/>
      <c r="X124" s="164"/>
      <c r="Y124" s="155"/>
      <c r="Z124" s="155"/>
      <c r="AA124" s="155"/>
      <c r="AB124" s="155"/>
      <c r="AC124" s="155"/>
      <c r="AD124" s="155"/>
      <c r="AE124" s="155"/>
      <c r="AF124" s="156"/>
      <c r="AG124" s="156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70"/>
      <c r="B125" s="170"/>
      <c r="C125" s="170"/>
      <c r="D125" s="179"/>
      <c r="E125" s="167"/>
      <c r="F125" s="180"/>
      <c r="G125" s="170"/>
      <c r="H125" s="170"/>
      <c r="I125" s="170"/>
      <c r="J125" s="170"/>
      <c r="K125" s="179"/>
      <c r="L125" s="171"/>
      <c r="M125" s="170"/>
      <c r="N125" s="154">
        <f t="shared" si="2"/>
        <v>0</v>
      </c>
      <c r="O125" s="167">
        <f t="shared" si="3"/>
        <v>0</v>
      </c>
      <c r="P125" s="293">
        <f t="shared" si="5"/>
        <v>0</v>
      </c>
      <c r="Q125" s="288">
        <f t="shared" si="4"/>
        <v>0.01</v>
      </c>
      <c r="R125" s="289"/>
      <c r="S125" s="289"/>
      <c r="T125" s="155"/>
      <c r="U125" s="163"/>
      <c r="V125" s="164"/>
      <c r="W125" s="163"/>
      <c r="X125" s="164"/>
      <c r="Y125" s="155"/>
      <c r="Z125" s="155"/>
      <c r="AA125" s="155"/>
      <c r="AB125" s="155"/>
      <c r="AC125" s="155"/>
      <c r="AD125" s="155"/>
      <c r="AE125" s="155"/>
      <c r="AF125" s="156"/>
      <c r="AG125" s="156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70"/>
      <c r="B126" s="170"/>
      <c r="C126" s="170"/>
      <c r="D126" s="170"/>
      <c r="E126" s="167"/>
      <c r="F126" s="170"/>
      <c r="G126" s="170"/>
      <c r="H126" s="170"/>
      <c r="I126" s="170"/>
      <c r="J126" s="170"/>
      <c r="K126" s="179"/>
      <c r="L126" s="171"/>
      <c r="M126" s="170"/>
      <c r="N126" s="154">
        <f t="shared" si="2"/>
        <v>0</v>
      </c>
      <c r="O126" s="167">
        <f>IF(D60&gt;1,D60/100,D60)</f>
        <v>0</v>
      </c>
      <c r="P126" s="293">
        <f t="shared" si="5"/>
        <v>0</v>
      </c>
      <c r="Q126" s="288">
        <f t="shared" si="4"/>
        <v>0.01</v>
      </c>
      <c r="R126" s="289"/>
      <c r="S126" s="289"/>
      <c r="T126" s="155"/>
      <c r="U126" s="163"/>
      <c r="V126" s="164"/>
      <c r="W126" s="163"/>
      <c r="X126" s="164"/>
      <c r="Y126" s="155"/>
      <c r="Z126" s="155"/>
      <c r="AA126" s="155"/>
      <c r="AB126" s="155"/>
      <c r="AC126" s="155"/>
      <c r="AD126" s="155"/>
      <c r="AE126" s="155"/>
      <c r="AF126" s="156"/>
      <c r="AG126" s="156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70"/>
      <c r="B127" s="170"/>
      <c r="C127" s="170"/>
      <c r="D127" s="170"/>
      <c r="E127" s="167"/>
      <c r="F127" s="170"/>
      <c r="G127" s="170"/>
      <c r="H127" s="170"/>
      <c r="I127" s="170"/>
      <c r="J127" s="170"/>
      <c r="K127" s="170"/>
      <c r="L127" s="170"/>
      <c r="M127" s="170"/>
      <c r="N127" s="154"/>
      <c r="O127" s="167"/>
      <c r="P127" s="167"/>
      <c r="Q127" s="154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8"/>
      <c r="AD127" s="168"/>
      <c r="AE127" s="168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70"/>
      <c r="B128" s="170"/>
      <c r="C128" s="170"/>
      <c r="D128" s="170"/>
      <c r="E128" s="167"/>
      <c r="F128" s="170"/>
      <c r="G128" s="170"/>
      <c r="H128" s="170"/>
      <c r="I128" s="170"/>
      <c r="J128" s="170"/>
      <c r="K128" s="170"/>
      <c r="L128" s="170"/>
      <c r="M128" s="170"/>
      <c r="N128" s="154"/>
      <c r="O128" s="167"/>
      <c r="P128" s="167"/>
      <c r="Q128" s="154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70"/>
      <c r="B129" s="170"/>
      <c r="C129" s="170"/>
      <c r="D129" s="170"/>
      <c r="E129" s="167"/>
      <c r="F129" s="170"/>
      <c r="G129" s="170"/>
      <c r="H129" s="170"/>
      <c r="I129" s="170"/>
      <c r="J129" s="170"/>
      <c r="K129" s="433"/>
      <c r="L129" s="433"/>
      <c r="M129" s="170"/>
      <c r="N129" s="169"/>
      <c r="O129" s="290"/>
      <c r="P129" s="167"/>
      <c r="Q129" s="154"/>
      <c r="R129" s="291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70"/>
      <c r="B130" s="170"/>
      <c r="C130" s="170"/>
      <c r="D130" s="170"/>
      <c r="E130" s="167"/>
      <c r="F130" s="170"/>
      <c r="G130" s="170"/>
      <c r="H130" s="170"/>
      <c r="I130" s="170"/>
      <c r="J130" s="170"/>
      <c r="K130" s="182"/>
      <c r="L130" s="182"/>
      <c r="M130" s="170"/>
      <c r="N130" s="169"/>
      <c r="O130" s="290"/>
      <c r="P130" s="167"/>
      <c r="Q130" s="154"/>
      <c r="R130" s="291"/>
      <c r="S130" s="291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8"/>
      <c r="AD130" s="168"/>
      <c r="AE130" s="168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70"/>
      <c r="B131" s="170"/>
      <c r="C131" s="170"/>
      <c r="D131" s="170"/>
      <c r="E131" s="167"/>
      <c r="F131" s="170"/>
      <c r="G131" s="170"/>
      <c r="H131" s="170"/>
      <c r="I131" s="170"/>
      <c r="J131" s="170"/>
      <c r="K131" s="170"/>
      <c r="L131" s="170"/>
      <c r="M131" s="170"/>
      <c r="N131" s="166"/>
      <c r="O131" s="167"/>
      <c r="P131" s="167"/>
      <c r="Q131" s="154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8"/>
      <c r="AD131" s="168"/>
      <c r="AE131" s="168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70"/>
      <c r="B132" s="170"/>
      <c r="C132" s="170"/>
      <c r="D132" s="170"/>
      <c r="E132" s="167"/>
      <c r="F132" s="170"/>
      <c r="G132" s="170"/>
      <c r="H132" s="170"/>
      <c r="I132" s="170"/>
      <c r="J132" s="170"/>
      <c r="K132" s="170"/>
      <c r="L132" s="170"/>
      <c r="M132" s="170"/>
      <c r="N132" s="166"/>
      <c r="O132" s="167"/>
      <c r="P132" s="154"/>
      <c r="Q132" s="154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8"/>
      <c r="AD132" s="168"/>
      <c r="AE132" s="168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70"/>
      <c r="B133" s="170"/>
      <c r="C133" s="170"/>
      <c r="D133" s="170"/>
      <c r="E133" s="167"/>
      <c r="F133" s="170"/>
      <c r="G133" s="170"/>
      <c r="H133" s="170"/>
      <c r="I133" s="170"/>
      <c r="J133" s="170"/>
      <c r="K133" s="170"/>
      <c r="L133" s="170"/>
      <c r="M133" s="170"/>
      <c r="N133" s="166"/>
      <c r="O133" s="167"/>
      <c r="P133" s="154"/>
      <c r="Q133" s="154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8"/>
      <c r="AD133" s="168"/>
      <c r="AE133" s="168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54"/>
      <c r="B134" s="154"/>
      <c r="C134" s="154"/>
      <c r="D134" s="154"/>
      <c r="E134" s="167"/>
      <c r="F134" s="154"/>
      <c r="G134" s="154"/>
      <c r="H134" s="154"/>
      <c r="I134" s="154"/>
      <c r="J134" s="154"/>
      <c r="K134" s="154"/>
      <c r="L134" s="154"/>
      <c r="M134" s="154"/>
      <c r="N134" s="166"/>
      <c r="O134" s="167"/>
      <c r="P134" s="154"/>
      <c r="Q134" s="154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8"/>
      <c r="AD134" s="168"/>
      <c r="AE134" s="168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54"/>
      <c r="B135" s="154"/>
      <c r="C135" s="154"/>
      <c r="D135" s="154"/>
      <c r="E135" s="167"/>
      <c r="F135" s="154"/>
      <c r="G135" s="154"/>
      <c r="H135" s="154"/>
      <c r="I135" s="154"/>
      <c r="J135" s="154"/>
      <c r="K135" s="154"/>
      <c r="L135" s="154"/>
      <c r="M135" s="154"/>
      <c r="N135" s="166"/>
      <c r="O135" s="167"/>
      <c r="P135" s="154"/>
      <c r="Q135" s="154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8"/>
      <c r="AD135" s="168"/>
      <c r="AE135" s="168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54"/>
      <c r="B136" s="154"/>
      <c r="C136" s="154"/>
      <c r="D136" s="154"/>
      <c r="E136" s="167"/>
      <c r="F136" s="154"/>
      <c r="G136" s="154"/>
      <c r="H136" s="154"/>
      <c r="I136" s="154"/>
      <c r="J136" s="154"/>
      <c r="K136" s="154"/>
      <c r="L136" s="154"/>
      <c r="M136" s="154"/>
      <c r="N136" s="166"/>
      <c r="O136" s="167"/>
      <c r="P136" s="154"/>
      <c r="Q136" s="154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54"/>
      <c r="B137" s="154"/>
      <c r="C137" s="154"/>
      <c r="D137" s="154"/>
      <c r="E137" s="167"/>
      <c r="F137" s="154"/>
      <c r="G137" s="154"/>
      <c r="H137" s="154"/>
      <c r="I137" s="154"/>
      <c r="J137" s="154"/>
      <c r="K137" s="154"/>
      <c r="L137" s="154"/>
      <c r="M137" s="154"/>
      <c r="N137" s="166"/>
      <c r="O137" s="167"/>
      <c r="P137" s="154"/>
      <c r="Q137" s="154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54"/>
      <c r="B138" s="154"/>
      <c r="C138" s="154"/>
      <c r="D138" s="154"/>
      <c r="E138" s="167"/>
      <c r="F138" s="154"/>
      <c r="G138" s="154"/>
      <c r="H138" s="154"/>
      <c r="I138" s="154"/>
      <c r="J138" s="154"/>
      <c r="K138" s="154"/>
      <c r="L138" s="154"/>
      <c r="M138" s="154"/>
      <c r="N138" s="166"/>
      <c r="O138" s="167"/>
      <c r="P138" s="154"/>
      <c r="Q138" s="154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54"/>
      <c r="B139" s="154"/>
      <c r="C139" s="154"/>
      <c r="D139" s="154"/>
      <c r="E139" s="167"/>
      <c r="F139" s="154"/>
      <c r="G139" s="154"/>
      <c r="H139" s="154"/>
      <c r="I139" s="154"/>
      <c r="J139" s="154"/>
      <c r="K139" s="154"/>
      <c r="L139" s="154"/>
      <c r="M139" s="154"/>
      <c r="N139" s="166"/>
      <c r="O139" s="167"/>
      <c r="P139" s="154"/>
      <c r="Q139" s="154"/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8"/>
      <c r="AD139" s="168"/>
      <c r="AE139" s="168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54"/>
      <c r="B140" s="154"/>
      <c r="C140" s="154"/>
      <c r="D140" s="154"/>
      <c r="E140" s="167"/>
      <c r="F140" s="154"/>
      <c r="G140" s="154"/>
      <c r="H140" s="154"/>
      <c r="I140" s="154"/>
      <c r="J140" s="154"/>
      <c r="K140" s="154"/>
      <c r="L140" s="154"/>
      <c r="M140" s="154"/>
      <c r="N140" s="166"/>
      <c r="O140" s="167"/>
      <c r="P140" s="154"/>
      <c r="Q140" s="154"/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54"/>
      <c r="B141" s="154"/>
      <c r="C141" s="154"/>
      <c r="D141" s="154"/>
      <c r="E141" s="167"/>
      <c r="F141" s="154"/>
      <c r="G141" s="154"/>
      <c r="H141" s="154"/>
      <c r="I141" s="154"/>
      <c r="J141" s="154"/>
      <c r="K141" s="154"/>
      <c r="L141" s="154"/>
      <c r="M141" s="154"/>
      <c r="N141" s="166"/>
      <c r="O141" s="167"/>
      <c r="P141" s="154"/>
      <c r="Q141" s="154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8"/>
      <c r="AD141" s="168"/>
      <c r="AE141" s="168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54"/>
      <c r="B142" s="154"/>
      <c r="C142" s="154"/>
      <c r="D142" s="154"/>
      <c r="E142" s="167"/>
      <c r="F142" s="154"/>
      <c r="G142" s="154"/>
      <c r="H142" s="154"/>
      <c r="I142" s="154"/>
      <c r="J142" s="154"/>
      <c r="K142" s="154"/>
      <c r="L142" s="154"/>
      <c r="M142" s="154"/>
      <c r="N142" s="166"/>
      <c r="O142" s="167"/>
      <c r="P142" s="154"/>
      <c r="Q142" s="154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168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54"/>
      <c r="B143" s="154"/>
      <c r="C143" s="154"/>
      <c r="D143" s="154"/>
      <c r="E143" s="167"/>
      <c r="F143" s="154"/>
      <c r="G143" s="154"/>
      <c r="H143" s="154"/>
      <c r="I143" s="154"/>
      <c r="J143" s="154"/>
      <c r="K143" s="154"/>
      <c r="L143" s="154"/>
      <c r="M143" s="154"/>
      <c r="N143" s="166"/>
      <c r="O143" s="167"/>
      <c r="P143" s="154"/>
      <c r="Q143" s="154"/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8"/>
      <c r="AD143" s="168"/>
      <c r="AE143" s="168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54"/>
      <c r="B144" s="154"/>
      <c r="C144" s="154"/>
      <c r="D144" s="154"/>
      <c r="E144" s="167"/>
      <c r="F144" s="154"/>
      <c r="G144" s="154"/>
      <c r="H144" s="154"/>
      <c r="I144" s="154"/>
      <c r="J144" s="154"/>
      <c r="K144" s="154"/>
      <c r="L144" s="154"/>
      <c r="M144" s="154"/>
      <c r="N144" s="166"/>
      <c r="O144" s="167"/>
      <c r="P144" s="154"/>
      <c r="Q144" s="154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8"/>
      <c r="AD144" s="168"/>
      <c r="AE144" s="168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54"/>
      <c r="B145" s="154"/>
      <c r="C145" s="154"/>
      <c r="D145" s="154"/>
      <c r="E145" s="167"/>
      <c r="F145" s="154"/>
      <c r="G145" s="154"/>
      <c r="H145" s="154"/>
      <c r="I145" s="154"/>
      <c r="J145" s="154"/>
      <c r="K145" s="154"/>
      <c r="L145" s="154"/>
      <c r="M145" s="154"/>
      <c r="N145" s="166"/>
      <c r="O145" s="167"/>
      <c r="P145" s="154"/>
      <c r="Q145" s="154"/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8"/>
      <c r="AD145" s="168"/>
      <c r="AE145" s="168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54"/>
      <c r="B146" s="154"/>
      <c r="C146" s="154"/>
      <c r="D146" s="154"/>
      <c r="E146" s="167"/>
      <c r="F146" s="154"/>
      <c r="G146" s="154"/>
      <c r="H146" s="154"/>
      <c r="I146" s="154"/>
      <c r="J146" s="154"/>
      <c r="K146" s="154"/>
      <c r="L146" s="154"/>
      <c r="M146" s="154"/>
      <c r="N146" s="166"/>
      <c r="O146" s="167"/>
      <c r="P146" s="154"/>
      <c r="Q146" s="154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8"/>
      <c r="AD146" s="168"/>
      <c r="AE146" s="168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54"/>
      <c r="B147" s="154"/>
      <c r="C147" s="154"/>
      <c r="D147" s="154"/>
      <c r="E147" s="167"/>
      <c r="F147" s="154"/>
      <c r="G147" s="154"/>
      <c r="H147" s="154"/>
      <c r="I147" s="154"/>
      <c r="J147" s="154"/>
      <c r="K147" s="154"/>
      <c r="L147" s="154"/>
      <c r="M147" s="154"/>
      <c r="N147" s="166"/>
      <c r="O147" s="167"/>
      <c r="P147" s="154"/>
      <c r="Q147" s="154"/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54"/>
      <c r="B148" s="154"/>
      <c r="C148" s="154"/>
      <c r="D148" s="154"/>
      <c r="E148" s="167"/>
      <c r="F148" s="154"/>
      <c r="G148" s="154"/>
      <c r="H148" s="154"/>
      <c r="I148" s="154"/>
      <c r="J148" s="154"/>
      <c r="K148" s="154"/>
      <c r="L148" s="154"/>
      <c r="M148" s="154"/>
      <c r="N148" s="166"/>
      <c r="O148" s="167"/>
      <c r="P148" s="154"/>
      <c r="Q148" s="154"/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8"/>
      <c r="AD148" s="168"/>
      <c r="AE148" s="168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54"/>
      <c r="B149" s="154"/>
      <c r="C149" s="154"/>
      <c r="D149" s="154"/>
      <c r="E149" s="167"/>
      <c r="F149" s="154"/>
      <c r="G149" s="154"/>
      <c r="H149" s="154"/>
      <c r="I149" s="154"/>
      <c r="J149" s="154"/>
      <c r="K149" s="154"/>
      <c r="L149" s="154"/>
      <c r="M149" s="154"/>
      <c r="N149" s="166"/>
      <c r="O149" s="167"/>
      <c r="P149" s="154"/>
      <c r="Q149" s="154"/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54"/>
      <c r="B150" s="154"/>
      <c r="C150" s="154"/>
      <c r="D150" s="154"/>
      <c r="E150" s="167"/>
      <c r="F150" s="154"/>
      <c r="G150" s="154"/>
      <c r="H150" s="154"/>
      <c r="I150" s="154"/>
      <c r="J150" s="154"/>
      <c r="K150" s="154"/>
      <c r="L150" s="154"/>
      <c r="M150" s="154"/>
      <c r="N150" s="166"/>
      <c r="O150" s="167"/>
      <c r="P150" s="154"/>
      <c r="Q150" s="154"/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54"/>
      <c r="B151" s="154"/>
      <c r="C151" s="154"/>
      <c r="D151" s="154"/>
      <c r="E151" s="167"/>
      <c r="F151" s="154"/>
      <c r="G151" s="154"/>
      <c r="H151" s="154"/>
      <c r="I151" s="154"/>
      <c r="J151" s="154"/>
      <c r="K151" s="154"/>
      <c r="L151" s="154"/>
      <c r="M151" s="154"/>
      <c r="N151" s="166"/>
      <c r="O151" s="167"/>
      <c r="P151" s="154"/>
      <c r="Q151" s="154"/>
      <c r="R151" s="168"/>
      <c r="S151" s="168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54"/>
      <c r="B152" s="154"/>
      <c r="C152" s="154"/>
      <c r="D152" s="154"/>
      <c r="E152" s="167"/>
      <c r="F152" s="154"/>
      <c r="G152" s="154"/>
      <c r="H152" s="154"/>
      <c r="I152" s="154"/>
      <c r="J152" s="154"/>
      <c r="K152" s="154"/>
      <c r="L152" s="154"/>
      <c r="M152" s="154"/>
      <c r="N152" s="166"/>
      <c r="O152" s="167"/>
      <c r="P152" s="154"/>
      <c r="Q152" s="154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54"/>
      <c r="B153" s="154"/>
      <c r="C153" s="154"/>
      <c r="D153" s="154"/>
      <c r="E153" s="167"/>
      <c r="F153" s="154"/>
      <c r="G153" s="154"/>
      <c r="H153" s="154"/>
      <c r="I153" s="154"/>
      <c r="J153" s="154"/>
      <c r="K153" s="154"/>
      <c r="L153" s="154"/>
      <c r="M153" s="154"/>
      <c r="N153" s="166"/>
      <c r="O153" s="167"/>
      <c r="P153" s="154"/>
      <c r="Q153" s="154"/>
      <c r="R153" s="168"/>
      <c r="S153" s="168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8"/>
      <c r="AD153" s="168"/>
      <c r="AE153" s="168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54"/>
      <c r="B154" s="154"/>
      <c r="C154" s="154"/>
      <c r="D154" s="154"/>
      <c r="E154" s="167"/>
      <c r="F154" s="154"/>
      <c r="G154" s="154"/>
      <c r="H154" s="154"/>
      <c r="I154" s="154"/>
      <c r="J154" s="154"/>
      <c r="K154" s="154"/>
      <c r="L154" s="154"/>
      <c r="M154" s="154"/>
      <c r="N154" s="166"/>
      <c r="O154" s="167"/>
      <c r="P154" s="154"/>
      <c r="Q154" s="154"/>
      <c r="R154" s="168"/>
      <c r="S154" s="168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8"/>
      <c r="AD154" s="168"/>
      <c r="AE154" s="168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54"/>
      <c r="B155" s="154"/>
      <c r="C155" s="154"/>
      <c r="D155" s="154"/>
      <c r="E155" s="167"/>
      <c r="F155" s="154"/>
      <c r="G155" s="154"/>
      <c r="H155" s="154"/>
      <c r="I155" s="154"/>
      <c r="J155" s="154"/>
      <c r="K155" s="154"/>
      <c r="L155" s="154"/>
      <c r="M155" s="154"/>
      <c r="N155" s="166"/>
      <c r="O155" s="167"/>
      <c r="P155" s="154"/>
      <c r="Q155" s="154"/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8"/>
      <c r="AD155" s="168"/>
      <c r="AE155" s="168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54"/>
      <c r="B156" s="154"/>
      <c r="C156" s="154"/>
      <c r="D156" s="154"/>
      <c r="E156" s="167"/>
      <c r="F156" s="154"/>
      <c r="G156" s="154"/>
      <c r="H156" s="154"/>
      <c r="I156" s="154"/>
      <c r="J156" s="154"/>
      <c r="K156" s="154"/>
      <c r="L156" s="154"/>
      <c r="M156" s="154"/>
      <c r="N156" s="166"/>
      <c r="O156" s="167"/>
      <c r="P156" s="154"/>
      <c r="Q156" s="154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54"/>
      <c r="B157" s="154"/>
      <c r="C157" s="154"/>
      <c r="D157" s="154"/>
      <c r="E157" s="167"/>
      <c r="F157" s="154"/>
      <c r="G157" s="154"/>
      <c r="H157" s="154"/>
      <c r="I157" s="154"/>
      <c r="J157" s="154"/>
      <c r="K157" s="154"/>
      <c r="L157" s="154"/>
      <c r="M157" s="154"/>
      <c r="N157" s="166"/>
      <c r="O157" s="167"/>
      <c r="P157" s="154"/>
      <c r="Q157" s="154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54"/>
      <c r="B158" s="154"/>
      <c r="C158" s="154"/>
      <c r="D158" s="154"/>
      <c r="E158" s="167"/>
      <c r="F158" s="154"/>
      <c r="G158" s="154"/>
      <c r="H158" s="154"/>
      <c r="I158" s="154"/>
      <c r="J158" s="154"/>
      <c r="K158" s="154"/>
      <c r="L158" s="154"/>
      <c r="M158" s="154"/>
      <c r="N158" s="166"/>
      <c r="O158" s="167"/>
      <c r="P158" s="154"/>
      <c r="Q158" s="154"/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8"/>
      <c r="AD158" s="168"/>
      <c r="AE158" s="168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54"/>
      <c r="B159" s="154"/>
      <c r="C159" s="154"/>
      <c r="D159" s="154"/>
      <c r="E159" s="167"/>
      <c r="F159" s="154"/>
      <c r="G159" s="154"/>
      <c r="H159" s="154"/>
      <c r="I159" s="154"/>
      <c r="J159" s="154"/>
      <c r="K159" s="154"/>
      <c r="L159" s="154"/>
      <c r="M159" s="154"/>
      <c r="N159" s="166"/>
      <c r="O159" s="167"/>
      <c r="P159" s="154"/>
      <c r="Q159" s="154"/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8"/>
      <c r="AD159" s="168"/>
      <c r="AE159" s="168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54"/>
      <c r="B160" s="154"/>
      <c r="C160" s="154"/>
      <c r="D160" s="154"/>
      <c r="E160" s="167"/>
      <c r="F160" s="154"/>
      <c r="G160" s="154"/>
      <c r="H160" s="154"/>
      <c r="I160" s="154"/>
      <c r="J160" s="154"/>
      <c r="K160" s="154"/>
      <c r="L160" s="154"/>
      <c r="M160" s="154"/>
      <c r="N160" s="166"/>
      <c r="O160" s="167"/>
      <c r="P160" s="154"/>
      <c r="Q160" s="154"/>
      <c r="R160" s="168"/>
      <c r="S160" s="168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8"/>
      <c r="AD160" s="168"/>
      <c r="AE160" s="168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54"/>
      <c r="B161" s="154"/>
      <c r="C161" s="154"/>
      <c r="D161" s="154"/>
      <c r="E161" s="167"/>
      <c r="F161" s="154"/>
      <c r="G161" s="154"/>
      <c r="H161" s="154"/>
      <c r="I161" s="154"/>
      <c r="J161" s="154"/>
      <c r="K161" s="154"/>
      <c r="L161" s="154"/>
      <c r="M161" s="154"/>
      <c r="N161" s="166"/>
      <c r="O161" s="167"/>
      <c r="P161" s="154"/>
      <c r="Q161" s="154"/>
      <c r="R161" s="168"/>
      <c r="S161" s="168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8"/>
      <c r="AD161" s="168"/>
      <c r="AE161" s="168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54"/>
      <c r="B162" s="154"/>
      <c r="C162" s="154"/>
      <c r="D162" s="154"/>
      <c r="E162" s="167"/>
      <c r="F162" s="154"/>
      <c r="G162" s="154"/>
      <c r="H162" s="154"/>
      <c r="I162" s="154"/>
      <c r="J162" s="154"/>
      <c r="K162" s="154"/>
      <c r="L162" s="154"/>
      <c r="M162" s="154"/>
      <c r="N162" s="166"/>
      <c r="O162" s="167"/>
      <c r="P162" s="154"/>
      <c r="Q162" s="154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8"/>
      <c r="AE162" s="168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54"/>
      <c r="B163" s="154"/>
      <c r="C163" s="154"/>
      <c r="D163" s="154"/>
      <c r="E163" s="167"/>
      <c r="F163" s="154"/>
      <c r="G163" s="154"/>
      <c r="H163" s="154"/>
      <c r="I163" s="154"/>
      <c r="J163" s="154"/>
      <c r="K163" s="154"/>
      <c r="L163" s="154"/>
      <c r="M163" s="154"/>
      <c r="N163" s="166"/>
      <c r="O163" s="167"/>
      <c r="P163" s="154"/>
      <c r="Q163" s="15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54"/>
      <c r="B164" s="154"/>
      <c r="C164" s="154"/>
      <c r="D164" s="154"/>
      <c r="E164" s="167"/>
      <c r="F164" s="154"/>
      <c r="G164" s="154"/>
      <c r="H164" s="154"/>
      <c r="I164" s="154"/>
      <c r="J164" s="154"/>
      <c r="K164" s="154"/>
      <c r="L164" s="154"/>
      <c r="M164" s="154"/>
      <c r="N164" s="166"/>
      <c r="O164" s="167"/>
      <c r="P164" s="154"/>
      <c r="Q164" s="15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54"/>
      <c r="B165" s="154"/>
      <c r="C165" s="154"/>
      <c r="D165" s="154"/>
      <c r="E165" s="167"/>
      <c r="F165" s="154"/>
      <c r="G165" s="154"/>
      <c r="H165" s="154"/>
      <c r="I165" s="154"/>
      <c r="J165" s="154"/>
      <c r="K165" s="154"/>
      <c r="L165" s="154"/>
      <c r="M165" s="154"/>
      <c r="N165" s="166"/>
      <c r="O165" s="167"/>
      <c r="P165" s="154"/>
      <c r="Q165" s="15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54"/>
      <c r="B166" s="154"/>
      <c r="C166" s="154"/>
      <c r="D166" s="154"/>
      <c r="E166" s="167"/>
      <c r="F166" s="154"/>
      <c r="G166" s="154"/>
      <c r="H166" s="154"/>
      <c r="I166" s="154"/>
      <c r="J166" s="154"/>
      <c r="K166" s="154"/>
      <c r="L166" s="154"/>
      <c r="M166" s="154"/>
      <c r="N166" s="166"/>
      <c r="O166" s="167"/>
      <c r="P166" s="154"/>
      <c r="Q166" s="15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54"/>
      <c r="B167" s="154"/>
      <c r="C167" s="154"/>
      <c r="D167" s="154"/>
      <c r="E167" s="167"/>
      <c r="F167" s="154"/>
      <c r="G167" s="154"/>
      <c r="H167" s="154"/>
      <c r="I167" s="154"/>
      <c r="J167" s="154"/>
      <c r="K167" s="154"/>
      <c r="L167" s="154"/>
      <c r="M167" s="154"/>
      <c r="N167" s="166"/>
      <c r="O167" s="167"/>
      <c r="P167" s="154"/>
      <c r="Q167" s="15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54"/>
      <c r="B168" s="154"/>
      <c r="C168" s="154"/>
      <c r="D168" s="154"/>
      <c r="E168" s="167"/>
      <c r="F168" s="154"/>
      <c r="G168" s="154"/>
      <c r="H168" s="154"/>
      <c r="I168" s="154"/>
      <c r="J168" s="154"/>
      <c r="K168" s="154"/>
      <c r="L168" s="154"/>
      <c r="M168" s="154"/>
      <c r="N168" s="166"/>
      <c r="O168" s="167"/>
      <c r="P168" s="154"/>
      <c r="Q168" s="15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54"/>
      <c r="B169" s="154"/>
      <c r="C169" s="154"/>
      <c r="D169" s="154"/>
      <c r="E169" s="167"/>
      <c r="F169" s="154"/>
      <c r="G169" s="154"/>
      <c r="H169" s="154"/>
      <c r="I169" s="154"/>
      <c r="J169" s="154"/>
      <c r="K169" s="154"/>
      <c r="L169" s="154"/>
      <c r="M169" s="154"/>
      <c r="N169" s="166"/>
      <c r="O169" s="167"/>
      <c r="P169" s="154"/>
      <c r="Q169" s="15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54"/>
      <c r="B170" s="154"/>
      <c r="C170" s="154"/>
      <c r="D170" s="154"/>
      <c r="E170" s="167"/>
      <c r="F170" s="154"/>
      <c r="G170" s="154"/>
      <c r="H170" s="154"/>
      <c r="I170" s="154"/>
      <c r="J170" s="154"/>
      <c r="K170" s="154"/>
      <c r="L170" s="154"/>
      <c r="M170" s="154"/>
      <c r="N170" s="166"/>
      <c r="O170" s="167"/>
      <c r="P170" s="154"/>
      <c r="Q170" s="15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54"/>
      <c r="B171" s="154"/>
      <c r="C171" s="154"/>
      <c r="D171" s="154"/>
      <c r="E171" s="167"/>
      <c r="F171" s="154"/>
      <c r="G171" s="154"/>
      <c r="H171" s="154"/>
      <c r="I171" s="154"/>
      <c r="J171" s="154"/>
      <c r="K171" s="154"/>
      <c r="L171" s="154"/>
      <c r="M171" s="154"/>
      <c r="N171" s="166"/>
      <c r="O171" s="167"/>
      <c r="P171" s="154"/>
      <c r="Q171" s="15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54"/>
      <c r="B172" s="154"/>
      <c r="C172" s="154"/>
      <c r="D172" s="154"/>
      <c r="E172" s="167"/>
      <c r="F172" s="154"/>
      <c r="G172" s="154"/>
      <c r="H172" s="154"/>
      <c r="I172" s="154"/>
      <c r="J172" s="154"/>
      <c r="K172" s="154"/>
      <c r="L172" s="154"/>
      <c r="M172" s="154"/>
      <c r="N172" s="166"/>
      <c r="O172" s="167"/>
      <c r="P172" s="154"/>
      <c r="Q172" s="15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54"/>
      <c r="B173" s="154"/>
      <c r="C173" s="154"/>
      <c r="D173" s="154"/>
      <c r="E173" s="167"/>
      <c r="F173" s="154"/>
      <c r="G173" s="154"/>
      <c r="H173" s="154"/>
      <c r="I173" s="154"/>
      <c r="J173" s="154"/>
      <c r="K173" s="154"/>
      <c r="L173" s="154"/>
      <c r="M173" s="154"/>
      <c r="N173" s="166"/>
      <c r="O173" s="167"/>
      <c r="P173" s="154"/>
      <c r="Q173" s="15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54"/>
      <c r="B174" s="154"/>
      <c r="C174" s="154"/>
      <c r="D174" s="154"/>
      <c r="E174" s="167"/>
      <c r="F174" s="154"/>
      <c r="G174" s="154"/>
      <c r="H174" s="154"/>
      <c r="I174" s="154"/>
      <c r="J174" s="154"/>
      <c r="K174" s="154"/>
      <c r="L174" s="154"/>
      <c r="M174" s="154"/>
      <c r="N174" s="166"/>
      <c r="O174" s="167"/>
      <c r="P174" s="154"/>
      <c r="Q174" s="15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54"/>
      <c r="B175" s="154"/>
      <c r="C175" s="154"/>
      <c r="D175" s="154"/>
      <c r="E175" s="167"/>
      <c r="F175" s="154"/>
      <c r="G175" s="154"/>
      <c r="H175" s="154"/>
      <c r="I175" s="154"/>
      <c r="J175" s="154"/>
      <c r="K175" s="154"/>
      <c r="L175" s="154"/>
      <c r="M175" s="154"/>
      <c r="N175" s="166"/>
      <c r="O175" s="167"/>
      <c r="P175" s="154"/>
      <c r="Q175" s="15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54"/>
      <c r="B176" s="154"/>
      <c r="C176" s="154"/>
      <c r="D176" s="154"/>
      <c r="E176" s="167"/>
      <c r="F176" s="154"/>
      <c r="G176" s="154"/>
      <c r="H176" s="154"/>
      <c r="I176" s="154"/>
      <c r="J176" s="154"/>
      <c r="K176" s="154"/>
      <c r="L176" s="154"/>
      <c r="M176" s="154"/>
      <c r="N176" s="166"/>
      <c r="O176" s="167"/>
      <c r="P176" s="154"/>
      <c r="Q176" s="15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54"/>
      <c r="B177" s="154"/>
      <c r="C177" s="154"/>
      <c r="D177" s="154"/>
      <c r="E177" s="167"/>
      <c r="F177" s="154"/>
      <c r="G177" s="154"/>
      <c r="H177" s="154"/>
      <c r="I177" s="154"/>
      <c r="J177" s="154"/>
      <c r="K177" s="154"/>
      <c r="L177" s="154"/>
      <c r="M177" s="154"/>
      <c r="N177" s="166"/>
      <c r="O177" s="167"/>
      <c r="P177" s="154"/>
      <c r="Q177" s="15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54"/>
      <c r="B178" s="154"/>
      <c r="C178" s="154"/>
      <c r="D178" s="154"/>
      <c r="E178" s="167"/>
      <c r="F178" s="154"/>
      <c r="G178" s="154"/>
      <c r="H178" s="154"/>
      <c r="I178" s="154"/>
      <c r="J178" s="154"/>
      <c r="K178" s="154"/>
      <c r="L178" s="154"/>
      <c r="M178" s="154"/>
      <c r="N178" s="166"/>
      <c r="O178" s="167"/>
      <c r="P178" s="154"/>
      <c r="Q178" s="15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54"/>
      <c r="B179" s="154"/>
      <c r="C179" s="154"/>
      <c r="D179" s="154"/>
      <c r="E179" s="167"/>
      <c r="F179" s="154"/>
      <c r="G179" s="154"/>
      <c r="H179" s="154"/>
      <c r="I179" s="154"/>
      <c r="J179" s="154"/>
      <c r="K179" s="154"/>
      <c r="L179" s="154"/>
      <c r="M179" s="154"/>
      <c r="N179" s="166"/>
      <c r="O179" s="167"/>
      <c r="P179" s="154"/>
      <c r="Q179" s="15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54"/>
      <c r="B180" s="154"/>
      <c r="C180" s="154"/>
      <c r="D180" s="154"/>
      <c r="E180" s="167"/>
      <c r="F180" s="154"/>
      <c r="G180" s="154"/>
      <c r="H180" s="154"/>
      <c r="I180" s="154"/>
      <c r="J180" s="154"/>
      <c r="K180" s="154"/>
      <c r="L180" s="154"/>
      <c r="M180" s="154"/>
      <c r="N180" s="166"/>
      <c r="O180" s="167"/>
      <c r="P180" s="154"/>
      <c r="Q180" s="15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54"/>
      <c r="B181" s="154"/>
      <c r="C181" s="154"/>
      <c r="D181" s="154"/>
      <c r="E181" s="167"/>
      <c r="F181" s="154"/>
      <c r="G181" s="154"/>
      <c r="H181" s="154"/>
      <c r="I181" s="154"/>
      <c r="J181" s="154"/>
      <c r="K181" s="154"/>
      <c r="L181" s="154"/>
      <c r="M181" s="154"/>
      <c r="N181" s="166"/>
      <c r="O181" s="167"/>
      <c r="P181" s="154"/>
      <c r="Q181" s="15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54"/>
      <c r="B182" s="154"/>
      <c r="C182" s="154"/>
      <c r="D182" s="154"/>
      <c r="E182" s="167"/>
      <c r="F182" s="154"/>
      <c r="G182" s="154"/>
      <c r="H182" s="154"/>
      <c r="I182" s="154"/>
      <c r="J182" s="154"/>
      <c r="K182" s="154"/>
      <c r="L182" s="154"/>
      <c r="M182" s="154"/>
      <c r="N182" s="166"/>
      <c r="O182" s="167"/>
      <c r="P182" s="154"/>
      <c r="Q182" s="15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54"/>
      <c r="B183" s="154"/>
      <c r="C183" s="154"/>
      <c r="D183" s="154"/>
      <c r="E183" s="167"/>
      <c r="F183" s="154"/>
      <c r="G183" s="154"/>
      <c r="H183" s="154"/>
      <c r="I183" s="154"/>
      <c r="J183" s="154"/>
      <c r="K183" s="154"/>
      <c r="L183" s="154"/>
      <c r="M183" s="154"/>
      <c r="N183" s="166"/>
      <c r="O183" s="167"/>
      <c r="P183" s="154"/>
      <c r="Q183" s="15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54"/>
      <c r="B184" s="154"/>
      <c r="C184" s="154"/>
      <c r="D184" s="154"/>
      <c r="E184" s="167"/>
      <c r="F184" s="154"/>
      <c r="G184" s="154"/>
      <c r="H184" s="154"/>
      <c r="I184" s="154"/>
      <c r="J184" s="154"/>
      <c r="K184" s="154"/>
      <c r="L184" s="154"/>
      <c r="M184" s="154"/>
      <c r="N184" s="166"/>
      <c r="O184" s="167"/>
      <c r="P184" s="154"/>
      <c r="Q184" s="15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54"/>
      <c r="B185" s="154"/>
      <c r="C185" s="154"/>
      <c r="D185" s="154"/>
      <c r="E185" s="167"/>
      <c r="F185" s="154"/>
      <c r="G185" s="154"/>
      <c r="H185" s="154"/>
      <c r="I185" s="154"/>
      <c r="J185" s="154"/>
      <c r="K185" s="154"/>
      <c r="L185" s="154"/>
      <c r="M185" s="154"/>
      <c r="N185" s="166"/>
      <c r="O185" s="167"/>
      <c r="P185" s="154"/>
      <c r="Q185" s="15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54"/>
      <c r="B186" s="154"/>
      <c r="C186" s="154"/>
      <c r="D186" s="154"/>
      <c r="E186" s="167"/>
      <c r="F186" s="154"/>
      <c r="G186" s="154"/>
      <c r="H186" s="154"/>
      <c r="I186" s="154"/>
      <c r="J186" s="154"/>
      <c r="K186" s="154"/>
      <c r="L186" s="154"/>
      <c r="M186" s="154"/>
      <c r="N186" s="166"/>
      <c r="O186" s="167"/>
      <c r="P186" s="154"/>
      <c r="Q186" s="15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54"/>
      <c r="B187" s="154"/>
      <c r="C187" s="154"/>
      <c r="D187" s="154"/>
      <c r="E187" s="167"/>
      <c r="F187" s="154"/>
      <c r="G187" s="154"/>
      <c r="H187" s="154"/>
      <c r="I187" s="154"/>
      <c r="J187" s="154"/>
      <c r="K187" s="154"/>
      <c r="L187" s="154"/>
      <c r="M187" s="154"/>
      <c r="N187" s="166"/>
      <c r="O187" s="167"/>
      <c r="P187" s="154"/>
      <c r="Q187" s="15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54"/>
      <c r="B188" s="154"/>
      <c r="C188" s="154"/>
      <c r="D188" s="154"/>
      <c r="E188" s="167"/>
      <c r="F188" s="154"/>
      <c r="G188" s="154"/>
      <c r="H188" s="154"/>
      <c r="I188" s="154"/>
      <c r="J188" s="154"/>
      <c r="K188" s="154"/>
      <c r="L188" s="154"/>
      <c r="M188" s="154"/>
      <c r="N188" s="166"/>
      <c r="O188" s="167"/>
      <c r="P188" s="154"/>
      <c r="Q188" s="15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54"/>
      <c r="B189" s="154"/>
      <c r="C189" s="154"/>
      <c r="D189" s="154"/>
      <c r="E189" s="167"/>
      <c r="F189" s="154"/>
      <c r="G189" s="154"/>
      <c r="H189" s="154"/>
      <c r="I189" s="154"/>
      <c r="J189" s="154"/>
      <c r="K189" s="154"/>
      <c r="L189" s="154"/>
      <c r="M189" s="154"/>
      <c r="N189" s="166"/>
      <c r="O189" s="167"/>
      <c r="P189" s="154"/>
      <c r="Q189" s="15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54"/>
      <c r="B190" s="154"/>
      <c r="C190" s="154"/>
      <c r="D190" s="154"/>
      <c r="E190" s="167"/>
      <c r="F190" s="154"/>
      <c r="G190" s="154"/>
      <c r="H190" s="154"/>
      <c r="I190" s="154"/>
      <c r="J190" s="154"/>
      <c r="K190" s="154"/>
      <c r="L190" s="154"/>
      <c r="M190" s="154"/>
      <c r="N190" s="166"/>
      <c r="O190" s="167"/>
      <c r="P190" s="154"/>
      <c r="Q190" s="15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54"/>
      <c r="B191" s="154"/>
      <c r="C191" s="154"/>
      <c r="D191" s="154"/>
      <c r="E191" s="167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54"/>
      <c r="B192" s="154"/>
      <c r="C192" s="154"/>
      <c r="D192" s="154"/>
      <c r="E192" s="167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54"/>
      <c r="B193" s="154"/>
      <c r="C193" s="154"/>
      <c r="D193" s="154"/>
      <c r="E193" s="167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54"/>
      <c r="B194" s="154"/>
      <c r="C194" s="154"/>
      <c r="D194" s="154"/>
      <c r="E194" s="167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54"/>
      <c r="B195" s="154"/>
      <c r="C195" s="154"/>
      <c r="D195" s="154"/>
      <c r="E195" s="167"/>
      <c r="F195" s="154"/>
      <c r="G195" s="154"/>
      <c r="H195" s="154"/>
      <c r="I195" s="154"/>
      <c r="J195" s="154"/>
      <c r="K195" s="169"/>
      <c r="L195" s="169"/>
      <c r="M195" s="154"/>
      <c r="N195" s="154"/>
      <c r="O195" s="154"/>
      <c r="P195" s="154"/>
      <c r="Q195" s="15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54"/>
      <c r="B196" s="154"/>
      <c r="C196" s="154"/>
      <c r="D196" s="154"/>
      <c r="E196" s="167"/>
      <c r="F196" s="154"/>
      <c r="G196" s="154"/>
      <c r="H196" s="154"/>
      <c r="I196" s="154"/>
      <c r="J196" s="154"/>
      <c r="K196" s="169"/>
      <c r="L196" s="169"/>
      <c r="M196" s="154"/>
      <c r="N196" s="154"/>
      <c r="O196" s="154"/>
      <c r="P196" s="154"/>
      <c r="Q196" s="15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54"/>
      <c r="B197" s="154"/>
      <c r="C197" s="154"/>
      <c r="D197" s="154"/>
      <c r="E197" s="167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54"/>
      <c r="B198" s="154"/>
      <c r="C198" s="154"/>
      <c r="D198" s="154"/>
      <c r="E198" s="167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54"/>
      <c r="B199" s="154"/>
      <c r="C199" s="154"/>
      <c r="D199" s="154"/>
      <c r="E199" s="167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54"/>
      <c r="B200" s="154"/>
      <c r="C200" s="154"/>
      <c r="D200" s="154"/>
      <c r="E200" s="167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54"/>
      <c r="B201" s="154"/>
      <c r="C201" s="154"/>
      <c r="D201" s="154"/>
      <c r="E201" s="167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54"/>
      <c r="B202" s="154"/>
      <c r="C202" s="154"/>
      <c r="D202" s="154"/>
      <c r="E202" s="167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54"/>
      <c r="B203" s="154"/>
      <c r="C203" s="154"/>
      <c r="D203" s="154"/>
      <c r="E203" s="167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54"/>
      <c r="B204" s="154"/>
      <c r="C204" s="154"/>
      <c r="D204" s="154"/>
      <c r="E204" s="167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54"/>
      <c r="B205" s="154"/>
      <c r="C205" s="154"/>
      <c r="D205" s="154"/>
      <c r="E205" s="167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54"/>
      <c r="B206" s="154"/>
      <c r="C206" s="154"/>
      <c r="D206" s="154"/>
      <c r="E206" s="167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54"/>
      <c r="B207" s="154"/>
      <c r="C207" s="154"/>
      <c r="D207" s="154"/>
      <c r="E207" s="167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54"/>
      <c r="B208" s="154"/>
      <c r="C208" s="154"/>
      <c r="D208" s="154"/>
      <c r="E208" s="167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54"/>
      <c r="B209" s="154"/>
      <c r="C209" s="154"/>
      <c r="D209" s="154"/>
      <c r="E209" s="167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54"/>
      <c r="B210" s="154"/>
      <c r="C210" s="154"/>
      <c r="D210" s="154"/>
      <c r="E210" s="167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54"/>
      <c r="B211" s="154"/>
      <c r="C211" s="154"/>
      <c r="D211" s="154"/>
      <c r="E211" s="167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54"/>
      <c r="B212" s="154"/>
      <c r="C212" s="154"/>
      <c r="D212" s="154"/>
      <c r="E212" s="167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54"/>
      <c r="B213" s="154"/>
      <c r="C213" s="154"/>
      <c r="D213" s="154"/>
      <c r="E213" s="167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54"/>
      <c r="B214" s="154"/>
      <c r="C214" s="154"/>
      <c r="D214" s="154"/>
      <c r="E214" s="167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54"/>
      <c r="B215" s="154"/>
      <c r="C215" s="154"/>
      <c r="D215" s="154"/>
      <c r="E215" s="167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54"/>
      <c r="B216" s="154"/>
      <c r="C216" s="154"/>
      <c r="D216" s="154"/>
      <c r="E216" s="167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54"/>
      <c r="B217" s="154"/>
      <c r="C217" s="154"/>
      <c r="D217" s="154"/>
      <c r="E217" s="167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54"/>
      <c r="B218" s="154"/>
      <c r="C218" s="154"/>
      <c r="D218" s="154"/>
      <c r="E218" s="167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54"/>
      <c r="B219" s="154"/>
      <c r="C219" s="154"/>
      <c r="D219" s="154"/>
      <c r="E219" s="167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54"/>
      <c r="B220" s="154"/>
      <c r="C220" s="154"/>
      <c r="D220" s="154"/>
      <c r="E220" s="167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54"/>
      <c r="B221" s="154"/>
      <c r="C221" s="154"/>
      <c r="D221" s="154"/>
      <c r="E221" s="167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54"/>
      <c r="B222" s="154"/>
      <c r="C222" s="154"/>
      <c r="D222" s="154"/>
      <c r="E222" s="167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54"/>
      <c r="B223" s="154"/>
      <c r="C223" s="154"/>
      <c r="D223" s="154"/>
      <c r="E223" s="167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54"/>
      <c r="B224" s="154"/>
      <c r="C224" s="154"/>
      <c r="D224" s="154"/>
      <c r="E224" s="167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54"/>
      <c r="B225" s="154"/>
      <c r="C225" s="154"/>
      <c r="D225" s="154"/>
      <c r="E225" s="167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54"/>
      <c r="B226" s="154"/>
      <c r="C226" s="154"/>
      <c r="D226" s="154"/>
      <c r="E226" s="167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54"/>
      <c r="B227" s="154"/>
      <c r="C227" s="154"/>
      <c r="D227" s="154"/>
      <c r="E227" s="167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54"/>
      <c r="B228" s="154"/>
      <c r="C228" s="154"/>
      <c r="D228" s="154"/>
      <c r="E228" s="167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54"/>
      <c r="B229" s="154"/>
      <c r="C229" s="154"/>
      <c r="D229" s="154"/>
      <c r="E229" s="167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54"/>
      <c r="B230" s="154"/>
      <c r="C230" s="154"/>
      <c r="D230" s="154"/>
      <c r="E230" s="167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54"/>
      <c r="B231" s="154"/>
      <c r="C231" s="154"/>
      <c r="D231" s="154"/>
      <c r="E231" s="167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54"/>
      <c r="B232" s="154"/>
      <c r="C232" s="154"/>
      <c r="D232" s="154"/>
      <c r="E232" s="167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54"/>
      <c r="B233" s="154"/>
      <c r="C233" s="154"/>
      <c r="D233" s="154"/>
      <c r="E233" s="167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54"/>
      <c r="B234" s="154"/>
      <c r="C234" s="154"/>
      <c r="D234" s="154"/>
      <c r="E234" s="167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54"/>
      <c r="B235" s="154"/>
      <c r="C235" s="154"/>
      <c r="D235" s="154"/>
      <c r="E235" s="167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55"/>
      <c r="E236" s="163"/>
      <c r="F236" s="155"/>
      <c r="G236" s="155"/>
      <c r="H236" s="155"/>
      <c r="I236" s="155"/>
      <c r="J236" s="155"/>
      <c r="K236" s="155"/>
      <c r="L236" s="155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55"/>
      <c r="E237" s="163"/>
      <c r="F237" s="155"/>
      <c r="G237" s="155"/>
      <c r="H237" s="155"/>
      <c r="I237" s="155"/>
      <c r="J237" s="155"/>
      <c r="K237" s="155"/>
      <c r="L237" s="155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55"/>
      <c r="E238" s="163"/>
      <c r="F238" s="155"/>
      <c r="G238" s="155"/>
      <c r="H238" s="155"/>
      <c r="I238" s="155"/>
      <c r="J238" s="155"/>
      <c r="K238" s="155"/>
      <c r="L238" s="155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55"/>
      <c r="E239" s="163"/>
      <c r="F239" s="155"/>
      <c r="G239" s="155"/>
      <c r="H239" s="155"/>
      <c r="I239" s="155"/>
      <c r="J239" s="155"/>
      <c r="K239" s="155"/>
      <c r="L239" s="155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55"/>
      <c r="E240" s="163"/>
      <c r="F240" s="155"/>
      <c r="G240" s="155"/>
      <c r="H240" s="155"/>
      <c r="I240" s="155"/>
      <c r="J240" s="155"/>
      <c r="K240" s="155"/>
      <c r="L240" s="155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55"/>
      <c r="E241" s="163"/>
      <c r="F241" s="155"/>
      <c r="G241" s="155"/>
      <c r="H241" s="155"/>
      <c r="I241" s="155"/>
      <c r="J241" s="155"/>
      <c r="K241" s="155"/>
      <c r="L241" s="155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55"/>
      <c r="E242" s="163"/>
      <c r="F242" s="155"/>
      <c r="G242" s="155"/>
      <c r="H242" s="155"/>
      <c r="I242" s="155"/>
      <c r="J242" s="155"/>
      <c r="K242" s="155"/>
      <c r="L242" s="155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55"/>
      <c r="E243" s="163"/>
      <c r="F243" s="155"/>
      <c r="G243" s="155"/>
      <c r="H243" s="155"/>
      <c r="I243" s="155"/>
      <c r="J243" s="155"/>
      <c r="K243" s="155"/>
      <c r="L243" s="155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55"/>
      <c r="E244" s="163"/>
      <c r="F244" s="155"/>
      <c r="G244" s="155"/>
      <c r="H244" s="155"/>
      <c r="I244" s="155"/>
      <c r="J244" s="155"/>
      <c r="K244" s="155"/>
      <c r="L244" s="155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55"/>
      <c r="E245" s="163"/>
      <c r="F245" s="155"/>
      <c r="G245" s="155"/>
      <c r="H245" s="155"/>
      <c r="I245" s="155"/>
      <c r="J245" s="155"/>
      <c r="K245" s="155"/>
      <c r="L245" s="155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55"/>
      <c r="E246" s="163"/>
      <c r="F246" s="155"/>
      <c r="G246" s="155"/>
      <c r="H246" s="155"/>
      <c r="I246" s="155"/>
      <c r="J246" s="155"/>
      <c r="K246" s="155"/>
      <c r="L246" s="155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55"/>
      <c r="E247" s="163"/>
      <c r="F247" s="155"/>
      <c r="G247" s="155"/>
      <c r="H247" s="155"/>
      <c r="I247" s="155"/>
      <c r="J247" s="155"/>
      <c r="K247" s="155"/>
      <c r="L247" s="155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55"/>
      <c r="E248" s="163"/>
      <c r="F248" s="155"/>
      <c r="G248" s="155"/>
      <c r="H248" s="155"/>
      <c r="I248" s="155"/>
      <c r="J248" s="155"/>
      <c r="K248" s="155"/>
      <c r="L248" s="155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55"/>
      <c r="E249" s="163"/>
      <c r="F249" s="155"/>
      <c r="G249" s="155"/>
      <c r="H249" s="155"/>
      <c r="I249" s="155"/>
      <c r="J249" s="155"/>
      <c r="K249" s="155"/>
      <c r="L249" s="155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55"/>
      <c r="E250" s="163"/>
      <c r="F250" s="155"/>
      <c r="G250" s="155"/>
      <c r="H250" s="155"/>
      <c r="I250" s="155"/>
      <c r="J250" s="155"/>
      <c r="K250" s="155"/>
      <c r="L250" s="155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55"/>
      <c r="E251" s="163"/>
      <c r="F251" s="155"/>
      <c r="G251" s="155"/>
      <c r="H251" s="155"/>
      <c r="I251" s="155"/>
      <c r="J251" s="155"/>
      <c r="K251" s="155"/>
      <c r="L251" s="155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55"/>
      <c r="E252" s="163"/>
      <c r="F252" s="155"/>
      <c r="G252" s="155"/>
      <c r="H252" s="155"/>
      <c r="I252" s="155"/>
      <c r="J252" s="155"/>
      <c r="K252" s="155"/>
      <c r="L252" s="155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55"/>
      <c r="E253" s="163"/>
      <c r="F253" s="155"/>
      <c r="G253" s="155"/>
      <c r="H253" s="155"/>
      <c r="I253" s="155"/>
      <c r="J253" s="155"/>
      <c r="K253" s="155"/>
      <c r="L253" s="155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55"/>
      <c r="E254" s="163"/>
      <c r="F254" s="155"/>
      <c r="G254" s="155"/>
      <c r="H254" s="155"/>
      <c r="I254" s="155"/>
      <c r="J254" s="155"/>
      <c r="K254" s="155"/>
      <c r="L254" s="155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55"/>
      <c r="E255" s="163"/>
      <c r="F255" s="155"/>
      <c r="G255" s="155"/>
      <c r="H255" s="155"/>
      <c r="I255" s="155"/>
      <c r="J255" s="155"/>
      <c r="K255" s="155"/>
      <c r="L255" s="155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55"/>
      <c r="E256" s="163"/>
      <c r="F256" s="155"/>
      <c r="G256" s="155"/>
      <c r="H256" s="155"/>
      <c r="I256" s="155"/>
      <c r="J256" s="155"/>
      <c r="K256" s="155"/>
      <c r="L256" s="155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163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163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163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163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11" priority="28">
      <formula>K4&lt;&gt;0</formula>
    </cfRule>
  </conditionalFormatting>
  <conditionalFormatting sqref="K59:K60">
    <cfRule type="expression" dxfId="10" priority="23">
      <formula>K59&lt;&gt;0</formula>
    </cfRule>
  </conditionalFormatting>
  <conditionalFormatting sqref="R21">
    <cfRule type="expression" dxfId="9" priority="18">
      <formula>R21&lt;&gt;0</formula>
    </cfRule>
  </conditionalFormatting>
  <conditionalFormatting sqref="AB67:AC90">
    <cfRule type="cellIs" dxfId="8" priority="8" operator="greaterThan">
      <formula>0.001</formula>
    </cfRule>
  </conditionalFormatting>
  <conditionalFormatting sqref="AC70">
    <cfRule type="cellIs" dxfId="7" priority="7" operator="greaterThan">
      <formula>"1E(-3)"</formula>
    </cfRule>
  </conditionalFormatting>
  <conditionalFormatting sqref="AB67:AC90">
    <cfRule type="cellIs" dxfId="6" priority="6" operator="lessThan">
      <formula>-0.001</formula>
    </cfRule>
  </conditionalFormatting>
  <conditionalFormatting sqref="R67:S126">
    <cfRule type="expression" dxfId="5" priority="5">
      <formula>ABS(R67)&gt;=10%</formula>
    </cfRule>
  </conditionalFormatting>
  <conditionalFormatting sqref="BC5:BC11 BC13:BC19 BD5:BG19 AL5:BB19 AL20:BG20 CD5:CS29 BH5:CC20 AL21:CC29">
    <cfRule type="expression" dxfId="4" priority="3">
      <formula>AL5&lt;&gt;0</formula>
    </cfRule>
  </conditionalFormatting>
  <conditionalFormatting sqref="CO5:CP5">
    <cfRule type="expression" dxfId="3" priority="2">
      <formula>CO5&lt;&gt;0</formula>
    </cfRule>
  </conditionalFormatting>
  <conditionalFormatting sqref="BC12">
    <cfRule type="expression" dxfId="2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B1:R63"/>
  <sheetViews>
    <sheetView zoomScale="80" zoomScaleNormal="80" workbookViewId="0">
      <selection activeCell="H5" sqref="H5"/>
    </sheetView>
  </sheetViews>
  <sheetFormatPr baseColWidth="10" defaultRowHeight="15"/>
  <cols>
    <col min="1" max="1" width="30.33203125" customWidth="1"/>
    <col min="2" max="2" width="70.1640625" customWidth="1"/>
    <col min="3" max="3" width="18.6640625" customWidth="1"/>
    <col min="4" max="4" width="17.6640625" bestFit="1" customWidth="1"/>
    <col min="6" max="6" width="63.83203125" customWidth="1"/>
    <col min="7" max="7" width="24.5" customWidth="1"/>
    <col min="8" max="8" width="25" customWidth="1"/>
    <col min="17" max="17" width="66.33203125" customWidth="1"/>
    <col min="18" max="18" width="23.33203125" customWidth="1"/>
  </cols>
  <sheetData>
    <row r="1" spans="2:18">
      <c r="B1" s="307"/>
      <c r="C1" s="307"/>
      <c r="D1" s="307"/>
    </row>
    <row r="2" spans="2:18" ht="41">
      <c r="B2" s="435" t="s">
        <v>213</v>
      </c>
      <c r="C2" s="435"/>
      <c r="D2" s="435"/>
      <c r="F2" s="435" t="s">
        <v>214</v>
      </c>
      <c r="G2" s="435"/>
      <c r="H2" s="435"/>
      <c r="J2" s="436" t="s">
        <v>215</v>
      </c>
      <c r="K2" s="437"/>
      <c r="L2" s="308"/>
      <c r="M2" s="309" t="s">
        <v>57</v>
      </c>
      <c r="N2" s="310" t="s">
        <v>216</v>
      </c>
    </row>
    <row r="3" spans="2:18" ht="24">
      <c r="B3" s="304" t="s">
        <v>212</v>
      </c>
      <c r="C3" s="303" t="s">
        <v>34</v>
      </c>
      <c r="D3" s="303" t="s">
        <v>9</v>
      </c>
      <c r="F3" s="304" t="s">
        <v>212</v>
      </c>
      <c r="G3" s="303" t="s">
        <v>34</v>
      </c>
      <c r="H3" s="303" t="s">
        <v>9</v>
      </c>
      <c r="J3" s="311" t="s">
        <v>43</v>
      </c>
      <c r="K3" s="311" t="s">
        <v>37</v>
      </c>
      <c r="L3" s="312"/>
      <c r="M3" s="313"/>
      <c r="N3" s="313"/>
      <c r="Q3" s="304" t="s">
        <v>212</v>
      </c>
      <c r="R3" s="303" t="s">
        <v>171</v>
      </c>
    </row>
    <row r="4" spans="2:18" ht="24">
      <c r="B4" s="305" t="s">
        <v>122</v>
      </c>
      <c r="C4" s="302">
        <f>Utilidad!A1</f>
        <v>261455.17020557521</v>
      </c>
      <c r="D4" s="306">
        <f>IF(Utilidad!C1&gt;1,Utilidad!C1/100,Utilidad!C1)</f>
        <v>0</v>
      </c>
      <c r="F4" s="305" t="s">
        <v>122</v>
      </c>
      <c r="G4" s="302">
        <f>Utilidad!B1</f>
        <v>261455.17020557521</v>
      </c>
      <c r="H4" s="306">
        <f>IF(Utilidad!D1&gt;1,Utilidad!D1/100,Utilidad!D1)</f>
        <v>0</v>
      </c>
      <c r="J4" s="314">
        <f>+IF(C4&lt;&gt;0,(G4-C4)/C4,ABS(G4-C4))</f>
        <v>0</v>
      </c>
      <c r="K4" s="314">
        <f>+IF(D4&lt;&gt;0,(H4-D4)/D4,0)</f>
        <v>0</v>
      </c>
      <c r="L4" s="315"/>
      <c r="M4" s="316">
        <f>+IF(J4&lt;&gt;"",ABS(J4),0)</f>
        <v>0</v>
      </c>
      <c r="N4" s="316">
        <f>+IF(J4&lt;&gt;"",ABS(K4),0)</f>
        <v>0</v>
      </c>
      <c r="Q4" s="305" t="s">
        <v>122</v>
      </c>
      <c r="R4" s="306">
        <f>Utilidad!E1</f>
        <v>0.01</v>
      </c>
    </row>
    <row r="5" spans="2:18" ht="24">
      <c r="B5" s="305" t="s">
        <v>123</v>
      </c>
      <c r="C5" s="302">
        <f>Utilidad!A2</f>
        <v>11473.344999999999</v>
      </c>
      <c r="D5" s="306">
        <f>IF(Utilidad!C2&gt;1,Utilidad!C2/100,Utilidad!C2)</f>
        <v>0</v>
      </c>
      <c r="F5" s="305" t="s">
        <v>123</v>
      </c>
      <c r="G5" s="302">
        <f>Utilidad!B2</f>
        <v>11473.344999999999</v>
      </c>
      <c r="H5" s="306">
        <f>IF(Utilidad!D2&gt;1,Utilidad!D2/100,Utilidad!D2)</f>
        <v>0</v>
      </c>
      <c r="J5" s="314">
        <f>+IF(C5&lt;&gt;0,(G5-C5)/C5,ABS(G5-C5))</f>
        <v>0</v>
      </c>
      <c r="K5" s="314">
        <f>+IF(C5&lt;&gt;0,(H5-C5)/C5,0)</f>
        <v>-1</v>
      </c>
      <c r="L5" s="315"/>
      <c r="M5" s="316">
        <f>+IF(J5&lt;&gt;"",ABS(J5),0)</f>
        <v>0</v>
      </c>
      <c r="N5" s="316">
        <f t="shared" ref="N5:N63" si="0">+IF(J5&lt;&gt;"",ABS(K5),0)</f>
        <v>1</v>
      </c>
      <c r="Q5" s="305" t="s">
        <v>123</v>
      </c>
      <c r="R5" s="306">
        <f>Utilidad!E2</f>
        <v>0.01</v>
      </c>
    </row>
    <row r="6" spans="2:18" ht="24">
      <c r="B6" s="305" t="s">
        <v>124</v>
      </c>
      <c r="C6" s="302">
        <f>Utilidad!A3</f>
        <v>249981.82520557521</v>
      </c>
      <c r="D6" s="306">
        <f>IF(Utilidad!C3&gt;1,Utilidad!C3/100,Utilidad!C3)</f>
        <v>0</v>
      </c>
      <c r="F6" s="305" t="s">
        <v>124</v>
      </c>
      <c r="G6" s="302">
        <f>Utilidad!B3</f>
        <v>249981.82520557521</v>
      </c>
      <c r="H6" s="306">
        <f>IF(Utilidad!D3&gt;1,Utilidad!D3/100,Utilidad!D3)</f>
        <v>0</v>
      </c>
      <c r="J6" s="314">
        <f t="shared" ref="J6" si="1">+IF(C6&lt;&gt;0,(G6-C6)/C6,ABS(G6-C6))</f>
        <v>0</v>
      </c>
      <c r="K6" s="314">
        <f t="shared" ref="K6" si="2">+IF(C6&lt;&gt;0,(H6-C6)/C6,0)</f>
        <v>-1</v>
      </c>
      <c r="L6" s="121"/>
      <c r="M6" s="316">
        <f t="shared" ref="M6" si="3">+IF(J6&lt;&gt;"",ABS(J6),0)</f>
        <v>0</v>
      </c>
      <c r="N6" s="316">
        <f t="shared" si="0"/>
        <v>1</v>
      </c>
      <c r="Q6" s="305" t="s">
        <v>124</v>
      </c>
      <c r="R6" s="306">
        <f>Utilidad!E3</f>
        <v>0.01</v>
      </c>
    </row>
    <row r="7" spans="2:18" ht="24">
      <c r="B7" s="305" t="s">
        <v>125</v>
      </c>
      <c r="C7" s="302">
        <f>Utilidad!A4</f>
        <v>-4116.7369201152997</v>
      </c>
      <c r="D7" s="306">
        <f>IF(Utilidad!C4&gt;1,Utilidad!C4/100,Utilidad!C4)</f>
        <v>0</v>
      </c>
      <c r="F7" s="305" t="s">
        <v>125</v>
      </c>
      <c r="G7" s="302">
        <f>Utilidad!B4</f>
        <v>-4116.7369201152997</v>
      </c>
      <c r="H7" s="306">
        <f>IF(Utilidad!D4&gt;1,Utilidad!D4/100,Utilidad!D4)</f>
        <v>0</v>
      </c>
      <c r="J7" s="314">
        <f t="shared" ref="J7:J63" si="4">+IF(C7&lt;&gt;0,(G7-C7)/C7,ABS(G7-C7))</f>
        <v>0</v>
      </c>
      <c r="K7" s="314">
        <f t="shared" ref="K7:K63" si="5">+IF(C7&lt;&gt;0,(H7-C7)/C7,0)</f>
        <v>-1</v>
      </c>
      <c r="L7" s="121"/>
      <c r="M7" s="316">
        <f t="shared" ref="M7:M63" si="6">+IF(J7&lt;&gt;"",ABS(J7),0)</f>
        <v>0</v>
      </c>
      <c r="N7" s="316">
        <f t="shared" si="0"/>
        <v>1</v>
      </c>
      <c r="Q7" s="305" t="s">
        <v>125</v>
      </c>
      <c r="R7" s="306">
        <f>Utilidad!E4</f>
        <v>0.01</v>
      </c>
    </row>
    <row r="8" spans="2:18" ht="24">
      <c r="B8" s="305" t="s">
        <v>126</v>
      </c>
      <c r="C8" s="302">
        <f>Utilidad!A5</f>
        <v>254098.5621256904</v>
      </c>
      <c r="D8" s="306">
        <f>IF(Utilidad!C5&gt;1,Utilidad!C5/100,Utilidad!C5)</f>
        <v>0</v>
      </c>
      <c r="F8" s="305" t="s">
        <v>126</v>
      </c>
      <c r="G8" s="302">
        <f>Utilidad!B5</f>
        <v>254098.5621256904</v>
      </c>
      <c r="H8" s="306">
        <f>IF(Utilidad!D5&gt;1,Utilidad!D5/100,Utilidad!D5)</f>
        <v>0</v>
      </c>
      <c r="J8" s="314">
        <f t="shared" si="4"/>
        <v>0</v>
      </c>
      <c r="K8" s="314">
        <f t="shared" si="5"/>
        <v>-1</v>
      </c>
      <c r="L8" s="121"/>
      <c r="M8" s="316">
        <f t="shared" si="6"/>
        <v>0</v>
      </c>
      <c r="N8" s="316">
        <f t="shared" si="0"/>
        <v>1</v>
      </c>
      <c r="Q8" s="305" t="s">
        <v>126</v>
      </c>
      <c r="R8" s="306">
        <f>Utilidad!E5</f>
        <v>0.01</v>
      </c>
    </row>
    <row r="9" spans="2:18" ht="24">
      <c r="B9" s="305" t="s">
        <v>30</v>
      </c>
      <c r="C9" s="302">
        <f>Utilidad!A6</f>
        <v>693.98717870610005</v>
      </c>
      <c r="D9" s="306">
        <f>IF(Utilidad!C6&gt;1,Utilidad!C6/100,Utilidad!C6)</f>
        <v>0</v>
      </c>
      <c r="F9" s="305" t="s">
        <v>30</v>
      </c>
      <c r="G9" s="302">
        <f>Utilidad!B6</f>
        <v>693.98717870610005</v>
      </c>
      <c r="H9" s="306">
        <f>IF(Utilidad!D6&gt;1,Utilidad!D6/100,Utilidad!D6)</f>
        <v>0</v>
      </c>
      <c r="J9" s="314">
        <f t="shared" si="4"/>
        <v>0</v>
      </c>
      <c r="K9" s="314">
        <f t="shared" si="5"/>
        <v>-1</v>
      </c>
      <c r="L9" s="121"/>
      <c r="M9" s="316">
        <f t="shared" si="6"/>
        <v>0</v>
      </c>
      <c r="N9" s="316">
        <f t="shared" si="0"/>
        <v>1</v>
      </c>
      <c r="Q9" s="305" t="s">
        <v>30</v>
      </c>
      <c r="R9" s="306">
        <f>Utilidad!E6</f>
        <v>0.01</v>
      </c>
    </row>
    <row r="10" spans="2:18" ht="24">
      <c r="B10" s="305" t="s">
        <v>127</v>
      </c>
      <c r="C10" s="302">
        <f>Utilidad!A7</f>
        <v>253404.5749469843</v>
      </c>
      <c r="D10" s="306">
        <f>IF(Utilidad!C7&gt;1,Utilidad!C7/100,Utilidad!C7)</f>
        <v>0</v>
      </c>
      <c r="F10" s="305" t="s">
        <v>127</v>
      </c>
      <c r="G10" s="302">
        <f>Utilidad!B7</f>
        <v>253404.5749469843</v>
      </c>
      <c r="H10" s="306">
        <f>IF(Utilidad!D7&gt;1,Utilidad!D7/100,Utilidad!D7)</f>
        <v>0</v>
      </c>
      <c r="J10" s="314">
        <f t="shared" si="4"/>
        <v>0</v>
      </c>
      <c r="K10" s="314">
        <f t="shared" si="5"/>
        <v>-1</v>
      </c>
      <c r="L10" s="121"/>
      <c r="M10" s="316">
        <f t="shared" si="6"/>
        <v>0</v>
      </c>
      <c r="N10" s="316">
        <f t="shared" si="0"/>
        <v>1</v>
      </c>
      <c r="Q10" s="305" t="s">
        <v>127</v>
      </c>
      <c r="R10" s="306">
        <f>Utilidad!E7</f>
        <v>0.01</v>
      </c>
    </row>
    <row r="11" spans="2:18" ht="24">
      <c r="B11" s="305" t="s">
        <v>128</v>
      </c>
      <c r="C11" s="302">
        <f>Utilidad!A8</f>
        <v>1500</v>
      </c>
      <c r="D11" s="306">
        <f>IF(Utilidad!C8&gt;1,Utilidad!C8/100,Utilidad!C8)</f>
        <v>0</v>
      </c>
      <c r="F11" s="305" t="s">
        <v>128</v>
      </c>
      <c r="G11" s="302">
        <f>Utilidad!B8</f>
        <v>1500</v>
      </c>
      <c r="H11" s="306">
        <f>IF(Utilidad!D8&gt;1,Utilidad!D8/100,Utilidad!D8)</f>
        <v>0</v>
      </c>
      <c r="J11" s="314">
        <f t="shared" si="4"/>
        <v>0</v>
      </c>
      <c r="K11" s="314">
        <f t="shared" si="5"/>
        <v>-1</v>
      </c>
      <c r="L11" s="121"/>
      <c r="M11" s="316">
        <f t="shared" si="6"/>
        <v>0</v>
      </c>
      <c r="N11" s="316">
        <f t="shared" si="0"/>
        <v>1</v>
      </c>
      <c r="Q11" s="305" t="s">
        <v>128</v>
      </c>
      <c r="R11" s="306">
        <f>Utilidad!E8</f>
        <v>0.01</v>
      </c>
    </row>
    <row r="12" spans="2:18" ht="24">
      <c r="B12" s="305" t="s">
        <v>129</v>
      </c>
      <c r="C12" s="302">
        <f>Utilidad!A9</f>
        <v>43011</v>
      </c>
      <c r="D12" s="306">
        <f>IF(Utilidad!C9&gt;1,Utilidad!C9/100,Utilidad!C9)</f>
        <v>0</v>
      </c>
      <c r="F12" s="305" t="s">
        <v>129</v>
      </c>
      <c r="G12" s="302">
        <f>Utilidad!B9</f>
        <v>43011</v>
      </c>
      <c r="H12" s="306">
        <f>IF(Utilidad!D9&gt;1,Utilidad!D9/100,Utilidad!D9)</f>
        <v>0</v>
      </c>
      <c r="J12" s="314">
        <f t="shared" si="4"/>
        <v>0</v>
      </c>
      <c r="K12" s="314">
        <f t="shared" si="5"/>
        <v>-1</v>
      </c>
      <c r="L12" s="121"/>
      <c r="M12" s="316">
        <f t="shared" si="6"/>
        <v>0</v>
      </c>
      <c r="N12" s="316">
        <f t="shared" si="0"/>
        <v>1</v>
      </c>
      <c r="Q12" s="305" t="s">
        <v>129</v>
      </c>
      <c r="R12" s="306">
        <f>Utilidad!E9</f>
        <v>0.01</v>
      </c>
    </row>
    <row r="13" spans="2:18" ht="24">
      <c r="B13" s="305" t="s">
        <v>130</v>
      </c>
      <c r="C13" s="302">
        <f>Utilidad!A10</f>
        <v>208893.5749469843</v>
      </c>
      <c r="D13" s="306">
        <f>IF(Utilidad!C10&gt;1,Utilidad!C10/100,Utilidad!C10)</f>
        <v>0</v>
      </c>
      <c r="F13" s="305" t="s">
        <v>130</v>
      </c>
      <c r="G13" s="302">
        <f>Utilidad!B10</f>
        <v>208893.5749469843</v>
      </c>
      <c r="H13" s="306">
        <f>IF(Utilidad!D10&gt;1,Utilidad!D10/100,Utilidad!D10)</f>
        <v>0</v>
      </c>
      <c r="J13" s="314">
        <f t="shared" si="4"/>
        <v>0</v>
      </c>
      <c r="K13" s="314">
        <f t="shared" si="5"/>
        <v>-1</v>
      </c>
      <c r="L13" s="121"/>
      <c r="M13" s="316">
        <f t="shared" si="6"/>
        <v>0</v>
      </c>
      <c r="N13" s="316">
        <f t="shared" si="0"/>
        <v>1</v>
      </c>
      <c r="Q13" s="305" t="s">
        <v>130</v>
      </c>
      <c r="R13" s="306">
        <f>Utilidad!E10</f>
        <v>0.01</v>
      </c>
    </row>
    <row r="14" spans="2:18" ht="24">
      <c r="B14" s="305" t="s">
        <v>131</v>
      </c>
      <c r="C14" s="302">
        <f>Utilidad!A11</f>
        <v>-870</v>
      </c>
      <c r="D14" s="306">
        <f>IF(Utilidad!C11&gt;1,Utilidad!C11/100,Utilidad!C11)</f>
        <v>0</v>
      </c>
      <c r="F14" s="305" t="s">
        <v>131</v>
      </c>
      <c r="G14" s="302">
        <f>Utilidad!B11</f>
        <v>-870</v>
      </c>
      <c r="H14" s="306">
        <f>IF(Utilidad!D11&gt;1,Utilidad!D11/100,Utilidad!D11)</f>
        <v>0</v>
      </c>
      <c r="J14" s="314">
        <f t="shared" si="4"/>
        <v>0</v>
      </c>
      <c r="K14" s="314">
        <f t="shared" si="5"/>
        <v>-1</v>
      </c>
      <c r="L14" s="121"/>
      <c r="M14" s="316">
        <f t="shared" si="6"/>
        <v>0</v>
      </c>
      <c r="N14" s="316">
        <f t="shared" si="0"/>
        <v>1</v>
      </c>
      <c r="Q14" s="305" t="s">
        <v>131</v>
      </c>
      <c r="R14" s="306">
        <f>Utilidad!E11</f>
        <v>0.01</v>
      </c>
    </row>
    <row r="15" spans="2:18" ht="24">
      <c r="B15" s="305" t="s">
        <v>132</v>
      </c>
      <c r="C15" s="302">
        <f>Utilidad!A12</f>
        <v>0</v>
      </c>
      <c r="D15" s="306">
        <f>IF(Utilidad!C12&gt;1,Utilidad!C12/100,Utilidad!C12)</f>
        <v>0</v>
      </c>
      <c r="F15" s="305" t="s">
        <v>132</v>
      </c>
      <c r="G15" s="302">
        <f>Utilidad!B12</f>
        <v>0</v>
      </c>
      <c r="H15" s="306">
        <f>IF(Utilidad!D12&gt;1,Utilidad!D12/100,Utilidad!D12)</f>
        <v>0</v>
      </c>
      <c r="J15" s="314">
        <f t="shared" si="4"/>
        <v>0</v>
      </c>
      <c r="K15" s="314">
        <f t="shared" si="5"/>
        <v>0</v>
      </c>
      <c r="L15" s="121"/>
      <c r="M15" s="316">
        <f t="shared" si="6"/>
        <v>0</v>
      </c>
      <c r="N15" s="316">
        <f t="shared" si="0"/>
        <v>0</v>
      </c>
      <c r="Q15" s="305" t="s">
        <v>132</v>
      </c>
      <c r="R15" s="306">
        <f>Utilidad!E12</f>
        <v>0.01</v>
      </c>
    </row>
    <row r="16" spans="2:18" ht="24">
      <c r="B16" s="305" t="s">
        <v>133</v>
      </c>
      <c r="C16" s="302">
        <f>Utilidad!A13</f>
        <v>209763.5749469843</v>
      </c>
      <c r="D16" s="306">
        <f>IF(Utilidad!C13&gt;1,Utilidad!C13/100,Utilidad!C13)</f>
        <v>0</v>
      </c>
      <c r="F16" s="305" t="s">
        <v>133</v>
      </c>
      <c r="G16" s="302">
        <f>Utilidad!B13</f>
        <v>209763.5749469843</v>
      </c>
      <c r="H16" s="306">
        <f>IF(Utilidad!D13&gt;1,Utilidad!D13/100,Utilidad!D13)</f>
        <v>0</v>
      </c>
      <c r="J16" s="314">
        <f t="shared" si="4"/>
        <v>0</v>
      </c>
      <c r="K16" s="314">
        <f t="shared" si="5"/>
        <v>-1</v>
      </c>
      <c r="L16" s="121"/>
      <c r="M16" s="316">
        <f t="shared" si="6"/>
        <v>0</v>
      </c>
      <c r="N16" s="316">
        <f t="shared" si="0"/>
        <v>1</v>
      </c>
      <c r="Q16" s="305" t="s">
        <v>133</v>
      </c>
      <c r="R16" s="306">
        <f>Utilidad!E13</f>
        <v>0.01</v>
      </c>
    </row>
    <row r="17" spans="2:18" ht="24">
      <c r="B17" s="305" t="s">
        <v>134</v>
      </c>
      <c r="C17" s="302">
        <f>Utilidad!A14</f>
        <v>84629.508799999996</v>
      </c>
      <c r="D17" s="306">
        <f>IF(Utilidad!C14&gt;1,Utilidad!C14/100,Utilidad!C14)</f>
        <v>0</v>
      </c>
      <c r="F17" s="305" t="s">
        <v>134</v>
      </c>
      <c r="G17" s="302">
        <f>Utilidad!B14</f>
        <v>84629.508799999996</v>
      </c>
      <c r="H17" s="306">
        <f>IF(Utilidad!D14&gt;1,Utilidad!D14/100,Utilidad!D14)</f>
        <v>0</v>
      </c>
      <c r="J17" s="314">
        <f t="shared" si="4"/>
        <v>0</v>
      </c>
      <c r="K17" s="314">
        <f t="shared" si="5"/>
        <v>-1</v>
      </c>
      <c r="L17" s="121"/>
      <c r="M17" s="316">
        <f t="shared" si="6"/>
        <v>0</v>
      </c>
      <c r="N17" s="316">
        <f t="shared" si="0"/>
        <v>1</v>
      </c>
      <c r="Q17" s="305" t="s">
        <v>134</v>
      </c>
      <c r="R17" s="306">
        <f>Utilidad!E14</f>
        <v>0.01</v>
      </c>
    </row>
    <row r="18" spans="2:18" ht="24">
      <c r="B18" s="305" t="s">
        <v>135</v>
      </c>
      <c r="C18" s="302">
        <f>Utilidad!A15</f>
        <v>125134.0661469843</v>
      </c>
      <c r="D18" s="306">
        <f>IF(Utilidad!C15&gt;1,Utilidad!C15/100,Utilidad!C15)</f>
        <v>0</v>
      </c>
      <c r="F18" s="305" t="s">
        <v>135</v>
      </c>
      <c r="G18" s="302">
        <f>Utilidad!B15</f>
        <v>125134.0661469843</v>
      </c>
      <c r="H18" s="306">
        <f>IF(Utilidad!D15&gt;1,Utilidad!D15/100,Utilidad!D15)</f>
        <v>0</v>
      </c>
      <c r="J18" s="314">
        <f t="shared" si="4"/>
        <v>0</v>
      </c>
      <c r="K18" s="314">
        <f t="shared" si="5"/>
        <v>-1</v>
      </c>
      <c r="L18" s="121"/>
      <c r="M18" s="316">
        <f t="shared" si="6"/>
        <v>0</v>
      </c>
      <c r="N18" s="316">
        <f t="shared" si="0"/>
        <v>1</v>
      </c>
      <c r="Q18" s="305" t="s">
        <v>135</v>
      </c>
      <c r="R18" s="306">
        <f>Utilidad!E15</f>
        <v>0.01</v>
      </c>
    </row>
    <row r="19" spans="2:18" ht="24">
      <c r="B19" s="305" t="s">
        <v>136</v>
      </c>
      <c r="C19" s="302">
        <f>Utilidad!A16</f>
        <v>0</v>
      </c>
      <c r="D19" s="306">
        <f>IF(Utilidad!C16&gt;1,Utilidad!C16/100,Utilidad!C16)</f>
        <v>0</v>
      </c>
      <c r="F19" s="305" t="s">
        <v>136</v>
      </c>
      <c r="G19" s="302">
        <f>Utilidad!B16</f>
        <v>0</v>
      </c>
      <c r="H19" s="306">
        <f>IF(Utilidad!D16&gt;1,Utilidad!D16/100,Utilidad!D16)</f>
        <v>0</v>
      </c>
      <c r="J19" s="314">
        <f t="shared" si="4"/>
        <v>0</v>
      </c>
      <c r="K19" s="314">
        <f t="shared" si="5"/>
        <v>0</v>
      </c>
      <c r="L19" s="121"/>
      <c r="M19" s="316">
        <f t="shared" si="6"/>
        <v>0</v>
      </c>
      <c r="N19" s="316">
        <f t="shared" si="0"/>
        <v>0</v>
      </c>
      <c r="Q19" s="305" t="s">
        <v>136</v>
      </c>
      <c r="R19" s="306">
        <f>Utilidad!E16</f>
        <v>0.01</v>
      </c>
    </row>
    <row r="20" spans="2:18" ht="24">
      <c r="B20" s="305" t="s">
        <v>137</v>
      </c>
      <c r="C20" s="302">
        <f>Utilidad!A17</f>
        <v>1151.136</v>
      </c>
      <c r="D20" s="306">
        <f>IF(Utilidad!C17&gt;1,Utilidad!C17/100,Utilidad!C17)</f>
        <v>0</v>
      </c>
      <c r="F20" s="305" t="s">
        <v>137</v>
      </c>
      <c r="G20" s="302">
        <f>Utilidad!B17</f>
        <v>1151.136</v>
      </c>
      <c r="H20" s="306">
        <f>IF(Utilidad!D17&gt;1,Utilidad!D17/100,Utilidad!D17)</f>
        <v>0</v>
      </c>
      <c r="J20" s="314">
        <f t="shared" si="4"/>
        <v>0</v>
      </c>
      <c r="K20" s="314">
        <f t="shared" si="5"/>
        <v>-1</v>
      </c>
      <c r="L20" s="121"/>
      <c r="M20" s="316">
        <f t="shared" si="6"/>
        <v>0</v>
      </c>
      <c r="N20" s="316">
        <f t="shared" si="0"/>
        <v>1</v>
      </c>
      <c r="Q20" s="305" t="s">
        <v>137</v>
      </c>
      <c r="R20" s="306">
        <f>Utilidad!E17</f>
        <v>0.01</v>
      </c>
    </row>
    <row r="21" spans="2:18" ht="24">
      <c r="B21" s="305" t="s">
        <v>12</v>
      </c>
      <c r="C21" s="302">
        <f>Utilidad!A18</f>
        <v>0</v>
      </c>
      <c r="D21" s="306">
        <f>IF(Utilidad!C18&gt;1,Utilidad!C18/100,Utilidad!C18)</f>
        <v>0</v>
      </c>
      <c r="F21" s="305" t="s">
        <v>12</v>
      </c>
      <c r="G21" s="302">
        <f>Utilidad!B18</f>
        <v>0</v>
      </c>
      <c r="H21" s="306">
        <f>IF(Utilidad!D18&gt;1,Utilidad!D18/100,Utilidad!D18)</f>
        <v>0</v>
      </c>
      <c r="J21" s="314">
        <f t="shared" si="4"/>
        <v>0</v>
      </c>
      <c r="K21" s="314">
        <f t="shared" si="5"/>
        <v>0</v>
      </c>
      <c r="L21" s="121"/>
      <c r="M21" s="316">
        <f t="shared" si="6"/>
        <v>0</v>
      </c>
      <c r="N21" s="316">
        <f t="shared" si="0"/>
        <v>0</v>
      </c>
      <c r="Q21" s="305" t="s">
        <v>12</v>
      </c>
      <c r="R21" s="306">
        <f>Utilidad!E18</f>
        <v>0.01</v>
      </c>
    </row>
    <row r="22" spans="2:18" ht="24">
      <c r="B22" s="305" t="s">
        <v>138</v>
      </c>
      <c r="C22" s="302">
        <f>Utilidad!A19</f>
        <v>0</v>
      </c>
      <c r="D22" s="306">
        <f>IF(Utilidad!C19&gt;1,Utilidad!C19/100,Utilidad!C19)</f>
        <v>0</v>
      </c>
      <c r="F22" s="305" t="s">
        <v>138</v>
      </c>
      <c r="G22" s="302">
        <f>Utilidad!B19</f>
        <v>0</v>
      </c>
      <c r="H22" s="306">
        <f>IF(Utilidad!D19&gt;1,Utilidad!D19/100,Utilidad!D19)</f>
        <v>0</v>
      </c>
      <c r="J22" s="314">
        <f t="shared" si="4"/>
        <v>0</v>
      </c>
      <c r="K22" s="314">
        <f t="shared" si="5"/>
        <v>0</v>
      </c>
      <c r="L22" s="121"/>
      <c r="M22" s="316">
        <f t="shared" si="6"/>
        <v>0</v>
      </c>
      <c r="N22" s="316">
        <f t="shared" si="0"/>
        <v>0</v>
      </c>
      <c r="Q22" s="305" t="s">
        <v>138</v>
      </c>
      <c r="R22" s="306">
        <f>Utilidad!E19</f>
        <v>0.01</v>
      </c>
    </row>
    <row r="23" spans="2:18" ht="24">
      <c r="B23" s="305" t="s">
        <v>139</v>
      </c>
      <c r="C23" s="302">
        <f>Utilidad!A20</f>
        <v>1151.136</v>
      </c>
      <c r="D23" s="306">
        <f>IF(Utilidad!C20&gt;1,Utilidad!C20/100,Utilidad!C20)</f>
        <v>0</v>
      </c>
      <c r="F23" s="305" t="s">
        <v>139</v>
      </c>
      <c r="G23" s="302">
        <f>Utilidad!B20</f>
        <v>1151.136</v>
      </c>
      <c r="H23" s="306">
        <f>IF(Utilidad!D20&gt;1,Utilidad!D20/100,Utilidad!D20)</f>
        <v>0</v>
      </c>
      <c r="J23" s="314">
        <f t="shared" si="4"/>
        <v>0</v>
      </c>
      <c r="K23" s="314">
        <f t="shared" si="5"/>
        <v>-1</v>
      </c>
      <c r="L23" s="121"/>
      <c r="M23" s="316">
        <f t="shared" si="6"/>
        <v>0</v>
      </c>
      <c r="N23" s="316">
        <f t="shared" si="0"/>
        <v>1</v>
      </c>
      <c r="Q23" s="305" t="s">
        <v>139</v>
      </c>
      <c r="R23" s="306">
        <f>Utilidad!E20</f>
        <v>0.01</v>
      </c>
    </row>
    <row r="24" spans="2:18" ht="24">
      <c r="B24" s="305" t="s">
        <v>140</v>
      </c>
      <c r="C24" s="302">
        <f>Utilidad!A21</f>
        <v>83478.372799999997</v>
      </c>
      <c r="D24" s="306">
        <f>IF(Utilidad!C21&gt;1,Utilidad!C21/100,Utilidad!C21)</f>
        <v>0</v>
      </c>
      <c r="F24" s="305" t="s">
        <v>140</v>
      </c>
      <c r="G24" s="302">
        <f>Utilidad!B21</f>
        <v>83478.372799999997</v>
      </c>
      <c r="H24" s="306">
        <f>IF(Utilidad!D21&gt;1,Utilidad!D21/100,Utilidad!D21)</f>
        <v>0</v>
      </c>
      <c r="J24" s="314">
        <f t="shared" si="4"/>
        <v>0</v>
      </c>
      <c r="K24" s="314">
        <f t="shared" si="5"/>
        <v>-1</v>
      </c>
      <c r="L24" s="121"/>
      <c r="M24" s="316">
        <f t="shared" si="6"/>
        <v>0</v>
      </c>
      <c r="N24" s="316">
        <f t="shared" si="0"/>
        <v>1</v>
      </c>
      <c r="Q24" s="305" t="s">
        <v>140</v>
      </c>
      <c r="R24" s="306">
        <f>Utilidad!E21</f>
        <v>0.01</v>
      </c>
    </row>
    <row r="25" spans="2:18" ht="24">
      <c r="B25" s="305" t="s">
        <v>13</v>
      </c>
      <c r="C25" s="302">
        <f>Utilidad!A22</f>
        <v>87216.858032629694</v>
      </c>
      <c r="D25" s="306">
        <f>IF(Utilidad!C22&gt;1,Utilidad!C22/100,Utilidad!C22)</f>
        <v>0</v>
      </c>
      <c r="F25" s="305" t="s">
        <v>13</v>
      </c>
      <c r="G25" s="302">
        <f>Utilidad!B22</f>
        <v>87216.858032629694</v>
      </c>
      <c r="H25" s="306">
        <f>IF(Utilidad!D22&gt;1,Utilidad!D22/100,Utilidad!D22)</f>
        <v>0</v>
      </c>
      <c r="J25" s="314">
        <f t="shared" si="4"/>
        <v>0</v>
      </c>
      <c r="K25" s="314">
        <f t="shared" si="5"/>
        <v>-1</v>
      </c>
      <c r="L25" s="121"/>
      <c r="M25" s="316">
        <f t="shared" si="6"/>
        <v>0</v>
      </c>
      <c r="N25" s="316">
        <f t="shared" si="0"/>
        <v>1</v>
      </c>
      <c r="Q25" s="305" t="s">
        <v>13</v>
      </c>
      <c r="R25" s="306">
        <f>Utilidad!E22</f>
        <v>0.01</v>
      </c>
    </row>
    <row r="26" spans="2:18" ht="24">
      <c r="B26" s="305" t="s">
        <v>141</v>
      </c>
      <c r="C26" s="302">
        <f>Utilidad!A23</f>
        <v>0</v>
      </c>
      <c r="D26" s="306">
        <f>IF(Utilidad!C23&gt;1,Utilidad!C23/100,Utilidad!C23)</f>
        <v>0</v>
      </c>
      <c r="F26" s="305" t="s">
        <v>141</v>
      </c>
      <c r="G26" s="302">
        <f>Utilidad!B23</f>
        <v>0</v>
      </c>
      <c r="H26" s="306">
        <f>IF(Utilidad!D23&gt;1,Utilidad!D23/100,Utilidad!D23)</f>
        <v>0</v>
      </c>
      <c r="J26" s="314">
        <f t="shared" si="4"/>
        <v>0</v>
      </c>
      <c r="K26" s="314">
        <f t="shared" si="5"/>
        <v>0</v>
      </c>
      <c r="L26" s="121"/>
      <c r="M26" s="316">
        <f t="shared" si="6"/>
        <v>0</v>
      </c>
      <c r="N26" s="316">
        <f t="shared" si="0"/>
        <v>0</v>
      </c>
      <c r="Q26" s="305" t="s">
        <v>141</v>
      </c>
      <c r="R26" s="306">
        <f>Utilidad!E23</f>
        <v>0.01</v>
      </c>
    </row>
    <row r="27" spans="2:18" ht="24">
      <c r="B27" s="305" t="s">
        <v>142</v>
      </c>
      <c r="C27" s="302">
        <f>Utilidad!A24</f>
        <v>7011</v>
      </c>
      <c r="D27" s="306">
        <f>IF(Utilidad!C24&gt;1,Utilidad!C24/100,Utilidad!C24)</f>
        <v>0</v>
      </c>
      <c r="F27" s="305" t="s">
        <v>142</v>
      </c>
      <c r="G27" s="302">
        <f>Utilidad!B24</f>
        <v>7011</v>
      </c>
      <c r="H27" s="306">
        <f>IF(Utilidad!D24&gt;1,Utilidad!D24/100,Utilidad!D24)</f>
        <v>0</v>
      </c>
      <c r="J27" s="314">
        <f t="shared" si="4"/>
        <v>0</v>
      </c>
      <c r="K27" s="314">
        <f t="shared" si="5"/>
        <v>-1</v>
      </c>
      <c r="L27" s="121"/>
      <c r="M27" s="316">
        <f t="shared" si="6"/>
        <v>0</v>
      </c>
      <c r="N27" s="316">
        <f t="shared" si="0"/>
        <v>1</v>
      </c>
      <c r="Q27" s="305" t="s">
        <v>142</v>
      </c>
      <c r="R27" s="306">
        <f>Utilidad!E24</f>
        <v>0.01</v>
      </c>
    </row>
    <row r="28" spans="2:18" ht="24">
      <c r="B28" s="305" t="s">
        <v>143</v>
      </c>
      <c r="C28" s="302">
        <f>Utilidad!A25</f>
        <v>132145.06614698429</v>
      </c>
      <c r="D28" s="306">
        <f>IF(Utilidad!C25&gt;1,Utilidad!C25/100,Utilidad!C25)</f>
        <v>0</v>
      </c>
      <c r="F28" s="305" t="s">
        <v>143</v>
      </c>
      <c r="G28" s="302">
        <f>Utilidad!B25</f>
        <v>132145.06614698429</v>
      </c>
      <c r="H28" s="306">
        <f>IF(Utilidad!D25&gt;1,Utilidad!D25/100,Utilidad!D25)</f>
        <v>0</v>
      </c>
      <c r="J28" s="314">
        <f t="shared" si="4"/>
        <v>0</v>
      </c>
      <c r="K28" s="314">
        <f t="shared" si="5"/>
        <v>-1</v>
      </c>
      <c r="L28" s="121"/>
      <c r="M28" s="316">
        <f t="shared" si="6"/>
        <v>0</v>
      </c>
      <c r="N28" s="316">
        <f t="shared" si="0"/>
        <v>1</v>
      </c>
      <c r="Q28" s="305" t="s">
        <v>143</v>
      </c>
      <c r="R28" s="306">
        <f>Utilidad!E25</f>
        <v>0.01</v>
      </c>
    </row>
    <row r="29" spans="2:18" ht="24">
      <c r="B29" s="305" t="s">
        <v>144</v>
      </c>
      <c r="C29" s="302">
        <f>Utilidad!A26</f>
        <v>11983.055953228601</v>
      </c>
      <c r="D29" s="306">
        <f>IF(Utilidad!C26&gt;1,Utilidad!C26/100,Utilidad!C26)</f>
        <v>0</v>
      </c>
      <c r="F29" s="305" t="s">
        <v>144</v>
      </c>
      <c r="G29" s="302">
        <f>Utilidad!B26</f>
        <v>11983.055953228601</v>
      </c>
      <c r="H29" s="306">
        <f>IF(Utilidad!D26&gt;1,Utilidad!D26/100,Utilidad!D26)</f>
        <v>0</v>
      </c>
      <c r="J29" s="314">
        <f t="shared" si="4"/>
        <v>0</v>
      </c>
      <c r="K29" s="314">
        <f t="shared" si="5"/>
        <v>-1</v>
      </c>
      <c r="L29" s="121"/>
      <c r="M29" s="316">
        <f t="shared" si="6"/>
        <v>0</v>
      </c>
      <c r="N29" s="316">
        <f t="shared" si="0"/>
        <v>1</v>
      </c>
      <c r="Q29" s="305" t="s">
        <v>144</v>
      </c>
      <c r="R29" s="306">
        <f>Utilidad!E26</f>
        <v>0.01</v>
      </c>
    </row>
    <row r="30" spans="2:18" ht="24">
      <c r="B30" s="305" t="s">
        <v>69</v>
      </c>
      <c r="C30" s="302">
        <f>Utilidad!A27</f>
        <v>13097.735953228599</v>
      </c>
      <c r="D30" s="306">
        <f>IF(Utilidad!C27&gt;1,Utilidad!C27/100,Utilidad!C27)</f>
        <v>0</v>
      </c>
      <c r="F30" s="305" t="s">
        <v>69</v>
      </c>
      <c r="G30" s="302">
        <f>Utilidad!B27</f>
        <v>13097.735953228599</v>
      </c>
      <c r="H30" s="306">
        <f>IF(Utilidad!D27&gt;1,Utilidad!D27/100,Utilidad!D27)</f>
        <v>0</v>
      </c>
      <c r="J30" s="314">
        <f t="shared" si="4"/>
        <v>0</v>
      </c>
      <c r="K30" s="314">
        <f t="shared" si="5"/>
        <v>-1</v>
      </c>
      <c r="L30" s="121"/>
      <c r="M30" s="316">
        <f t="shared" si="6"/>
        <v>0</v>
      </c>
      <c r="N30" s="316">
        <f t="shared" si="0"/>
        <v>1</v>
      </c>
      <c r="Q30" s="305" t="s">
        <v>69</v>
      </c>
      <c r="R30" s="306">
        <f>Utilidad!E27</f>
        <v>0.01</v>
      </c>
    </row>
    <row r="31" spans="2:18" ht="24">
      <c r="B31" s="305" t="s">
        <v>145</v>
      </c>
      <c r="C31" s="302">
        <f>Utilidad!A28</f>
        <v>1189.3055953229</v>
      </c>
      <c r="D31" s="306">
        <f>IF(Utilidad!C28&gt;1,Utilidad!C28/100,Utilidad!C28)</f>
        <v>0</v>
      </c>
      <c r="F31" s="305" t="s">
        <v>145</v>
      </c>
      <c r="G31" s="302">
        <f>Utilidad!B28</f>
        <v>1189.3055953229</v>
      </c>
      <c r="H31" s="306">
        <f>IF(Utilidad!D28&gt;1,Utilidad!D28/100,Utilidad!D28)</f>
        <v>0</v>
      </c>
      <c r="J31" s="314">
        <f t="shared" si="4"/>
        <v>0</v>
      </c>
      <c r="K31" s="314">
        <f t="shared" si="5"/>
        <v>-1</v>
      </c>
      <c r="L31" s="121"/>
      <c r="M31" s="316">
        <f t="shared" si="6"/>
        <v>0</v>
      </c>
      <c r="N31" s="316">
        <f t="shared" si="0"/>
        <v>1</v>
      </c>
      <c r="Q31" s="305" t="s">
        <v>145</v>
      </c>
      <c r="R31" s="306">
        <f>Utilidad!E28</f>
        <v>0.01</v>
      </c>
    </row>
    <row r="32" spans="2:18" ht="24">
      <c r="B32" s="305" t="s">
        <v>66</v>
      </c>
      <c r="C32" s="302">
        <f>Utilidad!A29</f>
        <v>1189.3055953229</v>
      </c>
      <c r="D32" s="306">
        <f>IF(Utilidad!C29&gt;1,Utilidad!C29/100,Utilidad!C29)</f>
        <v>0</v>
      </c>
      <c r="F32" s="305" t="s">
        <v>66</v>
      </c>
      <c r="G32" s="302">
        <f>Utilidad!B29</f>
        <v>1189.3055953229</v>
      </c>
      <c r="H32" s="306">
        <f>IF(Utilidad!D29&gt;1,Utilidad!D29/100,Utilidad!D29)</f>
        <v>0</v>
      </c>
      <c r="J32" s="314">
        <f t="shared" si="4"/>
        <v>0</v>
      </c>
      <c r="K32" s="314">
        <f t="shared" si="5"/>
        <v>-1</v>
      </c>
      <c r="L32" s="121"/>
      <c r="M32" s="316">
        <f t="shared" si="6"/>
        <v>0</v>
      </c>
      <c r="N32" s="316">
        <f t="shared" si="0"/>
        <v>1</v>
      </c>
      <c r="Q32" s="305" t="s">
        <v>66</v>
      </c>
      <c r="R32" s="306">
        <f>Utilidad!E29</f>
        <v>0.01</v>
      </c>
    </row>
    <row r="33" spans="2:18" ht="24">
      <c r="B33" s="305" t="s">
        <v>146</v>
      </c>
      <c r="C33" s="302">
        <f>Utilidad!A30</f>
        <v>1000</v>
      </c>
      <c r="D33" s="306">
        <f>IF(Utilidad!C30&gt;1,Utilidad!C30/100,Utilidad!C30)</f>
        <v>0</v>
      </c>
      <c r="F33" s="305" t="s">
        <v>146</v>
      </c>
      <c r="G33" s="302">
        <f>Utilidad!B30</f>
        <v>1000</v>
      </c>
      <c r="H33" s="306">
        <f>IF(Utilidad!D30&gt;1,Utilidad!D30/100,Utilidad!D30)</f>
        <v>0</v>
      </c>
      <c r="J33" s="314">
        <f t="shared" si="4"/>
        <v>0</v>
      </c>
      <c r="K33" s="314">
        <f t="shared" si="5"/>
        <v>-1</v>
      </c>
      <c r="L33" s="121"/>
      <c r="M33" s="316">
        <f t="shared" si="6"/>
        <v>0</v>
      </c>
      <c r="N33" s="316">
        <f t="shared" si="0"/>
        <v>1</v>
      </c>
      <c r="Q33" s="305" t="s">
        <v>146</v>
      </c>
      <c r="R33" s="306">
        <f>Utilidad!E30</f>
        <v>0.01</v>
      </c>
    </row>
    <row r="34" spans="2:18" ht="24">
      <c r="B34" s="305" t="s">
        <v>147</v>
      </c>
      <c r="C34" s="302">
        <f>Utilidad!A31</f>
        <v>3287.8954015671002</v>
      </c>
      <c r="D34" s="306">
        <f>IF(Utilidad!C31&gt;1,Utilidad!C31/100,Utilidad!C31)</f>
        <v>0</v>
      </c>
      <c r="F34" s="305" t="s">
        <v>147</v>
      </c>
      <c r="G34" s="302">
        <f>Utilidad!B31</f>
        <v>3287.8954015671002</v>
      </c>
      <c r="H34" s="306">
        <f>IF(Utilidad!D31&gt;1,Utilidad!D31/100,Utilidad!D31)</f>
        <v>0</v>
      </c>
      <c r="J34" s="314">
        <f t="shared" si="4"/>
        <v>0</v>
      </c>
      <c r="K34" s="314">
        <f t="shared" si="5"/>
        <v>-1</v>
      </c>
      <c r="L34" s="121"/>
      <c r="M34" s="316">
        <f t="shared" si="6"/>
        <v>0</v>
      </c>
      <c r="N34" s="316">
        <f t="shared" si="0"/>
        <v>1</v>
      </c>
      <c r="Q34" s="305" t="s">
        <v>147</v>
      </c>
      <c r="R34" s="306">
        <f>Utilidad!E31</f>
        <v>0.01</v>
      </c>
    </row>
    <row r="35" spans="2:18" ht="24">
      <c r="B35" s="305" t="s">
        <v>148</v>
      </c>
      <c r="C35" s="302">
        <f>Utilidad!A32</f>
        <v>123260.6</v>
      </c>
      <c r="D35" s="306">
        <f>IF(Utilidad!C32&gt;1,Utilidad!C32/100,Utilidad!C32)</f>
        <v>0</v>
      </c>
      <c r="F35" s="305" t="s">
        <v>148</v>
      </c>
      <c r="G35" s="302">
        <f>Utilidad!B32</f>
        <v>123260.6</v>
      </c>
      <c r="H35" s="306">
        <f>IF(Utilidad!D32&gt;1,Utilidad!D32/100,Utilidad!D32)</f>
        <v>0</v>
      </c>
      <c r="J35" s="314">
        <f t="shared" si="4"/>
        <v>0</v>
      </c>
      <c r="K35" s="314">
        <f t="shared" si="5"/>
        <v>-1</v>
      </c>
      <c r="L35" s="121"/>
      <c r="M35" s="316">
        <f t="shared" si="6"/>
        <v>0</v>
      </c>
      <c r="N35" s="316">
        <f t="shared" si="0"/>
        <v>1</v>
      </c>
      <c r="Q35" s="305" t="s">
        <v>148</v>
      </c>
      <c r="R35" s="306">
        <f>Utilidad!E32</f>
        <v>0.01</v>
      </c>
    </row>
    <row r="36" spans="2:18" ht="24">
      <c r="B36" s="305" t="s">
        <v>149</v>
      </c>
      <c r="C36" s="302">
        <f>Utilidad!A33</f>
        <v>0</v>
      </c>
      <c r="D36" s="306">
        <f>IF(Utilidad!C33&gt;1,Utilidad!C33/100,Utilidad!C33)</f>
        <v>0</v>
      </c>
      <c r="F36" s="305" t="s">
        <v>149</v>
      </c>
      <c r="G36" s="302">
        <f>Utilidad!B33</f>
        <v>0</v>
      </c>
      <c r="H36" s="306">
        <f>IF(Utilidad!D33&gt;1,Utilidad!D33/100,Utilidad!D33)</f>
        <v>0</v>
      </c>
      <c r="J36" s="314">
        <f t="shared" si="4"/>
        <v>0</v>
      </c>
      <c r="K36" s="314">
        <f t="shared" si="5"/>
        <v>0</v>
      </c>
      <c r="L36" s="121"/>
      <c r="M36" s="316">
        <f t="shared" si="6"/>
        <v>0</v>
      </c>
      <c r="N36" s="316">
        <f t="shared" si="0"/>
        <v>0</v>
      </c>
      <c r="Q36" s="305" t="s">
        <v>149</v>
      </c>
      <c r="R36" s="306">
        <f>Utilidad!E33</f>
        <v>0.01</v>
      </c>
    </row>
    <row r="37" spans="2:18" ht="24">
      <c r="B37" s="305" t="s">
        <v>31</v>
      </c>
      <c r="C37" s="302">
        <f>Utilidad!A34</f>
        <v>-3287.8954015671002</v>
      </c>
      <c r="D37" s="306">
        <f>IF(Utilidad!C34&gt;1,Utilidad!C34/100,Utilidad!C34)</f>
        <v>0</v>
      </c>
      <c r="F37" s="305" t="s">
        <v>31</v>
      </c>
      <c r="G37" s="302">
        <f>Utilidad!B34</f>
        <v>-3287.8954015671002</v>
      </c>
      <c r="H37" s="306">
        <f>IF(Utilidad!D34&gt;1,Utilidad!D34/100,Utilidad!D34)</f>
        <v>0</v>
      </c>
      <c r="J37" s="314">
        <f t="shared" si="4"/>
        <v>0</v>
      </c>
      <c r="K37" s="314">
        <f t="shared" si="5"/>
        <v>-1</v>
      </c>
      <c r="L37" s="121"/>
      <c r="M37" s="316">
        <f t="shared" si="6"/>
        <v>0</v>
      </c>
      <c r="N37" s="316">
        <f t="shared" si="0"/>
        <v>1</v>
      </c>
      <c r="Q37" s="305" t="s">
        <v>31</v>
      </c>
      <c r="R37" s="306">
        <f>Utilidad!E34</f>
        <v>0.01</v>
      </c>
    </row>
    <row r="38" spans="2:18" ht="24">
      <c r="B38" s="305" t="s">
        <v>150</v>
      </c>
      <c r="C38" s="302">
        <f>Utilidad!A35</f>
        <v>4312.5021039050998</v>
      </c>
      <c r="D38" s="306">
        <f>IF(Utilidad!C35&gt;1,Utilidad!C35/100,Utilidad!C35)</f>
        <v>0</v>
      </c>
      <c r="F38" s="305" t="s">
        <v>150</v>
      </c>
      <c r="G38" s="302">
        <f>Utilidad!B35</f>
        <v>4312.5021039050998</v>
      </c>
      <c r="H38" s="306">
        <f>IF(Utilidad!D35&gt;1,Utilidad!D35/100,Utilidad!D35)</f>
        <v>0</v>
      </c>
      <c r="J38" s="314">
        <f t="shared" si="4"/>
        <v>0</v>
      </c>
      <c r="K38" s="314">
        <f t="shared" si="5"/>
        <v>-1</v>
      </c>
      <c r="L38" s="121"/>
      <c r="M38" s="316">
        <f t="shared" si="6"/>
        <v>0</v>
      </c>
      <c r="N38" s="316">
        <f t="shared" si="0"/>
        <v>1</v>
      </c>
      <c r="Q38" s="305" t="s">
        <v>150</v>
      </c>
      <c r="R38" s="306">
        <f>Utilidad!E35</f>
        <v>0.01</v>
      </c>
    </row>
    <row r="39" spans="2:18" ht="24">
      <c r="B39" s="305" t="s">
        <v>67</v>
      </c>
      <c r="C39" s="302">
        <f>Utilidad!A36</f>
        <v>-6548.9178960949002</v>
      </c>
      <c r="D39" s="306">
        <f>IF(Utilidad!C36&gt;1,Utilidad!C36/100,Utilidad!C36)</f>
        <v>0</v>
      </c>
      <c r="F39" s="305" t="s">
        <v>67</v>
      </c>
      <c r="G39" s="302">
        <f>Utilidad!B36</f>
        <v>-6548.9178960949002</v>
      </c>
      <c r="H39" s="306">
        <f>IF(Utilidad!D36&gt;1,Utilidad!D36/100,Utilidad!D36)</f>
        <v>0</v>
      </c>
      <c r="J39" s="314">
        <f t="shared" si="4"/>
        <v>0</v>
      </c>
      <c r="K39" s="314">
        <f t="shared" si="5"/>
        <v>-1</v>
      </c>
      <c r="L39" s="121"/>
      <c r="M39" s="316">
        <f t="shared" si="6"/>
        <v>0</v>
      </c>
      <c r="N39" s="316">
        <f t="shared" si="0"/>
        <v>1</v>
      </c>
      <c r="Q39" s="305" t="s">
        <v>67</v>
      </c>
      <c r="R39" s="306">
        <f>Utilidad!E36</f>
        <v>0.01</v>
      </c>
    </row>
    <row r="40" spans="2:18" ht="24">
      <c r="B40" s="305" t="s">
        <v>151</v>
      </c>
      <c r="C40" s="302">
        <f>Utilidad!A37</f>
        <v>108207.245</v>
      </c>
      <c r="D40" s="306">
        <f>IF(Utilidad!C37&gt;1,Utilidad!C37/100,Utilidad!C37)</f>
        <v>0</v>
      </c>
      <c r="F40" s="305" t="s">
        <v>151</v>
      </c>
      <c r="G40" s="302">
        <f>Utilidad!B37</f>
        <v>108207.245</v>
      </c>
      <c r="H40" s="306">
        <f>IF(Utilidad!D37&gt;1,Utilidad!D37/100,Utilidad!D37)</f>
        <v>0</v>
      </c>
      <c r="J40" s="314">
        <f t="shared" si="4"/>
        <v>0</v>
      </c>
      <c r="K40" s="314">
        <f t="shared" si="5"/>
        <v>-1</v>
      </c>
      <c r="L40" s="121"/>
      <c r="M40" s="316">
        <f t="shared" si="6"/>
        <v>0</v>
      </c>
      <c r="N40" s="316">
        <f t="shared" si="0"/>
        <v>1</v>
      </c>
      <c r="Q40" s="305" t="s">
        <v>151</v>
      </c>
      <c r="R40" s="306">
        <f>Utilidad!E37</f>
        <v>0.01</v>
      </c>
    </row>
    <row r="41" spans="2:18" ht="24">
      <c r="B41" s="305" t="s">
        <v>15</v>
      </c>
      <c r="C41" s="302">
        <f>Utilidad!A38</f>
        <v>117765.29459999999</v>
      </c>
      <c r="D41" s="306">
        <f>IF(Utilidad!C38&gt;1,Utilidad!C38/100,Utilidad!C38)</f>
        <v>0</v>
      </c>
      <c r="F41" s="305" t="s">
        <v>15</v>
      </c>
      <c r="G41" s="302">
        <f>Utilidad!B38</f>
        <v>117765.29459999999</v>
      </c>
      <c r="H41" s="306">
        <f>IF(Utilidad!D38&gt;1,Utilidad!D38/100,Utilidad!D38)</f>
        <v>0</v>
      </c>
      <c r="J41" s="314">
        <f t="shared" si="4"/>
        <v>0</v>
      </c>
      <c r="K41" s="314">
        <f t="shared" si="5"/>
        <v>-1</v>
      </c>
      <c r="L41" s="121"/>
      <c r="M41" s="316">
        <f t="shared" si="6"/>
        <v>0</v>
      </c>
      <c r="N41" s="316">
        <f t="shared" si="0"/>
        <v>1</v>
      </c>
      <c r="Q41" s="305" t="s">
        <v>15</v>
      </c>
      <c r="R41" s="306">
        <f>Utilidad!E38</f>
        <v>0.01</v>
      </c>
    </row>
    <row r="42" spans="2:18" ht="24">
      <c r="B42" s="305" t="s">
        <v>152</v>
      </c>
      <c r="C42" s="302">
        <f>Utilidad!A39</f>
        <v>0</v>
      </c>
      <c r="D42" s="306">
        <f>IF(Utilidad!C39&gt;1,Utilidad!C39/100,Utilidad!C39)</f>
        <v>0</v>
      </c>
      <c r="F42" s="305" t="s">
        <v>152</v>
      </c>
      <c r="G42" s="302">
        <f>Utilidad!B39</f>
        <v>0</v>
      </c>
      <c r="H42" s="306">
        <f>IF(Utilidad!D39&gt;1,Utilidad!D39/100,Utilidad!D39)</f>
        <v>0</v>
      </c>
      <c r="J42" s="314">
        <f t="shared" si="4"/>
        <v>0</v>
      </c>
      <c r="K42" s="314">
        <f t="shared" si="5"/>
        <v>0</v>
      </c>
      <c r="L42" s="121"/>
      <c r="M42" s="316">
        <f t="shared" si="6"/>
        <v>0</v>
      </c>
      <c r="N42" s="316">
        <f t="shared" si="0"/>
        <v>0</v>
      </c>
      <c r="Q42" s="305" t="s">
        <v>152</v>
      </c>
      <c r="R42" s="306">
        <f>Utilidad!E39</f>
        <v>0.01</v>
      </c>
    </row>
    <row r="43" spans="2:18" ht="24">
      <c r="B43" s="305" t="s">
        <v>153</v>
      </c>
      <c r="C43" s="302">
        <f>Utilidad!A40</f>
        <v>1926.6</v>
      </c>
      <c r="D43" s="306">
        <f>IF(Utilidad!C40&gt;1,Utilidad!C40/100,Utilidad!C40)</f>
        <v>0</v>
      </c>
      <c r="F43" s="305" t="s">
        <v>153</v>
      </c>
      <c r="G43" s="302">
        <f>Utilidad!B40</f>
        <v>1926.6</v>
      </c>
      <c r="H43" s="306">
        <f>IF(Utilidad!D40&gt;1,Utilidad!D40/100,Utilidad!D40)</f>
        <v>0</v>
      </c>
      <c r="J43" s="314">
        <f t="shared" si="4"/>
        <v>0</v>
      </c>
      <c r="K43" s="314">
        <f t="shared" si="5"/>
        <v>-1</v>
      </c>
      <c r="L43" s="121"/>
      <c r="M43" s="316">
        <f t="shared" si="6"/>
        <v>0</v>
      </c>
      <c r="N43" s="316">
        <f t="shared" si="0"/>
        <v>1</v>
      </c>
      <c r="Q43" s="305" t="s">
        <v>153</v>
      </c>
      <c r="R43" s="306">
        <f>Utilidad!E40</f>
        <v>0.01</v>
      </c>
    </row>
    <row r="44" spans="2:18" ht="24">
      <c r="B44" s="305" t="s">
        <v>154</v>
      </c>
      <c r="C44" s="302">
        <f>Utilidad!A41</f>
        <v>1541.28</v>
      </c>
      <c r="D44" s="306">
        <f>IF(Utilidad!C41&gt;1,Utilidad!C41/100,Utilidad!C41)</f>
        <v>0</v>
      </c>
      <c r="F44" s="305" t="s">
        <v>154</v>
      </c>
      <c r="G44" s="302">
        <f>Utilidad!B41</f>
        <v>1541.28</v>
      </c>
      <c r="H44" s="306">
        <f>IF(Utilidad!D41&gt;1,Utilidad!D41/100,Utilidad!D41)</f>
        <v>0</v>
      </c>
      <c r="J44" s="314">
        <f t="shared" si="4"/>
        <v>0</v>
      </c>
      <c r="K44" s="314">
        <f t="shared" si="5"/>
        <v>-1</v>
      </c>
      <c r="L44" s="121"/>
      <c r="M44" s="316">
        <f t="shared" si="6"/>
        <v>0</v>
      </c>
      <c r="N44" s="316">
        <f t="shared" si="0"/>
        <v>1</v>
      </c>
      <c r="Q44" s="305" t="s">
        <v>154</v>
      </c>
      <c r="R44" s="306">
        <f>Utilidad!E41</f>
        <v>0.01</v>
      </c>
    </row>
    <row r="45" spans="2:18" ht="24">
      <c r="B45" s="305" t="s">
        <v>155</v>
      </c>
      <c r="C45" s="302">
        <f>Utilidad!A42</f>
        <v>385.32</v>
      </c>
      <c r="D45" s="306">
        <f>IF(Utilidad!C42&gt;1,Utilidad!C42/100,Utilidad!C42)</f>
        <v>0</v>
      </c>
      <c r="F45" s="305" t="s">
        <v>155</v>
      </c>
      <c r="G45" s="302">
        <f>Utilidad!B42</f>
        <v>385.32</v>
      </c>
      <c r="H45" s="306">
        <f>IF(Utilidad!D42&gt;1,Utilidad!D42/100,Utilidad!D42)</f>
        <v>0</v>
      </c>
      <c r="J45" s="314">
        <f t="shared" si="4"/>
        <v>0</v>
      </c>
      <c r="K45" s="314">
        <f t="shared" si="5"/>
        <v>-1</v>
      </c>
      <c r="L45" s="121"/>
      <c r="M45" s="316">
        <f t="shared" si="6"/>
        <v>0</v>
      </c>
      <c r="N45" s="316">
        <f t="shared" si="0"/>
        <v>1</v>
      </c>
      <c r="Q45" s="305" t="s">
        <v>155</v>
      </c>
      <c r="R45" s="306">
        <f>Utilidad!E42</f>
        <v>0.01</v>
      </c>
    </row>
    <row r="46" spans="2:18" ht="24">
      <c r="B46" s="305" t="s">
        <v>156</v>
      </c>
      <c r="C46" s="302">
        <f>Utilidad!A43</f>
        <v>385.32</v>
      </c>
      <c r="D46" s="306">
        <f>IF(Utilidad!C43&gt;1,Utilidad!C43/100,Utilidad!C43)</f>
        <v>0</v>
      </c>
      <c r="F46" s="305" t="s">
        <v>156</v>
      </c>
      <c r="G46" s="302">
        <f>Utilidad!B43</f>
        <v>385.32</v>
      </c>
      <c r="H46" s="306">
        <f>IF(Utilidad!D43&gt;1,Utilidad!D43/100,Utilidad!D43)</f>
        <v>0</v>
      </c>
      <c r="J46" s="314">
        <f t="shared" si="4"/>
        <v>0</v>
      </c>
      <c r="K46" s="314">
        <f t="shared" si="5"/>
        <v>-1</v>
      </c>
      <c r="L46" s="121"/>
      <c r="M46" s="316">
        <f t="shared" si="6"/>
        <v>0</v>
      </c>
      <c r="N46" s="316">
        <f t="shared" si="0"/>
        <v>1</v>
      </c>
      <c r="Q46" s="305" t="s">
        <v>156</v>
      </c>
      <c r="R46" s="306">
        <f>Utilidad!E43</f>
        <v>0.01</v>
      </c>
    </row>
    <row r="47" spans="2:18" ht="24">
      <c r="B47" s="305" t="s">
        <v>157</v>
      </c>
      <c r="C47" s="302">
        <f>Utilidad!A44</f>
        <v>0</v>
      </c>
      <c r="D47" s="306">
        <f>IF(Utilidad!C44&gt;1,Utilidad!C44/100,Utilidad!C44)</f>
        <v>0</v>
      </c>
      <c r="F47" s="305" t="s">
        <v>157</v>
      </c>
      <c r="G47" s="302">
        <f>Utilidad!B44</f>
        <v>0</v>
      </c>
      <c r="H47" s="306">
        <f>IF(Utilidad!D44&gt;1,Utilidad!D44/100,Utilidad!D44)</f>
        <v>0</v>
      </c>
      <c r="J47" s="314">
        <f t="shared" si="4"/>
        <v>0</v>
      </c>
      <c r="K47" s="314">
        <f t="shared" si="5"/>
        <v>0</v>
      </c>
      <c r="L47" s="121"/>
      <c r="M47" s="316">
        <f t="shared" si="6"/>
        <v>0</v>
      </c>
      <c r="N47" s="316">
        <f t="shared" si="0"/>
        <v>0</v>
      </c>
      <c r="Q47" s="305" t="s">
        <v>157</v>
      </c>
      <c r="R47" s="306">
        <f>Utilidad!E44</f>
        <v>0.01</v>
      </c>
    </row>
    <row r="48" spans="2:18" ht="24">
      <c r="B48" s="305" t="s">
        <v>158</v>
      </c>
      <c r="C48" s="302">
        <f>Utilidad!A45</f>
        <v>0</v>
      </c>
      <c r="D48" s="306">
        <f>IF(Utilidad!C45&gt;1,Utilidad!C45/100,Utilidad!C45)</f>
        <v>0</v>
      </c>
      <c r="F48" s="305" t="s">
        <v>158</v>
      </c>
      <c r="G48" s="302">
        <f>Utilidad!B45</f>
        <v>0</v>
      </c>
      <c r="H48" s="306">
        <f>IF(Utilidad!D45&gt;1,Utilidad!D45/100,Utilidad!D45)</f>
        <v>0</v>
      </c>
      <c r="J48" s="314">
        <f t="shared" si="4"/>
        <v>0</v>
      </c>
      <c r="K48" s="314">
        <f t="shared" si="5"/>
        <v>0</v>
      </c>
      <c r="L48" s="121"/>
      <c r="M48" s="316">
        <f t="shared" si="6"/>
        <v>0</v>
      </c>
      <c r="N48" s="316">
        <f t="shared" si="0"/>
        <v>0</v>
      </c>
      <c r="Q48" s="305" t="s">
        <v>158</v>
      </c>
      <c r="R48" s="306">
        <f>Utilidad!E45</f>
        <v>0.01</v>
      </c>
    </row>
    <row r="49" spans="2:18" ht="24">
      <c r="B49" s="305" t="s">
        <v>159</v>
      </c>
      <c r="C49" s="302">
        <f>Utilidad!A46</f>
        <v>0</v>
      </c>
      <c r="D49" s="306">
        <f>IF(Utilidad!C46&gt;1,Utilidad!C46/100,Utilidad!C46)</f>
        <v>0</v>
      </c>
      <c r="F49" s="305" t="s">
        <v>159</v>
      </c>
      <c r="G49" s="302">
        <f>Utilidad!B46</f>
        <v>0</v>
      </c>
      <c r="H49" s="306">
        <f>IF(Utilidad!D46&gt;1,Utilidad!D46/100,Utilidad!D46)</f>
        <v>0</v>
      </c>
      <c r="J49" s="314">
        <f t="shared" si="4"/>
        <v>0</v>
      </c>
      <c r="K49" s="314">
        <f t="shared" si="5"/>
        <v>0</v>
      </c>
      <c r="L49" s="121"/>
      <c r="M49" s="316">
        <f t="shared" si="6"/>
        <v>0</v>
      </c>
      <c r="N49" s="316">
        <f t="shared" si="0"/>
        <v>0</v>
      </c>
      <c r="Q49" s="305" t="s">
        <v>159</v>
      </c>
      <c r="R49" s="306">
        <f>Utilidad!E46</f>
        <v>0.01</v>
      </c>
    </row>
    <row r="50" spans="2:18" ht="24">
      <c r="B50" s="305" t="s">
        <v>160</v>
      </c>
      <c r="C50" s="302">
        <f>Utilidad!A47</f>
        <v>0</v>
      </c>
      <c r="D50" s="306">
        <f>IF(Utilidad!C47&gt;1,Utilidad!C47/100,Utilidad!C47)</f>
        <v>0</v>
      </c>
      <c r="F50" s="305" t="s">
        <v>160</v>
      </c>
      <c r="G50" s="302">
        <f>Utilidad!B47</f>
        <v>0</v>
      </c>
      <c r="H50" s="306">
        <f>IF(Utilidad!D47&gt;1,Utilidad!D47/100,Utilidad!D47)</f>
        <v>0</v>
      </c>
      <c r="J50" s="314">
        <f t="shared" si="4"/>
        <v>0</v>
      </c>
      <c r="K50" s="314">
        <f t="shared" si="5"/>
        <v>0</v>
      </c>
      <c r="L50" s="121"/>
      <c r="M50" s="316">
        <f t="shared" si="6"/>
        <v>0</v>
      </c>
      <c r="N50" s="316">
        <f t="shared" si="0"/>
        <v>0</v>
      </c>
      <c r="Q50" s="305" t="s">
        <v>160</v>
      </c>
      <c r="R50" s="306">
        <f>Utilidad!E47</f>
        <v>0.01</v>
      </c>
    </row>
    <row r="51" spans="2:18" ht="24">
      <c r="B51" s="305" t="s">
        <v>161</v>
      </c>
      <c r="C51" s="302">
        <f>Utilidad!A48</f>
        <v>0</v>
      </c>
      <c r="D51" s="306">
        <f>IF(Utilidad!C48&gt;1,Utilidad!C48/100,Utilidad!C48)</f>
        <v>0</v>
      </c>
      <c r="F51" s="305" t="s">
        <v>161</v>
      </c>
      <c r="G51" s="302">
        <f>Utilidad!B48</f>
        <v>0</v>
      </c>
      <c r="H51" s="306">
        <f>IF(Utilidad!D48&gt;1,Utilidad!D48/100,Utilidad!D48)</f>
        <v>0</v>
      </c>
      <c r="J51" s="314">
        <f t="shared" si="4"/>
        <v>0</v>
      </c>
      <c r="K51" s="314">
        <f t="shared" si="5"/>
        <v>0</v>
      </c>
      <c r="L51" s="121"/>
      <c r="M51" s="316">
        <f t="shared" si="6"/>
        <v>0</v>
      </c>
      <c r="N51" s="316">
        <f t="shared" si="0"/>
        <v>0</v>
      </c>
      <c r="Q51" s="305" t="s">
        <v>161</v>
      </c>
      <c r="R51" s="306">
        <f>Utilidad!E48</f>
        <v>0.01</v>
      </c>
    </row>
    <row r="52" spans="2:18" ht="24">
      <c r="B52" s="305" t="s">
        <v>162</v>
      </c>
      <c r="C52" s="302">
        <f>Utilidad!A49</f>
        <v>10861.42</v>
      </c>
      <c r="D52" s="306">
        <f>IF(Utilidad!C49&gt;1,Utilidad!C49/100,Utilidad!C49)</f>
        <v>0</v>
      </c>
      <c r="F52" s="305" t="s">
        <v>162</v>
      </c>
      <c r="G52" s="302">
        <f>Utilidad!B49</f>
        <v>10861.42</v>
      </c>
      <c r="H52" s="306">
        <f>IF(Utilidad!D49&gt;1,Utilidad!D49/100,Utilidad!D49)</f>
        <v>0</v>
      </c>
      <c r="J52" s="314">
        <f t="shared" si="4"/>
        <v>0</v>
      </c>
      <c r="K52" s="314">
        <f t="shared" si="5"/>
        <v>-1</v>
      </c>
      <c r="L52" s="121"/>
      <c r="M52" s="316">
        <f t="shared" si="6"/>
        <v>0</v>
      </c>
      <c r="N52" s="316">
        <f t="shared" si="0"/>
        <v>1</v>
      </c>
      <c r="Q52" s="305" t="s">
        <v>162</v>
      </c>
      <c r="R52" s="306">
        <f>Utilidad!E49</f>
        <v>0.01</v>
      </c>
    </row>
    <row r="53" spans="2:18" ht="24">
      <c r="B53" s="305" t="s">
        <v>163</v>
      </c>
      <c r="C53" s="302">
        <f>Utilidad!A50</f>
        <v>1303.3704</v>
      </c>
      <c r="D53" s="306">
        <f>IF(Utilidad!C50&gt;1,Utilidad!C50/100,Utilidad!C50)</f>
        <v>0</v>
      </c>
      <c r="F53" s="305" t="s">
        <v>163</v>
      </c>
      <c r="G53" s="302">
        <f>Utilidad!B50</f>
        <v>1303.3704</v>
      </c>
      <c r="H53" s="306">
        <f>IF(Utilidad!D50&gt;1,Utilidad!D50/100,Utilidad!D50)</f>
        <v>0</v>
      </c>
      <c r="J53" s="314">
        <f t="shared" si="4"/>
        <v>0</v>
      </c>
      <c r="K53" s="314">
        <f t="shared" si="5"/>
        <v>-1</v>
      </c>
      <c r="L53" s="121"/>
      <c r="M53" s="316">
        <f t="shared" si="6"/>
        <v>0</v>
      </c>
      <c r="N53" s="316">
        <f t="shared" si="0"/>
        <v>1</v>
      </c>
      <c r="Q53" s="305" t="s">
        <v>163</v>
      </c>
      <c r="R53" s="306">
        <f>Utilidad!E50</f>
        <v>0.01</v>
      </c>
    </row>
    <row r="54" spans="2:18" ht="24">
      <c r="B54" s="305" t="s">
        <v>164</v>
      </c>
      <c r="C54" s="302">
        <f>Utilidad!A51</f>
        <v>0</v>
      </c>
      <c r="D54" s="306">
        <f>IF(Utilidad!C51&gt;1,Utilidad!C51/100,Utilidad!C51)</f>
        <v>0</v>
      </c>
      <c r="F54" s="305" t="s">
        <v>164</v>
      </c>
      <c r="G54" s="302">
        <f>Utilidad!B51</f>
        <v>0</v>
      </c>
      <c r="H54" s="306">
        <f>IF(Utilidad!D51&gt;1,Utilidad!D51/100,Utilidad!D51)</f>
        <v>0</v>
      </c>
      <c r="J54" s="314">
        <f t="shared" si="4"/>
        <v>0</v>
      </c>
      <c r="K54" s="314">
        <f t="shared" si="5"/>
        <v>0</v>
      </c>
      <c r="L54" s="121"/>
      <c r="M54" s="316">
        <f t="shared" si="6"/>
        <v>0</v>
      </c>
      <c r="N54" s="316">
        <f t="shared" si="0"/>
        <v>0</v>
      </c>
      <c r="Q54" s="305" t="s">
        <v>164</v>
      </c>
      <c r="R54" s="306">
        <f>Utilidad!E51</f>
        <v>0.01</v>
      </c>
    </row>
    <row r="55" spans="2:18" ht="24">
      <c r="B55" s="305" t="s">
        <v>165</v>
      </c>
      <c r="C55" s="302">
        <f>Utilidad!A52</f>
        <v>9558.0496000000003</v>
      </c>
      <c r="D55" s="306">
        <f>IF(Utilidad!C52&gt;1,Utilidad!C52/100,Utilidad!C52)</f>
        <v>0</v>
      </c>
      <c r="F55" s="305" t="s">
        <v>165</v>
      </c>
      <c r="G55" s="302">
        <f>Utilidad!B52</f>
        <v>9558.0496000000003</v>
      </c>
      <c r="H55" s="306">
        <f>IF(Utilidad!D52&gt;1,Utilidad!D52/100,Utilidad!D52)</f>
        <v>0</v>
      </c>
      <c r="J55" s="314">
        <f t="shared" si="4"/>
        <v>0</v>
      </c>
      <c r="K55" s="314">
        <f t="shared" si="5"/>
        <v>-1</v>
      </c>
      <c r="L55" s="121"/>
      <c r="M55" s="316">
        <f t="shared" si="6"/>
        <v>0</v>
      </c>
      <c r="N55" s="316">
        <f t="shared" si="0"/>
        <v>1</v>
      </c>
      <c r="Q55" s="305" t="s">
        <v>165</v>
      </c>
      <c r="R55" s="306">
        <f>Utilidad!E52</f>
        <v>0.01</v>
      </c>
    </row>
    <row r="56" spans="2:18" ht="24">
      <c r="B56" s="305" t="s">
        <v>166</v>
      </c>
      <c r="C56" s="302">
        <f>Utilidad!A53</f>
        <v>0</v>
      </c>
      <c r="D56" s="306">
        <f>IF(Utilidad!C53&gt;1,Utilidad!C53/100,Utilidad!C53)</f>
        <v>0</v>
      </c>
      <c r="F56" s="305" t="s">
        <v>166</v>
      </c>
      <c r="G56" s="302">
        <f>Utilidad!B53</f>
        <v>0</v>
      </c>
      <c r="H56" s="306">
        <f>IF(Utilidad!D53&gt;1,Utilidad!D53/100,Utilidad!D53)</f>
        <v>0</v>
      </c>
      <c r="J56" s="314">
        <f t="shared" si="4"/>
        <v>0</v>
      </c>
      <c r="K56" s="314">
        <f t="shared" si="5"/>
        <v>0</v>
      </c>
      <c r="L56" s="121"/>
      <c r="M56" s="316">
        <f t="shared" si="6"/>
        <v>0</v>
      </c>
      <c r="N56" s="316">
        <f t="shared" si="0"/>
        <v>0</v>
      </c>
      <c r="Q56" s="305" t="s">
        <v>166</v>
      </c>
      <c r="R56" s="306">
        <f>Utilidad!E53</f>
        <v>0.01</v>
      </c>
    </row>
    <row r="57" spans="2:18" ht="24">
      <c r="B57" s="305" t="s">
        <v>167</v>
      </c>
      <c r="C57" s="302">
        <f>Utilidad!A54</f>
        <v>0</v>
      </c>
      <c r="D57" s="306">
        <f>IF(Utilidad!C54&gt;1,Utilidad!C54/100,Utilidad!C54)</f>
        <v>0</v>
      </c>
      <c r="F57" s="305" t="s">
        <v>167</v>
      </c>
      <c r="G57" s="302">
        <f>Utilidad!B54</f>
        <v>0</v>
      </c>
      <c r="H57" s="306">
        <f>IF(Utilidad!D54&gt;1,Utilidad!D54/100,Utilidad!D54)</f>
        <v>0</v>
      </c>
      <c r="J57" s="314">
        <f t="shared" si="4"/>
        <v>0</v>
      </c>
      <c r="K57" s="314">
        <f t="shared" si="5"/>
        <v>0</v>
      </c>
      <c r="L57" s="121"/>
      <c r="M57" s="316">
        <f t="shared" si="6"/>
        <v>0</v>
      </c>
      <c r="N57" s="316">
        <f t="shared" si="0"/>
        <v>0</v>
      </c>
      <c r="Q57" s="305" t="s">
        <v>167</v>
      </c>
      <c r="R57" s="306">
        <f>Utilidad!E54</f>
        <v>0.01</v>
      </c>
    </row>
    <row r="58" spans="2:18" ht="24">
      <c r="B58" s="305" t="s">
        <v>14</v>
      </c>
      <c r="C58" s="302">
        <f>Utilidad!A55</f>
        <v>1688.6904</v>
      </c>
      <c r="D58" s="306">
        <f>IF(Utilidad!C55&gt;1,Utilidad!C55/100,Utilidad!C55)</f>
        <v>0</v>
      </c>
      <c r="F58" s="305" t="s">
        <v>14</v>
      </c>
      <c r="G58" s="302">
        <f>Utilidad!B55</f>
        <v>1688.6904</v>
      </c>
      <c r="H58" s="306">
        <f>IF(Utilidad!D55&gt;1,Utilidad!D55/100,Utilidad!D55)</f>
        <v>0</v>
      </c>
      <c r="J58" s="314">
        <f t="shared" si="4"/>
        <v>0</v>
      </c>
      <c r="K58" s="314">
        <f t="shared" si="5"/>
        <v>-1</v>
      </c>
      <c r="L58" s="121"/>
      <c r="M58" s="316">
        <f t="shared" si="6"/>
        <v>0</v>
      </c>
      <c r="N58" s="316">
        <f t="shared" si="0"/>
        <v>1</v>
      </c>
      <c r="Q58" s="305" t="s">
        <v>14</v>
      </c>
      <c r="R58" s="306">
        <f>Utilidad!E55</f>
        <v>0.01</v>
      </c>
    </row>
    <row r="59" spans="2:18" ht="24">
      <c r="B59" s="305" t="s">
        <v>168</v>
      </c>
      <c r="C59" s="302">
        <f>Utilidad!A56</f>
        <v>0</v>
      </c>
      <c r="D59" s="306">
        <f>IF(Utilidad!C56&gt;1,Utilidad!C56/100,Utilidad!C56)</f>
        <v>0</v>
      </c>
      <c r="F59" s="305" t="s">
        <v>168</v>
      </c>
      <c r="G59" s="302">
        <f>Utilidad!B56</f>
        <v>0</v>
      </c>
      <c r="H59" s="306">
        <f>IF(Utilidad!D56&gt;1,Utilidad!D56/100,Utilidad!D56)</f>
        <v>0</v>
      </c>
      <c r="J59" s="314">
        <f t="shared" si="4"/>
        <v>0</v>
      </c>
      <c r="K59" s="314">
        <f t="shared" si="5"/>
        <v>0</v>
      </c>
      <c r="L59" s="121"/>
      <c r="M59" s="316">
        <f t="shared" si="6"/>
        <v>0</v>
      </c>
      <c r="N59" s="316">
        <f t="shared" si="0"/>
        <v>0</v>
      </c>
      <c r="Q59" s="305" t="s">
        <v>168</v>
      </c>
      <c r="R59" s="306">
        <f>Utilidad!E56</f>
        <v>0.01</v>
      </c>
    </row>
    <row r="60" spans="2:18" ht="24">
      <c r="B60" s="305" t="s">
        <v>32</v>
      </c>
      <c r="C60" s="302">
        <f>Utilidad!A57</f>
        <v>11473.344999999999</v>
      </c>
      <c r="D60" s="306">
        <f>IF(Utilidad!C57&gt;1,Utilidad!C57/100,Utilidad!C57)</f>
        <v>0</v>
      </c>
      <c r="F60" s="305" t="s">
        <v>32</v>
      </c>
      <c r="G60" s="302">
        <f>Utilidad!B57</f>
        <v>11473.344999999999</v>
      </c>
      <c r="H60" s="306">
        <f>IF(Utilidad!D57&gt;1,Utilidad!D57/100,Utilidad!D57)</f>
        <v>0</v>
      </c>
      <c r="J60" s="314">
        <f t="shared" si="4"/>
        <v>0</v>
      </c>
      <c r="K60" s="314">
        <f t="shared" si="5"/>
        <v>-1</v>
      </c>
      <c r="L60" s="121"/>
      <c r="M60" s="316">
        <f t="shared" si="6"/>
        <v>0</v>
      </c>
      <c r="N60" s="316">
        <f t="shared" si="0"/>
        <v>1</v>
      </c>
      <c r="Q60" s="305" t="s">
        <v>32</v>
      </c>
      <c r="R60" s="306">
        <f>Utilidad!E57</f>
        <v>0.01</v>
      </c>
    </row>
    <row r="61" spans="2:18" ht="24">
      <c r="B61" s="305" t="s">
        <v>169</v>
      </c>
      <c r="C61" s="302">
        <f>Utilidad!A58</f>
        <v>0</v>
      </c>
      <c r="D61" s="306">
        <f>IF(Utilidad!C58&gt;1,Utilidad!C58/100,Utilidad!C58)</f>
        <v>0</v>
      </c>
      <c r="F61" s="305" t="s">
        <v>169</v>
      </c>
      <c r="G61" s="302">
        <f>Utilidad!B58</f>
        <v>0</v>
      </c>
      <c r="H61" s="306">
        <f>IF(Utilidad!D58&gt;1,Utilidad!D58/100,Utilidad!D58)</f>
        <v>0</v>
      </c>
      <c r="J61" s="314">
        <f t="shared" si="4"/>
        <v>0</v>
      </c>
      <c r="K61" s="314">
        <f t="shared" si="5"/>
        <v>0</v>
      </c>
      <c r="L61" s="121"/>
      <c r="M61" s="316">
        <f t="shared" si="6"/>
        <v>0</v>
      </c>
      <c r="N61" s="316">
        <f t="shared" si="0"/>
        <v>0</v>
      </c>
      <c r="Q61" s="305" t="s">
        <v>169</v>
      </c>
      <c r="R61" s="306">
        <f>Utilidad!E58</f>
        <v>0.01</v>
      </c>
    </row>
    <row r="62" spans="2:18" ht="24">
      <c r="B62" s="305" t="s">
        <v>33</v>
      </c>
      <c r="C62" s="302">
        <f>Utilidad!A59</f>
        <v>0</v>
      </c>
      <c r="D62" s="306">
        <f>IF(Utilidad!C59&gt;1,Utilidad!C59/100,Utilidad!C59)</f>
        <v>0</v>
      </c>
      <c r="F62" s="305" t="s">
        <v>33</v>
      </c>
      <c r="G62" s="302">
        <f>Utilidad!B59</f>
        <v>0</v>
      </c>
      <c r="H62" s="306">
        <f>IF(Utilidad!D59&gt;1,Utilidad!D59/100,Utilidad!D59)</f>
        <v>0</v>
      </c>
      <c r="J62" s="314">
        <f t="shared" si="4"/>
        <v>0</v>
      </c>
      <c r="K62" s="314">
        <f t="shared" si="5"/>
        <v>0</v>
      </c>
      <c r="L62" s="121"/>
      <c r="M62" s="316">
        <f t="shared" si="6"/>
        <v>0</v>
      </c>
      <c r="N62" s="316">
        <f t="shared" si="0"/>
        <v>0</v>
      </c>
      <c r="Q62" s="305" t="s">
        <v>33</v>
      </c>
      <c r="R62" s="306">
        <f>Utilidad!E59</f>
        <v>0.01</v>
      </c>
    </row>
    <row r="63" spans="2:18" ht="24">
      <c r="B63" s="305" t="s">
        <v>170</v>
      </c>
      <c r="C63" s="302">
        <f>Utilidad!A60</f>
        <v>0</v>
      </c>
      <c r="D63" s="306">
        <f>IF(Utilidad!C60&gt;1,Utilidad!C60/100,Utilidad!C60)</f>
        <v>0</v>
      </c>
      <c r="F63" s="305" t="s">
        <v>170</v>
      </c>
      <c r="G63" s="302">
        <f>Utilidad!B60</f>
        <v>0</v>
      </c>
      <c r="H63" s="306">
        <f>IF(Utilidad!D60&gt;1,Utilidad!D60/100,Utilidad!D60)</f>
        <v>0</v>
      </c>
      <c r="J63" s="314">
        <f t="shared" si="4"/>
        <v>0</v>
      </c>
      <c r="K63" s="314">
        <f t="shared" si="5"/>
        <v>0</v>
      </c>
      <c r="L63" s="121"/>
      <c r="M63" s="316">
        <f t="shared" si="6"/>
        <v>0</v>
      </c>
      <c r="N63" s="316">
        <f t="shared" si="0"/>
        <v>0</v>
      </c>
      <c r="Q63" s="305" t="s">
        <v>170</v>
      </c>
      <c r="R63" s="306">
        <f>Utilidad!E60</f>
        <v>0.01</v>
      </c>
    </row>
  </sheetData>
  <mergeCells count="3">
    <mergeCell ref="B2:D2"/>
    <mergeCell ref="F2:H2"/>
    <mergeCell ref="J2:K2"/>
  </mergeCells>
  <conditionalFormatting sqref="J4:K63">
    <cfRule type="expression" dxfId="1" priority="2">
      <formula>ABS(J4)&gt;=10%</formula>
    </cfRule>
  </conditionalFormatting>
  <conditionalFormatting sqref="L4:L5">
    <cfRule type="expression" dxfId="0" priority="1">
      <formula>ABS(L4)&gt;=10%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I57" zoomScale="120" zoomScaleNormal="120" workbookViewId="0">
      <selection activeCell="M93" sqref="M93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0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0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</f>
        <v>-4116.7369201152997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</f>
        <v>11473.344999999999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</f>
        <v>693.98717870610005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</v>
      </c>
      <c r="J30" s="117"/>
      <c r="K30" s="23"/>
      <c r="L30" s="23"/>
      <c r="M30" s="23"/>
      <c r="N30" s="87">
        <f>+Utilidad!O107</f>
        <v>0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0</v>
      </c>
      <c r="J31" s="23"/>
      <c r="K31" s="23"/>
      <c r="L31" s="23"/>
      <c r="M31" s="23"/>
      <c r="N31" s="90">
        <f>+Utilidad!P107</f>
        <v>0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0</v>
      </c>
      <c r="G32" s="23"/>
      <c r="H32" s="23"/>
      <c r="I32" s="23"/>
      <c r="J32" s="23"/>
      <c r="K32" s="23"/>
      <c r="L32" s="23"/>
      <c r="M32" s="23"/>
      <c r="O32" s="23"/>
      <c r="P32" s="144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0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0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</v>
      </c>
      <c r="K35" s="23"/>
      <c r="L35" s="23"/>
      <c r="M35" s="23"/>
      <c r="N35" s="23"/>
      <c r="O35" s="91">
        <f>+Utilidad!O106</f>
        <v>0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0</v>
      </c>
      <c r="K36" s="23"/>
      <c r="L36" s="88">
        <f>+J34+J44+J53+K59</f>
        <v>13483.055953228601</v>
      </c>
      <c r="M36" s="23"/>
      <c r="O36" s="92">
        <f>+Utilidad!P106</f>
        <v>0</v>
      </c>
      <c r="P36" s="23"/>
      <c r="Q36" s="23"/>
      <c r="R36" s="87">
        <f>+Utilidad!O109</f>
        <v>0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</v>
      </c>
      <c r="M37" s="23"/>
      <c r="P37" s="23"/>
      <c r="Q37" s="23"/>
      <c r="R37" s="90">
        <f>+Utilidad!P109</f>
        <v>0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</v>
      </c>
      <c r="J38" s="23"/>
      <c r="K38" s="23"/>
      <c r="L38" s="92">
        <f>+L36*L37</f>
        <v>0</v>
      </c>
      <c r="M38" s="85">
        <f>+Utilidad!N93</f>
        <v>13097.735953228599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0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</f>
        <v>1688.6904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</v>
      </c>
      <c r="R41" s="23"/>
      <c r="S41" s="92">
        <f>+Utilidad!P121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</f>
        <v>87216.858032629694</v>
      </c>
      <c r="E46" s="23"/>
      <c r="F46" s="92">
        <f>+Utilidad!P87</f>
        <v>0</v>
      </c>
      <c r="G46" s="23"/>
      <c r="H46" s="85">
        <f>+Utilidad!N77</f>
        <v>-870</v>
      </c>
      <c r="J46" s="92">
        <f>+Utilidad!P78</f>
        <v>0</v>
      </c>
      <c r="K46" s="23"/>
      <c r="L46" s="23"/>
      <c r="M46" s="85">
        <f>+Utilidad!N95</f>
        <v>1189.3055953229</v>
      </c>
      <c r="O46" s="92">
        <f>+Utilidad!P111</f>
        <v>0</v>
      </c>
      <c r="P46" s="23"/>
      <c r="Q46" s="87"/>
      <c r="R46" s="87">
        <f>+Utilidad!O116</f>
        <v>0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</f>
        <v>0</v>
      </c>
      <c r="E47" s="23"/>
      <c r="F47" s="23"/>
      <c r="G47" s="23"/>
      <c r="H47" s="92">
        <f>+Utilidad!P77</f>
        <v>0</v>
      </c>
      <c r="I47" s="23"/>
      <c r="J47" s="23"/>
      <c r="K47" s="23"/>
      <c r="L47" s="23"/>
      <c r="M47" s="92">
        <f>+Utilidad!P95</f>
        <v>0</v>
      </c>
      <c r="N47" s="23"/>
      <c r="O47" s="23"/>
      <c r="P47" s="23"/>
      <c r="Q47" s="90"/>
      <c r="R47" s="90">
        <f>+Utilidad!P116</f>
        <v>0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</v>
      </c>
      <c r="E50" s="23"/>
      <c r="F50" s="23"/>
      <c r="G50" s="23"/>
      <c r="H50" s="23"/>
      <c r="I50" s="92">
        <f>+Utilidad!P79</f>
        <v>0</v>
      </c>
      <c r="J50" s="23"/>
      <c r="K50" s="140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0</v>
      </c>
      <c r="E51" s="23"/>
      <c r="F51" s="23"/>
      <c r="G51" s="23"/>
      <c r="H51" s="23"/>
      <c r="I51" s="23"/>
      <c r="J51" s="23"/>
      <c r="K51" s="23"/>
      <c r="L51" s="91">
        <f>+Utilidad!O94</f>
        <v>0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0</v>
      </c>
      <c r="M52" s="23"/>
      <c r="N52" s="23"/>
      <c r="O52" s="87">
        <f>+Utilidad!O115</f>
        <v>0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0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0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</f>
        <v>-6548.9178960949002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0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</f>
        <v>0</v>
      </c>
      <c r="P57" s="23"/>
      <c r="Q57" s="23"/>
      <c r="R57" s="91">
        <f>+Utilidad!O118</f>
        <v>0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0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0</v>
      </c>
      <c r="J59" s="140">
        <f>+K59/(I57+F65)</f>
        <v>9.0681069695783476E-2</v>
      </c>
      <c r="K59" s="88">
        <f>+Utilidad!N92</f>
        <v>11983.055953228601</v>
      </c>
      <c r="L59" s="23"/>
      <c r="N59" s="87">
        <f>+Utilidad!O101</f>
        <v>0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</v>
      </c>
      <c r="L60" s="23"/>
      <c r="N60" s="90">
        <f>+Utilidad!P101</f>
        <v>0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0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0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</f>
        <v>117765.29459999999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0</v>
      </c>
      <c r="I69" s="23"/>
      <c r="J69" s="23"/>
      <c r="K69" s="23"/>
      <c r="L69" s="87">
        <f>+Utilidad!O98</f>
        <v>0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0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0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</f>
        <v>-3287.8954015671002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1"/>
      <c r="F84" s="141"/>
      <c r="G84" s="121"/>
      <c r="H84" s="443" t="s">
        <v>119</v>
      </c>
      <c r="I84" s="443"/>
      <c r="J84" s="443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440" t="s">
        <v>71</v>
      </c>
      <c r="D85" s="441"/>
      <c r="E85" s="136" t="s">
        <v>101</v>
      </c>
      <c r="F85" s="125" t="s">
        <v>117</v>
      </c>
      <c r="G85" s="125" t="s">
        <v>102</v>
      </c>
      <c r="H85" s="136" t="s">
        <v>174</v>
      </c>
      <c r="I85" s="136" t="s">
        <v>175</v>
      </c>
      <c r="J85" s="136" t="s">
        <v>120</v>
      </c>
      <c r="K85" s="136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6" t="s">
        <v>111</v>
      </c>
      <c r="Q85" s="145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'Datos Extra'!C21</f>
        <v>144250</v>
      </c>
      <c r="C86" s="438" t="s">
        <v>91</v>
      </c>
      <c r="D86" s="439"/>
      <c r="E86" s="134">
        <f>+R62/(1-'Datos Extra'!E4)</f>
        <v>108207.245</v>
      </c>
      <c r="F86" s="126"/>
      <c r="G86" s="134">
        <f>+T62/(1-'Datos Extra'!E22)</f>
        <v>0</v>
      </c>
      <c r="H86" s="134"/>
      <c r="I86" s="134"/>
      <c r="J86" s="134">
        <f>+E86+H86</f>
        <v>108207.245</v>
      </c>
      <c r="K86" s="134">
        <f>+G86+I86</f>
        <v>0</v>
      </c>
      <c r="L86" s="126">
        <f>'Datos Extra'!C37</f>
        <v>235613</v>
      </c>
      <c r="M86" s="126">
        <f>'Datos Extra'!D37</f>
        <v>343820.245</v>
      </c>
      <c r="N86" s="126">
        <f>'Datos Extra'!C14+H86-I86</f>
        <v>136144</v>
      </c>
      <c r="O86" s="131">
        <f>N86-M86</f>
        <v>-207676.245</v>
      </c>
      <c r="P86" s="128">
        <v>79.209999999999994</v>
      </c>
      <c r="Q86" s="146">
        <f>+O86*P86</f>
        <v>-16450035.366449999</v>
      </c>
      <c r="R86" s="148"/>
      <c r="S86" s="143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'Datos Extra'!C19</f>
        <v>8105.2783565110067</v>
      </c>
      <c r="C87" s="438" t="s">
        <v>92</v>
      </c>
      <c r="D87" s="439"/>
      <c r="E87" s="132">
        <f>+N58/(1-'Datos Extra'!E19)</f>
        <v>4334.1729687488441</v>
      </c>
      <c r="F87" s="126"/>
      <c r="G87" s="132">
        <f>IF(T48&gt;0,T48/(1-'Datos Extra'!E32),0)</f>
        <v>0</v>
      </c>
      <c r="H87" s="132"/>
      <c r="I87" s="132"/>
      <c r="J87" s="132">
        <f t="shared" ref="J87:J92" si="1">+E87+H87</f>
        <v>4334.1729687488441</v>
      </c>
      <c r="K87" s="132">
        <f t="shared" ref="K87:K88" si="2">+G87+I87</f>
        <v>0</v>
      </c>
      <c r="L87" s="126">
        <f>'Datos Extra'!C38</f>
        <v>50216</v>
      </c>
      <c r="M87" s="126">
        <f>'Datos Extra'!D38</f>
        <v>54550.172968748841</v>
      </c>
      <c r="N87" s="126">
        <f>'Datos Extra'!C15+H87-I87</f>
        <v>193552.08003454749</v>
      </c>
      <c r="O87" s="131">
        <f t="shared" ref="O87:O98" si="3">N87-M87</f>
        <v>139001.90706579864</v>
      </c>
      <c r="P87" s="128">
        <v>33.365380000000002</v>
      </c>
      <c r="Q87" s="146">
        <f t="shared" ref="Q87:Q98" si="4">+O87*P87</f>
        <v>4637851.4499750575</v>
      </c>
      <c r="R87" s="148"/>
      <c r="S87" s="143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'Datos Extra'!C14</f>
        <v>136144</v>
      </c>
      <c r="C88" s="438" t="s">
        <v>93</v>
      </c>
      <c r="D88" s="439"/>
      <c r="E88" s="132">
        <f>+(F44+D49)/(1-'Datos Extra'!E14)</f>
        <v>92776.120105678507</v>
      </c>
      <c r="F88" s="126"/>
      <c r="G88" s="132">
        <f>+U68/(1-'Datos Extra'!E15)</f>
        <v>0</v>
      </c>
      <c r="H88" s="132"/>
      <c r="I88" s="132"/>
      <c r="J88" s="132">
        <f>+E88+H88</f>
        <v>92776.120105678507</v>
      </c>
      <c r="K88" s="132">
        <f t="shared" si="2"/>
        <v>0</v>
      </c>
      <c r="L88" s="126">
        <f>'Datos Extra'!C39</f>
        <v>95389</v>
      </c>
      <c r="M88" s="126">
        <f>'Datos Extra'!D39</f>
        <v>188165.12010567851</v>
      </c>
      <c r="N88" s="126">
        <f>'Datos Extra'!C9+H88-I88</f>
        <v>0</v>
      </c>
      <c r="O88" s="131">
        <f t="shared" si="3"/>
        <v>-188165.12010567851</v>
      </c>
      <c r="P88" s="128">
        <v>39.83</v>
      </c>
      <c r="Q88" s="146">
        <f t="shared" si="4"/>
        <v>-7494616.733809175</v>
      </c>
      <c r="R88" s="148"/>
      <c r="S88" s="143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'Datos Extra'!C5</f>
        <v>356568</v>
      </c>
      <c r="C89" s="438" t="s">
        <v>94</v>
      </c>
      <c r="D89" s="439"/>
      <c r="E89" s="127">
        <f>+I19/(1-'Datos Extra'!E5)</f>
        <v>256044.5003281846</v>
      </c>
      <c r="F89" s="126"/>
      <c r="G89" s="127"/>
      <c r="H89" s="127"/>
      <c r="I89" s="127"/>
      <c r="J89" s="127"/>
      <c r="K89" s="127"/>
      <c r="L89" s="126">
        <f>'Datos Extra'!C40</f>
        <v>0</v>
      </c>
      <c r="M89" s="126">
        <f>'Datos Extra'!D40</f>
        <v>0</v>
      </c>
      <c r="N89" s="126"/>
      <c r="O89" s="131">
        <f t="shared" si="3"/>
        <v>0</v>
      </c>
      <c r="P89" s="128"/>
      <c r="Q89" s="146">
        <f t="shared" si="4"/>
        <v>0</v>
      </c>
      <c r="R89" s="148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438" t="s">
        <v>95</v>
      </c>
      <c r="D90" s="439"/>
      <c r="E90" s="127">
        <f>+I37/(1-0.0087)</f>
        <v>210726.89896800596</v>
      </c>
      <c r="F90" s="126"/>
      <c r="G90" s="127"/>
      <c r="H90" s="127"/>
      <c r="J90" s="127">
        <f t="shared" si="1"/>
        <v>210726.89896800596</v>
      </c>
      <c r="K90" s="127"/>
      <c r="L90" s="126">
        <f>'Datos Extra'!C41</f>
        <v>0</v>
      </c>
      <c r="M90" s="126">
        <f>'Datos Extra'!D41</f>
        <v>0</v>
      </c>
      <c r="N90" s="126"/>
      <c r="O90" s="131">
        <f t="shared" si="3"/>
        <v>0</v>
      </c>
      <c r="P90" s="128"/>
      <c r="Q90" s="146">
        <f t="shared" si="4"/>
        <v>0</v>
      </c>
      <c r="R90" s="148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438" t="s">
        <v>96</v>
      </c>
      <c r="D91" s="439"/>
      <c r="E91" s="130">
        <f>+F38*100</f>
        <v>82.434808049810343</v>
      </c>
      <c r="F91" s="126"/>
      <c r="G91" s="127"/>
      <c r="H91" s="127"/>
      <c r="I91" s="127"/>
      <c r="J91" s="127">
        <f>F38*100</f>
        <v>82.434808049810343</v>
      </c>
      <c r="K91" s="127"/>
      <c r="L91" s="126">
        <f>'Datos Extra'!C42</f>
        <v>0</v>
      </c>
      <c r="M91" s="126">
        <f>'Datos Extra'!D42</f>
        <v>0</v>
      </c>
      <c r="N91" s="126"/>
      <c r="O91" s="131">
        <f t="shared" si="3"/>
        <v>0</v>
      </c>
      <c r="P91" s="128"/>
      <c r="Q91" s="146">
        <f t="shared" si="4"/>
        <v>0</v>
      </c>
      <c r="R91" s="148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438" t="s">
        <v>97</v>
      </c>
      <c r="D92" s="439"/>
      <c r="E92" s="127">
        <f>+F31</f>
        <v>43011</v>
      </c>
      <c r="F92" s="126"/>
      <c r="G92" s="127"/>
      <c r="H92" s="127"/>
      <c r="I92" s="127"/>
      <c r="J92" s="127">
        <f t="shared" si="1"/>
        <v>43011</v>
      </c>
      <c r="K92" s="127"/>
      <c r="L92" s="126">
        <f>'Datos Extra'!C43</f>
        <v>0</v>
      </c>
      <c r="M92" s="126">
        <f>'Datos Extra'!D43</f>
        <v>0</v>
      </c>
      <c r="N92" s="126"/>
      <c r="O92" s="131">
        <f t="shared" si="3"/>
        <v>0</v>
      </c>
      <c r="P92" s="128"/>
      <c r="Q92" s="146">
        <f t="shared" si="4"/>
        <v>0</v>
      </c>
      <c r="R92" s="148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'Datos Extra'!C2</f>
        <v>324942</v>
      </c>
      <c r="C93" s="438" t="s">
        <v>103</v>
      </c>
      <c r="D93" s="439"/>
      <c r="E93" s="127">
        <f>+G12/(1-'Datos Extra'!E2)</f>
        <v>252106.70606015198</v>
      </c>
      <c r="F93" s="126"/>
      <c r="G93" s="127">
        <f>+E89</f>
        <v>256044.5003281846</v>
      </c>
      <c r="H93" s="132"/>
      <c r="I93" s="132"/>
      <c r="J93" s="132">
        <f>+E93+H93</f>
        <v>252106.70606015198</v>
      </c>
      <c r="K93" s="132">
        <f t="shared" ref="K93" si="5">+G93+I93</f>
        <v>256044.5003281846</v>
      </c>
      <c r="L93" s="126">
        <f>'Datos Extra'!C44</f>
        <v>0</v>
      </c>
      <c r="M93" s="126">
        <f>'Datos Extra'!D44</f>
        <v>-3937.7942680326232</v>
      </c>
      <c r="N93" s="126">
        <f>'Datos Extra'!C5+H93-I93</f>
        <v>356568</v>
      </c>
      <c r="O93" s="131">
        <f t="shared" si="3"/>
        <v>360505.79426803265</v>
      </c>
      <c r="P93" s="128">
        <f>+T94</f>
        <v>0</v>
      </c>
      <c r="Q93" s="146">
        <f t="shared" si="4"/>
        <v>0</v>
      </c>
      <c r="R93" s="148"/>
      <c r="S93" s="143"/>
      <c r="T93" s="121"/>
      <c r="U93" s="121"/>
      <c r="V93" s="121"/>
      <c r="W93" s="121"/>
      <c r="X93" s="121"/>
      <c r="Y93" s="121"/>
    </row>
    <row r="94" spans="2:25" ht="14.5" customHeight="1">
      <c r="B94" s="122">
        <f>'Datos Extra'!C3</f>
        <v>66934</v>
      </c>
      <c r="C94" s="438" t="s">
        <v>104</v>
      </c>
      <c r="D94" s="439"/>
      <c r="E94" s="132">
        <f>+O9/(1-'Datos Extra'!E3)</f>
        <v>11554.299896035125</v>
      </c>
      <c r="F94" s="126"/>
      <c r="G94" s="132">
        <f>+U17/(1-'Datos Extra'!E29)</f>
        <v>0</v>
      </c>
      <c r="H94" s="132"/>
      <c r="I94" s="132"/>
      <c r="J94" s="132">
        <f>+E94+H94</f>
        <v>11554.299896035125</v>
      </c>
      <c r="K94" s="132">
        <f t="shared" ref="K94:K95" si="6">+G94+I94</f>
        <v>0</v>
      </c>
      <c r="L94" s="126">
        <f>'Datos Extra'!C45</f>
        <v>174783</v>
      </c>
      <c r="M94" s="126">
        <f>'Datos Extra'!D45</f>
        <v>186337.29989603511</v>
      </c>
      <c r="N94" s="126">
        <f>'Datos Extra'!C15+H94-I94</f>
        <v>193552.08003454749</v>
      </c>
      <c r="O94" s="131">
        <f t="shared" si="3"/>
        <v>7214.7801385123748</v>
      </c>
      <c r="P94" s="128">
        <v>15.38</v>
      </c>
      <c r="Q94" s="146">
        <f t="shared" si="4"/>
        <v>110963.31853032034</v>
      </c>
      <c r="R94" s="148"/>
      <c r="S94" s="143"/>
      <c r="T94" s="121"/>
      <c r="U94" s="121"/>
      <c r="V94" s="121"/>
      <c r="W94" s="121"/>
      <c r="X94" s="121"/>
      <c r="Y94" s="121"/>
    </row>
    <row r="95" spans="2:25" ht="14.5" customHeight="1">
      <c r="B95" s="122">
        <f>'Datos Extra'!C26</f>
        <v>0</v>
      </c>
      <c r="C95" s="438" t="s">
        <v>98</v>
      </c>
      <c r="D95" s="439"/>
      <c r="E95" s="132">
        <f>+(R35+Q40+R45)/(1-0.0089)</f>
        <v>1703.8547068913329</v>
      </c>
      <c r="F95" s="126"/>
      <c r="G95" s="132">
        <f>+T39/(1-'Datos Extra'!E28)</f>
        <v>0</v>
      </c>
      <c r="H95" s="132"/>
      <c r="I95" s="132"/>
      <c r="J95" s="132">
        <f t="shared" ref="J95" si="7">+E95+H95</f>
        <v>1703.8547068913329</v>
      </c>
      <c r="K95" s="132">
        <f t="shared" si="6"/>
        <v>0</v>
      </c>
      <c r="L95" s="126">
        <f>'Datos Extra'!C46</f>
        <v>57800</v>
      </c>
      <c r="M95" s="126">
        <f>'Datos Extra'!D46</f>
        <v>59503.854706891332</v>
      </c>
      <c r="N95" s="126">
        <f>'Datos Extra'!C16+H95-I95</f>
        <v>11719</v>
      </c>
      <c r="O95" s="131">
        <f t="shared" si="3"/>
        <v>-47784.854706891332</v>
      </c>
      <c r="P95" s="128">
        <v>8.5485399999999991</v>
      </c>
      <c r="Q95" s="146">
        <f t="shared" si="4"/>
        <v>-408490.74185604881</v>
      </c>
      <c r="R95" s="148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438" t="s">
        <v>115</v>
      </c>
      <c r="D96" s="439"/>
      <c r="E96" s="127"/>
      <c r="F96" s="127"/>
      <c r="G96" s="127"/>
      <c r="H96" s="127"/>
      <c r="I96" s="127"/>
      <c r="J96" s="127"/>
      <c r="K96" s="127"/>
      <c r="L96" s="126">
        <f>'Datos Extra'!C47</f>
        <v>27</v>
      </c>
      <c r="M96" s="126">
        <f>'Datos Extra'!D47</f>
        <v>27</v>
      </c>
      <c r="N96" s="127">
        <v>1510</v>
      </c>
      <c r="O96" s="131">
        <f t="shared" si="3"/>
        <v>1483</v>
      </c>
      <c r="P96" s="128">
        <v>29.163329999999998</v>
      </c>
      <c r="Q96" s="146">
        <f t="shared" ref="Q96" si="8">+O96*P96</f>
        <v>43249.218389999995</v>
      </c>
      <c r="R96" s="148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438" t="s">
        <v>113</v>
      </c>
      <c r="D97" s="439"/>
      <c r="E97" s="127"/>
      <c r="F97" s="127"/>
      <c r="G97" s="127"/>
      <c r="H97" s="127"/>
      <c r="I97" s="127"/>
      <c r="J97" s="127"/>
      <c r="K97" s="127"/>
      <c r="L97" s="126">
        <f>'Datos Extra'!C48</f>
        <v>72341.902000000002</v>
      </c>
      <c r="M97" s="126">
        <f>'Datos Extra'!D48</f>
        <v>72341.902000000002</v>
      </c>
      <c r="N97" s="129">
        <v>74156</v>
      </c>
      <c r="O97" s="131">
        <f t="shared" si="3"/>
        <v>1814.0979999999981</v>
      </c>
      <c r="P97" s="128">
        <v>58.779760000000003</v>
      </c>
      <c r="Q97" s="146">
        <f t="shared" si="4"/>
        <v>106632.24505647989</v>
      </c>
      <c r="R97" s="148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438" t="s">
        <v>114</v>
      </c>
      <c r="D98" s="439"/>
      <c r="E98" s="127"/>
      <c r="F98" s="127"/>
      <c r="G98" s="127"/>
      <c r="H98" s="127"/>
      <c r="I98" s="127"/>
      <c r="J98" s="127"/>
      <c r="K98" s="127"/>
      <c r="L98" s="126">
        <f>'Datos Extra'!C49</f>
        <v>31619</v>
      </c>
      <c r="M98" s="126">
        <f>'Datos Extra'!D49</f>
        <v>31619</v>
      </c>
      <c r="N98" s="127">
        <v>34133</v>
      </c>
      <c r="O98" s="131">
        <f t="shared" si="3"/>
        <v>2514</v>
      </c>
      <c r="P98" s="128">
        <v>41.606699999999996</v>
      </c>
      <c r="Q98" s="146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7"/>
      <c r="D99" s="137"/>
      <c r="E99" s="133">
        <f>+E86+E87+E88+E94+E95</f>
        <v>218575.6926773538</v>
      </c>
      <c r="F99" s="124"/>
      <c r="G99" s="133">
        <f>+G86+G87+G88+G94+G95</f>
        <v>0</v>
      </c>
      <c r="H99" s="122"/>
      <c r="I99" s="122"/>
      <c r="J99" s="133">
        <f>+J86+J87+J88+J94+J95</f>
        <v>218575.6926773538</v>
      </c>
      <c r="K99" s="133">
        <f>+K86+K87+K88+K94+K95</f>
        <v>0</v>
      </c>
      <c r="L99" s="124"/>
      <c r="M99" s="124"/>
      <c r="N99" s="124"/>
      <c r="O99" s="133">
        <f>SUM(O86:O98)</f>
        <v>68907.359659773836</v>
      </c>
      <c r="P99" s="31"/>
      <c r="Q99" s="147">
        <f>SUM(Q86:Q98)</f>
        <v>-19349847.366363369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5"/>
      <c r="D100" s="135"/>
      <c r="E100" s="122"/>
      <c r="F100" s="122"/>
      <c r="G100" s="122"/>
      <c r="H100" s="122"/>
      <c r="I100" s="122"/>
      <c r="J100" s="122"/>
      <c r="K100" s="122"/>
      <c r="O100" s="133">
        <f>SUM(O86:O98)-O93</f>
        <v>-291598.43460825883</v>
      </c>
      <c r="P100" s="31"/>
      <c r="Q100" s="147">
        <f>SUM(Q86:Q98)-Q93</f>
        <v>-19349847.366363369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1"/>
      <c r="G101" s="121"/>
      <c r="H101" s="121"/>
      <c r="I101" s="121"/>
      <c r="J101" s="122"/>
      <c r="K101" s="143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C103" s="319" t="s">
        <v>245</v>
      </c>
      <c r="D103" s="20">
        <f>I37/I19</f>
        <v>0.82209664312722341</v>
      </c>
      <c r="E103" s="143"/>
      <c r="F103" s="143"/>
      <c r="G103" s="143">
        <f>IF(T48&gt;0,T48/(1-Flujos!#REF!),0)</f>
        <v>0</v>
      </c>
      <c r="H103" s="143"/>
      <c r="I103" s="143"/>
      <c r="J103" s="143"/>
      <c r="K103" s="143"/>
      <c r="L103" s="143"/>
      <c r="M103" s="143"/>
      <c r="N103" s="143"/>
      <c r="O103" s="121"/>
      <c r="P103" s="121"/>
      <c r="Q103" s="121"/>
      <c r="R103" s="442"/>
      <c r="S103" s="442"/>
      <c r="T103" s="7"/>
      <c r="U103" s="7"/>
      <c r="V103" s="7"/>
    </row>
    <row r="104" spans="2:25" ht="15.75" customHeight="1">
      <c r="E104" s="149"/>
      <c r="F104" s="143"/>
      <c r="G104" s="143"/>
      <c r="H104" s="143"/>
      <c r="I104" s="143"/>
      <c r="J104" s="143"/>
      <c r="K104" s="143"/>
      <c r="L104" s="143"/>
      <c r="M104" s="143"/>
      <c r="N104" s="143"/>
      <c r="O104" s="121"/>
      <c r="P104" s="442"/>
      <c r="Q104" s="442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42"/>
      <c r="Q105" s="442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42"/>
      <c r="Q106" s="442"/>
      <c r="R106" s="7"/>
      <c r="S106" s="7"/>
      <c r="T106" s="7"/>
    </row>
    <row r="107" spans="2:25" ht="14.5" customHeight="1">
      <c r="E107" s="121"/>
      <c r="F107" s="141"/>
      <c r="G107" s="121"/>
      <c r="H107" s="121"/>
      <c r="I107" s="121"/>
      <c r="J107" s="143"/>
      <c r="K107" s="121"/>
      <c r="L107" s="121"/>
      <c r="M107" s="121"/>
      <c r="N107" s="122"/>
      <c r="O107" s="121"/>
      <c r="P107" s="442"/>
      <c r="Q107" s="442"/>
      <c r="R107" s="7"/>
      <c r="S107" s="7"/>
      <c r="T107" s="7"/>
    </row>
    <row r="108" spans="2:25" ht="14.5" customHeight="1">
      <c r="E108" s="121"/>
      <c r="F108" s="141"/>
      <c r="G108" s="121"/>
      <c r="H108" s="121"/>
      <c r="I108" s="121"/>
      <c r="J108" s="143"/>
      <c r="K108" s="121"/>
      <c r="L108" s="121"/>
      <c r="M108" s="121"/>
      <c r="N108" s="122"/>
      <c r="O108" s="121"/>
      <c r="P108" s="442"/>
      <c r="Q108" s="442"/>
      <c r="R108" s="7"/>
      <c r="S108" s="7"/>
      <c r="T108" s="7"/>
    </row>
    <row r="109" spans="2:25" ht="14.5" customHeight="1">
      <c r="E109" s="121"/>
      <c r="F109" s="141"/>
      <c r="G109" s="121"/>
      <c r="H109" s="121"/>
      <c r="I109" s="121"/>
      <c r="J109" s="121"/>
      <c r="K109" s="121"/>
      <c r="L109" s="121"/>
      <c r="M109" s="121"/>
      <c r="N109" s="121"/>
      <c r="O109" s="121"/>
      <c r="P109" s="442"/>
      <c r="Q109" s="442"/>
      <c r="R109" s="7"/>
      <c r="S109" s="7"/>
    </row>
    <row r="110" spans="2:25" ht="14.5" customHeight="1">
      <c r="E110" s="121"/>
      <c r="F110" s="141"/>
      <c r="G110" s="121"/>
      <c r="H110" s="121"/>
      <c r="I110" s="121"/>
      <c r="J110" s="121"/>
      <c r="K110" s="121"/>
      <c r="L110" s="121"/>
      <c r="M110" s="121"/>
      <c r="N110" s="121"/>
      <c r="O110" s="121"/>
      <c r="P110" s="442"/>
      <c r="Q110" s="442"/>
      <c r="R110" s="7"/>
      <c r="S110" s="7"/>
    </row>
    <row r="111" spans="2:25" ht="14.5" customHeight="1">
      <c r="E111" s="121"/>
      <c r="F111" s="141"/>
      <c r="G111" s="121"/>
      <c r="H111" s="121"/>
      <c r="I111" s="121"/>
      <c r="J111" s="121"/>
      <c r="K111" s="121"/>
      <c r="L111" s="121"/>
      <c r="M111" s="121"/>
      <c r="N111" s="121"/>
      <c r="O111" s="121"/>
      <c r="P111" s="442"/>
      <c r="Q111" s="442"/>
      <c r="R111" s="7"/>
      <c r="S111" s="7"/>
    </row>
    <row r="112" spans="2:25" ht="14.5" customHeight="1">
      <c r="E112" s="121"/>
      <c r="F112" s="141"/>
      <c r="G112" s="121"/>
      <c r="H112" s="121"/>
      <c r="I112" s="121"/>
      <c r="J112" s="121"/>
      <c r="K112" s="121"/>
      <c r="L112" s="121"/>
      <c r="M112" s="121"/>
      <c r="N112" s="121"/>
      <c r="O112" s="121"/>
      <c r="P112" s="442"/>
      <c r="Q112" s="442"/>
      <c r="R112" s="7"/>
      <c r="S112" s="7"/>
    </row>
    <row r="113" spans="5:18" ht="14.5" customHeight="1">
      <c r="E113" s="121"/>
      <c r="F113" s="14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1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1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P112:Q112"/>
    <mergeCell ref="P107:Q107"/>
    <mergeCell ref="P108:Q108"/>
    <mergeCell ref="P109:Q109"/>
    <mergeCell ref="P110:Q110"/>
    <mergeCell ref="P111:Q111"/>
    <mergeCell ref="R103:S103"/>
    <mergeCell ref="P104:Q104"/>
    <mergeCell ref="P105:Q105"/>
    <mergeCell ref="H84:J84"/>
    <mergeCell ref="P106:Q106"/>
    <mergeCell ref="C85:D85"/>
    <mergeCell ref="C86:D86"/>
    <mergeCell ref="C87:D87"/>
    <mergeCell ref="C88:D88"/>
    <mergeCell ref="C89:D89"/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Nodos Variac Inventarios</vt:lpstr>
      <vt:lpstr>Bal Los Colorados</vt:lpstr>
      <vt:lpstr>Diag Proc Los Colorados</vt:lpstr>
      <vt:lpstr>Resumen Planta Pellets (2)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 (2)'!ECL_DelBal_por</vt:lpstr>
      <vt:lpstr>'Resumen Planta Pellets'!ECL_DelBal_tmf</vt:lpstr>
      <vt:lpstr>'Resumen Planta Pellets (2)'!ECL_DelBal_tmf</vt:lpstr>
      <vt:lpstr>'Resumen Planta Pellets'!Print_Area</vt:lpstr>
      <vt:lpstr>'Resumen Planta Pellets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2022-11-30T20:31:32Z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