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82A3B286-84E7-8A4E-B2AF-AE99C523F954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21" i="9" l="1"/>
  <c r="O19" i="9"/>
  <c r="E71" i="9"/>
  <c r="E70" i="9"/>
  <c r="K71" i="9"/>
  <c r="E78" i="9"/>
  <c r="AE19" i="9"/>
  <c r="G10" i="10"/>
  <c r="N72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L78" i="9"/>
  <c r="K78" i="9"/>
  <c r="J78" i="9"/>
  <c r="O14" i="10" s="1"/>
  <c r="Q14" i="10" s="1"/>
  <c r="N77" i="9"/>
  <c r="L77" i="9"/>
  <c r="N76" i="9"/>
  <c r="L76" i="9"/>
  <c r="I76" i="9"/>
  <c r="L75" i="9"/>
  <c r="L74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0" i="10"/>
  <c r="J20" i="10" s="1"/>
  <c r="H20" i="10"/>
  <c r="J19" i="10"/>
  <c r="H19" i="10"/>
  <c r="N18" i="10"/>
  <c r="I18" i="10"/>
  <c r="P17" i="10"/>
  <c r="H17" i="10"/>
  <c r="I15" i="10"/>
  <c r="P14" i="10"/>
  <c r="P13" i="10"/>
  <c r="O12" i="10"/>
  <c r="Q12" i="10" s="1"/>
  <c r="N12" i="10"/>
  <c r="J11" i="10"/>
  <c r="N14" i="10" l="1"/>
  <c r="M78" i="9"/>
  <c r="O78" i="9" s="1"/>
  <c r="AD25" i="9"/>
  <c r="B71" i="9" s="1"/>
  <c r="F71" i="9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I21" i="10" l="1"/>
  <c r="J21" i="10" s="1"/>
  <c r="J22" i="10" s="1"/>
  <c r="H22" i="10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F93" i="9" s="1"/>
  <c r="AI26" i="9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K36" i="10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</commentList>
</comments>
</file>

<file path=xl/sharedStrings.xml><?xml version="1.0" encoding="utf-8"?>
<sst xmlns="http://schemas.openxmlformats.org/spreadsheetml/2006/main" count="638" uniqueCount="298">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</sst>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  <font>
      <sz val="1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0" fontId="37" fillId="19" borderId="68" xfId="1" applyFill="1"/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69" fillId="0" borderId="0" xfId="0" applyFont="1"/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35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7"/>
      <c r="Q1" s="337"/>
      <c r="R1" s="338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39"/>
      <c r="C2" s="340"/>
      <c r="D2" s="512"/>
      <c r="E2" s="505"/>
      <c r="F2" s="516" t="s">
        <v>97</v>
      </c>
      <c r="G2" s="517"/>
      <c r="H2" s="504"/>
      <c r="I2" s="504"/>
      <c r="J2" s="504"/>
      <c r="K2" s="504"/>
      <c r="L2" s="504"/>
      <c r="M2" s="504"/>
      <c r="N2" s="504"/>
      <c r="O2" s="504"/>
      <c r="P2" s="504"/>
      <c r="Q2" s="518"/>
      <c r="R2" s="341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39"/>
      <c r="C3" s="340"/>
      <c r="D3" s="513"/>
      <c r="E3" s="514"/>
      <c r="F3" s="519"/>
      <c r="G3" s="507"/>
      <c r="H3" s="507"/>
      <c r="I3" s="507"/>
      <c r="J3" s="507"/>
      <c r="K3" s="507"/>
      <c r="L3" s="507"/>
      <c r="M3" s="507"/>
      <c r="N3" s="507"/>
      <c r="O3" s="507"/>
      <c r="P3" s="507"/>
      <c r="Q3" s="520"/>
      <c r="R3" s="341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39"/>
      <c r="C4" s="340"/>
      <c r="D4" s="513"/>
      <c r="E4" s="514"/>
      <c r="F4" s="521" t="s">
        <v>98</v>
      </c>
      <c r="G4" s="522"/>
      <c r="H4" s="523"/>
      <c r="I4" s="523"/>
      <c r="J4" s="523"/>
      <c r="K4" s="523"/>
      <c r="L4" s="524"/>
      <c r="M4" s="521" t="s">
        <v>99</v>
      </c>
      <c r="N4" s="522"/>
      <c r="O4" s="524"/>
      <c r="P4" s="526">
        <f ca="1">+Diagrama!C4</f>
        <v>45278</v>
      </c>
      <c r="Q4" s="527"/>
      <c r="R4" s="341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39"/>
      <c r="C5" s="340"/>
      <c r="D5" s="515"/>
      <c r="E5" s="511"/>
      <c r="F5" s="525"/>
      <c r="G5" s="510"/>
      <c r="H5" s="510"/>
      <c r="I5" s="510"/>
      <c r="J5" s="510"/>
      <c r="K5" s="510"/>
      <c r="L5" s="511"/>
      <c r="M5" s="525"/>
      <c r="N5" s="510"/>
      <c r="O5" s="511"/>
      <c r="P5" s="525"/>
      <c r="Q5" s="528"/>
      <c r="R5" s="341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39"/>
      <c r="C6" s="340"/>
      <c r="D6" s="343"/>
      <c r="E6" s="343"/>
      <c r="F6" s="343"/>
      <c r="G6" s="343"/>
      <c r="H6" s="343"/>
      <c r="I6" s="343"/>
      <c r="J6" s="343"/>
      <c r="K6" s="343"/>
      <c r="L6" s="343"/>
      <c r="M6" s="344"/>
      <c r="N6" s="344"/>
      <c r="O6" s="340"/>
      <c r="P6" s="133"/>
      <c r="Q6" s="133"/>
      <c r="R6" s="341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45"/>
      <c r="C7" s="346"/>
      <c r="D7" s="503"/>
      <c r="E7" s="504"/>
      <c r="F7" s="505"/>
      <c r="G7" s="347" t="s">
        <v>100</v>
      </c>
      <c r="H7" s="347" t="s">
        <v>100</v>
      </c>
      <c r="I7" s="347" t="s">
        <v>101</v>
      </c>
      <c r="J7" s="348" t="s">
        <v>102</v>
      </c>
      <c r="K7" s="509"/>
      <c r="L7" s="504"/>
      <c r="M7" s="505"/>
      <c r="N7" s="347" t="s">
        <v>100</v>
      </c>
      <c r="O7" s="347" t="s">
        <v>100</v>
      </c>
      <c r="P7" s="347" t="s">
        <v>101</v>
      </c>
      <c r="Q7" s="348" t="s">
        <v>102</v>
      </c>
      <c r="R7" s="341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45"/>
      <c r="C8" s="346"/>
      <c r="D8" s="506"/>
      <c r="E8" s="507"/>
      <c r="F8" s="508"/>
      <c r="G8" s="350" t="s">
        <v>267</v>
      </c>
      <c r="H8" s="350" t="s">
        <v>40</v>
      </c>
      <c r="I8" s="350" t="s">
        <v>103</v>
      </c>
      <c r="J8" s="351" t="s">
        <v>41</v>
      </c>
      <c r="K8" s="510"/>
      <c r="L8" s="510"/>
      <c r="M8" s="511"/>
      <c r="N8" s="350" t="s">
        <v>267</v>
      </c>
      <c r="O8" s="350" t="s">
        <v>40</v>
      </c>
      <c r="P8" s="350" t="s">
        <v>103</v>
      </c>
      <c r="Q8" s="351" t="s">
        <v>41</v>
      </c>
      <c r="R8" s="341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45"/>
      <c r="C9" s="346"/>
      <c r="D9" s="532" t="s">
        <v>68</v>
      </c>
      <c r="E9" s="533"/>
      <c r="F9" s="533"/>
      <c r="G9" s="533"/>
      <c r="H9" s="533"/>
      <c r="I9" s="533"/>
      <c r="J9" s="534"/>
      <c r="K9" s="535" t="s">
        <v>104</v>
      </c>
      <c r="L9" s="536"/>
      <c r="M9" s="536"/>
      <c r="N9" s="536"/>
      <c r="O9" s="536"/>
      <c r="P9" s="536"/>
      <c r="Q9" s="537"/>
      <c r="R9" s="341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45"/>
      <c r="C10" s="346" t="s">
        <v>105</v>
      </c>
      <c r="D10" s="538" t="s">
        <v>106</v>
      </c>
      <c r="E10" s="539"/>
      <c r="F10" s="540"/>
      <c r="G10" s="434">
        <f>+Diagrama!AI12</f>
        <v>231594.13913744461</v>
      </c>
      <c r="H10" s="434">
        <f>+Diagrama!I25</f>
        <v>229834.02368000001</v>
      </c>
      <c r="I10" s="435">
        <f>+Diagrama!G21</f>
        <v>0.603576</v>
      </c>
      <c r="J10" s="431">
        <f>I10*H10</f>
        <v>138722.30067667968</v>
      </c>
      <c r="K10" s="541" t="s">
        <v>107</v>
      </c>
      <c r="L10" s="533"/>
      <c r="M10" s="542"/>
      <c r="N10" s="432">
        <f>+Diagrama!J72</f>
        <v>209647.65034558089</v>
      </c>
      <c r="O10" s="432">
        <f>+Diagrama!H46</f>
        <v>192143</v>
      </c>
      <c r="P10" s="433">
        <f>+Diagrama!H47</f>
        <v>0.68650000000000011</v>
      </c>
      <c r="Q10" s="431">
        <f t="shared" ref="Q10:Q14" si="0">P10*O10</f>
        <v>131906.16950000002</v>
      </c>
      <c r="R10" s="341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45"/>
      <c r="C11" s="346"/>
      <c r="D11" s="538" t="s">
        <v>108</v>
      </c>
      <c r="E11" s="539"/>
      <c r="F11" s="540"/>
      <c r="G11" s="429">
        <v>0</v>
      </c>
      <c r="H11" s="429">
        <v>0</v>
      </c>
      <c r="I11" s="430">
        <v>0</v>
      </c>
      <c r="J11" s="431">
        <f t="shared" ref="J11" si="1">I11*H11</f>
        <v>0</v>
      </c>
      <c r="K11" s="538" t="s">
        <v>109</v>
      </c>
      <c r="L11" s="539"/>
      <c r="M11" s="540"/>
      <c r="N11" s="434">
        <f>+Diagrama!J70</f>
        <v>0</v>
      </c>
      <c r="O11" s="434">
        <f>+Diagrama!P49</f>
        <v>0</v>
      </c>
      <c r="P11" s="435">
        <v>0</v>
      </c>
      <c r="Q11" s="431">
        <f>P11*O11</f>
        <v>0</v>
      </c>
      <c r="R11" s="341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45"/>
      <c r="C12" s="346"/>
      <c r="D12" s="538" t="s">
        <v>110</v>
      </c>
      <c r="E12" s="539"/>
      <c r="F12" s="540"/>
      <c r="G12" s="429">
        <v>0</v>
      </c>
      <c r="H12" s="429">
        <v>0</v>
      </c>
      <c r="I12" s="430">
        <v>0</v>
      </c>
      <c r="J12" s="431">
        <v>0</v>
      </c>
      <c r="K12" s="538" t="s">
        <v>111</v>
      </c>
      <c r="L12" s="539"/>
      <c r="M12" s="540"/>
      <c r="N12" s="434">
        <f>+Diagrama!J71</f>
        <v>0</v>
      </c>
      <c r="O12" s="434">
        <f>+Diagrama!R47</f>
        <v>0</v>
      </c>
      <c r="P12" s="435">
        <v>0</v>
      </c>
      <c r="Q12" s="431">
        <f t="shared" si="0"/>
        <v>0</v>
      </c>
      <c r="R12" s="341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45"/>
      <c r="C13" s="346"/>
      <c r="D13" s="543" t="s">
        <v>112</v>
      </c>
      <c r="E13" s="544"/>
      <c r="F13" s="545"/>
      <c r="G13" s="429">
        <v>0</v>
      </c>
      <c r="H13" s="429">
        <v>0</v>
      </c>
      <c r="I13" s="430">
        <v>0</v>
      </c>
      <c r="J13" s="431">
        <v>0</v>
      </c>
      <c r="K13" s="538" t="s">
        <v>113</v>
      </c>
      <c r="L13" s="539"/>
      <c r="M13" s="540"/>
      <c r="N13" s="434">
        <f>+Diagrama!J77</f>
        <v>164651.1418469153</v>
      </c>
      <c r="O13" s="434">
        <f>+Diagrama!J77*(1-Diagrama!AE7)</f>
        <v>163082</v>
      </c>
      <c r="P13" s="435">
        <f>+Diagrama!H5</f>
        <v>0.63392359511000007</v>
      </c>
      <c r="Q13" s="431">
        <f>P13*O13</f>
        <v>103381.52773772903</v>
      </c>
      <c r="R13" s="341"/>
      <c r="S13" s="133"/>
      <c r="T13" s="355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45"/>
      <c r="C14" s="346" t="s">
        <v>114</v>
      </c>
      <c r="D14" s="543"/>
      <c r="E14" s="544"/>
      <c r="F14" s="545"/>
      <c r="G14" s="429"/>
      <c r="H14" s="429"/>
      <c r="I14" s="430"/>
      <c r="J14" s="431"/>
      <c r="K14" s="436" t="s">
        <v>272</v>
      </c>
      <c r="L14" s="437"/>
      <c r="M14" s="438"/>
      <c r="N14" s="439">
        <f>+Diagrama!J78</f>
        <v>2203</v>
      </c>
      <c r="O14" s="439">
        <f>+Diagrama!J78*(1-Diagrama!AE33)</f>
        <v>2203</v>
      </c>
      <c r="P14" s="435">
        <f>+Diagrama!AG33</f>
        <v>0</v>
      </c>
      <c r="Q14" s="431">
        <f t="shared" si="0"/>
        <v>0</v>
      </c>
      <c r="R14" s="341"/>
      <c r="S14" s="357"/>
      <c r="T14" s="35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45"/>
      <c r="C15" s="346"/>
      <c r="D15" s="500" t="s">
        <v>115</v>
      </c>
      <c r="E15" s="501"/>
      <c r="F15" s="502"/>
      <c r="G15" s="440">
        <f>SUM(G10:G14)</f>
        <v>231594.13913744461</v>
      </c>
      <c r="H15" s="440">
        <f>SUM(H10:H14)</f>
        <v>229834.02368000001</v>
      </c>
      <c r="I15" s="441">
        <f>I10</f>
        <v>0.603576</v>
      </c>
      <c r="J15" s="440">
        <f>J10</f>
        <v>138722.30067667968</v>
      </c>
      <c r="K15" s="531" t="s">
        <v>115</v>
      </c>
      <c r="L15" s="501"/>
      <c r="M15" s="502"/>
      <c r="N15" s="440">
        <f>SUM(N10:N14)</f>
        <v>376501.79219249618</v>
      </c>
      <c r="O15" s="440">
        <f>SUM(O10:O14)</f>
        <v>357428</v>
      </c>
      <c r="P15" s="441">
        <f>+Q15/O15</f>
        <v>0.65827998152838907</v>
      </c>
      <c r="Q15" s="440">
        <f>SUM(Q10:Q14)</f>
        <v>235287.69723772904</v>
      </c>
      <c r="R15" s="341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45"/>
      <c r="C16" s="346"/>
      <c r="D16" s="532" t="s">
        <v>116</v>
      </c>
      <c r="E16" s="533"/>
      <c r="F16" s="533"/>
      <c r="G16" s="533"/>
      <c r="H16" s="533"/>
      <c r="I16" s="533"/>
      <c r="J16" s="534"/>
      <c r="K16" s="529" t="s">
        <v>117</v>
      </c>
      <c r="L16" s="501"/>
      <c r="M16" s="501"/>
      <c r="N16" s="501"/>
      <c r="O16" s="501"/>
      <c r="P16" s="501"/>
      <c r="Q16" s="530"/>
      <c r="R16" s="341"/>
      <c r="S16" s="358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45"/>
      <c r="C17" s="346"/>
      <c r="D17" s="538" t="s">
        <v>118</v>
      </c>
      <c r="E17" s="539"/>
      <c r="F17" s="540"/>
      <c r="G17" s="429">
        <f>+Diagrama!K77</f>
        <v>204999.49418310571</v>
      </c>
      <c r="H17" s="429">
        <f>+Diagrama!N4</f>
        <v>202642</v>
      </c>
      <c r="I17" s="430">
        <f>+Diagrama!N5</f>
        <v>0.63386387507999997</v>
      </c>
      <c r="J17" s="431">
        <f t="shared" ref="J17:J21" si="2">I17*H17</f>
        <v>128447.44337396136</v>
      </c>
      <c r="K17" s="442" t="s">
        <v>273</v>
      </c>
      <c r="L17" s="442"/>
      <c r="M17" s="443"/>
      <c r="N17" s="434" t="s">
        <v>274</v>
      </c>
      <c r="O17" s="434">
        <f>+Diagrama!D28</f>
        <v>20480.400000000001</v>
      </c>
      <c r="P17" s="435">
        <f>+Diagrama!D29</f>
        <v>0.105183</v>
      </c>
      <c r="Q17" s="431">
        <f t="shared" ref="Q17:Q18" si="3">P17*O17</f>
        <v>2154.1899132000003</v>
      </c>
      <c r="R17" s="341"/>
      <c r="S17" s="358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45"/>
      <c r="C18" s="346"/>
      <c r="D18" s="538" t="s">
        <v>107</v>
      </c>
      <c r="E18" s="539"/>
      <c r="F18" s="540"/>
      <c r="G18" s="429">
        <f>+Diagrama!K72</f>
        <v>112763.78636561007</v>
      </c>
      <c r="H18" s="429">
        <f>+G18*(1-Diagrama!AE19)</f>
        <v>103878</v>
      </c>
      <c r="I18" s="430">
        <f>+Diagrama!C42</f>
        <v>0.68680000000000008</v>
      </c>
      <c r="J18" s="431">
        <f t="shared" si="2"/>
        <v>71343.410400000008</v>
      </c>
      <c r="K18" s="531" t="s">
        <v>115</v>
      </c>
      <c r="L18" s="501"/>
      <c r="M18" s="502"/>
      <c r="N18" s="444" t="str">
        <f>N17</f>
        <v>-</v>
      </c>
      <c r="O18" s="444">
        <f t="shared" ref="O18:P18" si="4">O17</f>
        <v>20480.400000000001</v>
      </c>
      <c r="P18" s="445">
        <f t="shared" si="4"/>
        <v>0.105183</v>
      </c>
      <c r="Q18" s="446">
        <f t="shared" si="3"/>
        <v>2154.1899132000003</v>
      </c>
      <c r="R18" s="341"/>
      <c r="S18" s="358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45"/>
      <c r="C19" s="346"/>
      <c r="D19" s="538" t="s">
        <v>109</v>
      </c>
      <c r="E19" s="539"/>
      <c r="F19" s="540"/>
      <c r="G19" s="429">
        <f>+Diagrama!K70</f>
        <v>0</v>
      </c>
      <c r="H19" s="429">
        <f>+Diagrama!M52</f>
        <v>0</v>
      </c>
      <c r="I19" s="430">
        <f>+Diagrama!M53</f>
        <v>0</v>
      </c>
      <c r="J19" s="431">
        <f t="shared" si="2"/>
        <v>0</v>
      </c>
      <c r="K19" s="547"/>
      <c r="L19" s="548"/>
      <c r="M19" s="548"/>
      <c r="O19" s="362"/>
      <c r="P19" s="363"/>
      <c r="Q19" s="364"/>
      <c r="R19" s="341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45"/>
      <c r="C20" s="346"/>
      <c r="D20" s="538" t="s">
        <v>94</v>
      </c>
      <c r="E20" s="539"/>
      <c r="F20" s="540"/>
      <c r="G20" s="429">
        <v>0</v>
      </c>
      <c r="H20" s="429">
        <f>Diagrama!K78*(1-'Datos Extra'!D28)</f>
        <v>0</v>
      </c>
      <c r="I20" s="430">
        <f>+Diagrama!T34</f>
        <v>0</v>
      </c>
      <c r="J20" s="431">
        <f t="shared" si="2"/>
        <v>0</v>
      </c>
      <c r="K20" s="549"/>
      <c r="L20" s="548"/>
      <c r="M20" s="548"/>
      <c r="O20" s="366"/>
      <c r="P20" s="367"/>
      <c r="Q20" s="368"/>
      <c r="R20" s="341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45"/>
      <c r="C21" s="346"/>
      <c r="D21" s="538" t="s">
        <v>111</v>
      </c>
      <c r="E21" s="539"/>
      <c r="F21" s="540"/>
      <c r="G21" s="429">
        <f>+Diagrama!K71</f>
        <v>66000</v>
      </c>
      <c r="H21" s="429">
        <f>IF(G21=0,0,G21*(1-Diagrama!AE26))</f>
        <v>66000</v>
      </c>
      <c r="I21" s="430">
        <f>IF(G21=0,0,Diagrama!AG26)</f>
        <v>0</v>
      </c>
      <c r="J21" s="431">
        <f t="shared" si="2"/>
        <v>0</v>
      </c>
      <c r="K21" s="549"/>
      <c r="L21" s="548"/>
      <c r="M21" s="548"/>
      <c r="O21" s="366"/>
      <c r="P21" s="367"/>
      <c r="Q21" s="368"/>
      <c r="R21" s="341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45"/>
      <c r="C22" s="346"/>
      <c r="D22" s="500" t="s">
        <v>115</v>
      </c>
      <c r="E22" s="501"/>
      <c r="F22" s="502"/>
      <c r="G22" s="440">
        <f>SUM(G17:G21)</f>
        <v>383763.28054871579</v>
      </c>
      <c r="H22" s="440">
        <f>SUM(H17:H21)</f>
        <v>372520</v>
      </c>
      <c r="I22" s="441">
        <f>SUMPRODUCT(H17:H21,I17:I21)/H22</f>
        <v>0.5363224894608648</v>
      </c>
      <c r="J22" s="440">
        <f>SUM(J17:J21)</f>
        <v>199790.85377396137</v>
      </c>
      <c r="K22" s="365"/>
      <c r="L22" s="365"/>
      <c r="M22" s="365"/>
      <c r="N22" s="365"/>
      <c r="O22" s="366"/>
      <c r="P22" s="367"/>
      <c r="Q22" s="368"/>
      <c r="R22" s="341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45"/>
      <c r="C23" s="346"/>
      <c r="D23" s="550" t="s">
        <v>119</v>
      </c>
      <c r="E23" s="551"/>
      <c r="F23" s="552"/>
      <c r="G23" s="356"/>
      <c r="H23" s="370" t="s">
        <v>40</v>
      </c>
      <c r="I23" s="370" t="s">
        <v>103</v>
      </c>
      <c r="J23" s="371" t="s">
        <v>41</v>
      </c>
      <c r="K23" s="369" t="s">
        <v>120</v>
      </c>
      <c r="L23" s="372" t="s">
        <v>121</v>
      </c>
      <c r="M23" s="373"/>
      <c r="N23" s="373"/>
      <c r="O23" s="374"/>
      <c r="P23" s="373"/>
      <c r="Q23" s="373"/>
      <c r="R23" s="375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45"/>
      <c r="C24" s="346"/>
      <c r="D24" s="546" t="s">
        <v>122</v>
      </c>
      <c r="E24" s="507"/>
      <c r="F24" s="508"/>
      <c r="G24" s="349"/>
      <c r="H24" s="376"/>
      <c r="I24" s="377"/>
      <c r="J24" s="378"/>
      <c r="K24" s="379"/>
      <c r="L24" s="380"/>
      <c r="M24" s="381"/>
      <c r="N24" s="381"/>
      <c r="O24" s="382">
        <v>0.76</v>
      </c>
      <c r="P24" s="363"/>
      <c r="Q24" s="364"/>
      <c r="R24" s="341"/>
      <c r="S24" s="133"/>
      <c r="T24" s="133"/>
      <c r="U24" s="38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45"/>
      <c r="C25" s="346"/>
      <c r="D25" s="559" t="s">
        <v>123</v>
      </c>
      <c r="E25" s="560"/>
      <c r="F25" s="561"/>
      <c r="G25" s="342"/>
      <c r="H25" s="352"/>
      <c r="I25" s="353"/>
      <c r="J25" s="385"/>
      <c r="K25" s="379"/>
      <c r="L25" s="386"/>
      <c r="M25" s="381"/>
      <c r="N25" s="381"/>
      <c r="O25" s="382">
        <v>8.68</v>
      </c>
      <c r="P25" s="363"/>
      <c r="Q25" s="364"/>
      <c r="R25" s="341"/>
      <c r="S25" s="133"/>
      <c r="T25" s="133"/>
      <c r="U25" s="383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45"/>
      <c r="C26" s="346"/>
      <c r="D26" s="559" t="s">
        <v>124</v>
      </c>
      <c r="E26" s="560"/>
      <c r="F26" s="561"/>
      <c r="G26" s="342"/>
      <c r="H26" s="352"/>
      <c r="I26" s="353"/>
      <c r="J26" s="385"/>
      <c r="K26" s="379"/>
      <c r="L26" s="386"/>
      <c r="M26" s="381"/>
      <c r="N26" s="381"/>
      <c r="O26" s="382">
        <v>0.76</v>
      </c>
      <c r="P26" s="363"/>
      <c r="Q26" s="364"/>
      <c r="R26" s="341"/>
      <c r="S26" s="133"/>
      <c r="T26" s="133"/>
      <c r="U26" s="383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45"/>
      <c r="C27" s="346"/>
      <c r="D27" s="559" t="s">
        <v>125</v>
      </c>
      <c r="E27" s="560"/>
      <c r="F27" s="561"/>
      <c r="G27" s="342"/>
      <c r="H27" s="352"/>
      <c r="I27" s="353"/>
      <c r="J27" s="385"/>
      <c r="K27" s="379"/>
      <c r="L27" s="386"/>
      <c r="M27" s="381"/>
      <c r="N27" s="381"/>
      <c r="O27" s="382">
        <v>8.39</v>
      </c>
      <c r="P27" s="363"/>
      <c r="Q27" s="364"/>
      <c r="R27" s="341"/>
      <c r="S27" s="133"/>
      <c r="T27" s="133"/>
      <c r="U27" s="383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45"/>
      <c r="C28" s="346"/>
      <c r="D28" s="384" t="s">
        <v>126</v>
      </c>
      <c r="E28" s="387"/>
      <c r="F28" s="388"/>
      <c r="G28" s="389"/>
      <c r="H28" s="352"/>
      <c r="I28" s="353"/>
      <c r="J28" s="390"/>
      <c r="K28" s="391"/>
      <c r="L28" s="392"/>
      <c r="M28" s="381"/>
      <c r="N28" s="381"/>
      <c r="O28" s="382"/>
      <c r="P28" s="363"/>
      <c r="Q28" s="364"/>
      <c r="R28" s="341"/>
      <c r="S28" s="133"/>
      <c r="T28" s="133"/>
      <c r="U28" s="383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45"/>
      <c r="C29" s="346"/>
      <c r="D29" s="562" t="s">
        <v>127</v>
      </c>
      <c r="E29" s="560"/>
      <c r="F29" s="561"/>
      <c r="G29" s="342"/>
      <c r="H29" s="352"/>
      <c r="I29" s="353"/>
      <c r="J29" s="385"/>
      <c r="K29" s="379"/>
      <c r="L29" s="386"/>
      <c r="M29" s="381"/>
      <c r="N29" s="381"/>
      <c r="O29" s="382">
        <v>0.05</v>
      </c>
      <c r="P29" s="363"/>
      <c r="Q29" s="364"/>
      <c r="R29" s="341"/>
      <c r="S29" s="133"/>
      <c r="T29" s="133"/>
      <c r="U29" s="383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45"/>
      <c r="C30" s="346"/>
      <c r="D30" s="563" t="s">
        <v>128</v>
      </c>
      <c r="E30" s="564"/>
      <c r="F30" s="565"/>
      <c r="G30" s="354"/>
      <c r="H30" s="393"/>
      <c r="I30" s="394"/>
      <c r="J30" s="395"/>
      <c r="K30" s="379"/>
      <c r="L30" s="392"/>
      <c r="M30" s="381"/>
      <c r="N30" s="381"/>
      <c r="O30" s="382">
        <v>0.05</v>
      </c>
      <c r="P30" s="363"/>
      <c r="Q30" s="364"/>
      <c r="R30" s="341"/>
      <c r="S30" s="133"/>
      <c r="T30" s="133"/>
      <c r="U30" s="383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45"/>
      <c r="C31" s="346"/>
      <c r="D31" s="566" t="s">
        <v>115</v>
      </c>
      <c r="E31" s="551"/>
      <c r="F31" s="552"/>
      <c r="G31" s="356"/>
      <c r="H31" s="359">
        <v>0</v>
      </c>
      <c r="I31" s="360"/>
      <c r="J31" s="396">
        <v>0</v>
      </c>
      <c r="K31" s="397">
        <v>0</v>
      </c>
      <c r="L31" s="361">
        <v>0</v>
      </c>
      <c r="M31" s="373"/>
      <c r="N31" s="373"/>
      <c r="O31" s="368"/>
      <c r="P31" s="367"/>
      <c r="Q31" s="368"/>
      <c r="R31" s="341"/>
      <c r="S31" s="133"/>
      <c r="T31" s="133"/>
      <c r="U31" s="383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45"/>
      <c r="C32" s="133"/>
      <c r="D32" s="398"/>
      <c r="E32" s="133"/>
      <c r="F32" s="133"/>
      <c r="G32" s="133"/>
      <c r="H32" s="133"/>
      <c r="I32" s="399"/>
      <c r="J32" s="399"/>
      <c r="K32" s="399"/>
      <c r="L32" s="400"/>
      <c r="M32" s="399"/>
      <c r="N32" s="399"/>
      <c r="O32" s="133"/>
      <c r="P32" s="401"/>
      <c r="Q32" s="133"/>
      <c r="R32" s="341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45"/>
      <c r="C33" s="133"/>
      <c r="D33" s="567" t="s">
        <v>129</v>
      </c>
      <c r="E33" s="551"/>
      <c r="F33" s="551"/>
      <c r="G33" s="551"/>
      <c r="H33" s="551"/>
      <c r="I33" s="551"/>
      <c r="J33" s="551"/>
      <c r="K33" s="551"/>
      <c r="L33" s="551"/>
      <c r="M33" s="551"/>
      <c r="N33" s="551"/>
      <c r="O33" s="551"/>
      <c r="P33" s="551"/>
      <c r="Q33" s="568"/>
      <c r="R33" s="341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45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1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45"/>
      <c r="C35" s="133"/>
      <c r="D35" s="569" t="s">
        <v>130</v>
      </c>
      <c r="E35" s="551"/>
      <c r="F35" s="568"/>
      <c r="G35" s="402"/>
      <c r="H35" s="570"/>
      <c r="I35" s="571"/>
      <c r="J35" s="133"/>
      <c r="K35" s="569" t="s">
        <v>131</v>
      </c>
      <c r="L35" s="551"/>
      <c r="M35" s="568"/>
      <c r="N35" s="402"/>
      <c r="O35" s="570"/>
      <c r="P35" s="571"/>
      <c r="Q35" s="133"/>
      <c r="R35" s="341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45"/>
      <c r="C36" s="133"/>
      <c r="D36" s="553">
        <f>Diagrama!O19</f>
        <v>0.82684450699340417</v>
      </c>
      <c r="E36" s="504"/>
      <c r="F36" s="518"/>
      <c r="G36" s="402"/>
      <c r="H36" s="403"/>
      <c r="I36" s="404"/>
      <c r="J36" s="133"/>
      <c r="K36" s="553">
        <f>Diagrama!O21</f>
        <v>0.93684598471282265</v>
      </c>
      <c r="L36" s="554"/>
      <c r="M36" s="555"/>
      <c r="N36" s="405"/>
      <c r="O36" s="404"/>
      <c r="P36" s="404"/>
      <c r="Q36" s="133"/>
      <c r="R36" s="341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45"/>
      <c r="C37" s="133"/>
      <c r="D37" s="515"/>
      <c r="E37" s="510"/>
      <c r="F37" s="528"/>
      <c r="G37" s="402"/>
      <c r="H37" s="406"/>
      <c r="I37" s="407"/>
      <c r="J37" s="133"/>
      <c r="K37" s="556"/>
      <c r="L37" s="557"/>
      <c r="M37" s="558"/>
      <c r="N37" s="405"/>
      <c r="O37" s="408"/>
      <c r="P37" s="407"/>
      <c r="Q37" s="133"/>
      <c r="R37" s="341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45"/>
      <c r="C38" s="133"/>
      <c r="D38" s="409"/>
      <c r="E38" s="409"/>
      <c r="F38" s="409"/>
      <c r="G38" s="409"/>
      <c r="H38" s="410"/>
      <c r="I38" s="411"/>
      <c r="J38" s="133"/>
      <c r="K38" s="409"/>
      <c r="L38" s="409"/>
      <c r="M38" s="409"/>
      <c r="N38" s="409"/>
      <c r="O38" s="412"/>
      <c r="P38" s="413"/>
      <c r="Q38" s="133"/>
      <c r="R38" s="341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4"/>
      <c r="C39" s="415"/>
      <c r="D39" s="415"/>
      <c r="E39" s="415"/>
      <c r="F39" s="415"/>
      <c r="G39" s="415"/>
      <c r="H39" s="415"/>
      <c r="I39" s="415"/>
      <c r="J39" s="415"/>
      <c r="K39" s="415"/>
      <c r="L39" s="415"/>
      <c r="M39" s="415"/>
      <c r="N39" s="415"/>
      <c r="O39" s="415"/>
      <c r="P39" s="415"/>
      <c r="Q39" s="415"/>
      <c r="R39" s="416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17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2" t="s">
        <v>45</v>
      </c>
      <c r="K44" s="540"/>
      <c r="M44" s="573" t="s">
        <v>46</v>
      </c>
      <c r="N44" s="533"/>
      <c r="O44" s="534"/>
      <c r="R44" s="574" t="s">
        <v>47</v>
      </c>
      <c r="S44" s="540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75" t="s">
        <v>59</v>
      </c>
      <c r="K71" s="540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3" t="s">
        <v>63</v>
      </c>
      <c r="Q7" s="540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3" t="s">
        <v>20</v>
      </c>
      <c r="Q10" s="540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4" t="s">
        <v>66</v>
      </c>
      <c r="Q13" s="540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2" t="s">
        <v>68</v>
      </c>
      <c r="F44" s="578"/>
      <c r="G44" s="539"/>
      <c r="H44" s="582" t="s">
        <v>69</v>
      </c>
      <c r="I44" s="578"/>
      <c r="J44" s="540"/>
      <c r="K44" s="585" t="s">
        <v>70</v>
      </c>
      <c r="L44" s="578"/>
      <c r="M44" s="578"/>
      <c r="N44" s="540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7" t="s">
        <v>72</v>
      </c>
      <c r="I45" s="540"/>
      <c r="J45" s="27">
        <f>+E7</f>
        <v>1770.5761999999995</v>
      </c>
      <c r="K45" s="577" t="s">
        <v>73</v>
      </c>
      <c r="L45" s="578"/>
      <c r="M45" s="540"/>
      <c r="N45" s="27">
        <f>+C8</f>
        <v>12961.629000000001</v>
      </c>
    </row>
    <row r="46" spans="2:20" ht="15.75" customHeight="1" x14ac:dyDescent="0.2">
      <c r="E46" s="575"/>
      <c r="F46" s="540"/>
      <c r="G46" s="16"/>
      <c r="H46" s="577" t="s">
        <v>74</v>
      </c>
      <c r="I46" s="540"/>
      <c r="J46" s="27">
        <f>+J19</f>
        <v>44584.890479986498</v>
      </c>
      <c r="K46" s="577" t="s">
        <v>75</v>
      </c>
      <c r="L46" s="578"/>
      <c r="M46" s="540"/>
      <c r="N46" s="27">
        <f>+C28</f>
        <v>16162.331</v>
      </c>
    </row>
    <row r="47" spans="2:20" ht="15.75" customHeight="1" x14ac:dyDescent="0.2">
      <c r="E47" s="575"/>
      <c r="F47" s="540"/>
      <c r="G47" s="16"/>
      <c r="H47" s="577" t="s">
        <v>76</v>
      </c>
      <c r="I47" s="540"/>
      <c r="J47" s="27">
        <f>+G27</f>
        <v>-359512.14169349719</v>
      </c>
      <c r="K47" s="577" t="s">
        <v>77</v>
      </c>
      <c r="L47" s="578"/>
      <c r="M47" s="540"/>
      <c r="N47" s="27">
        <f>+S36</f>
        <v>19130.865000000002</v>
      </c>
    </row>
    <row r="48" spans="2:20" ht="15.75" customHeight="1" x14ac:dyDescent="0.2">
      <c r="E48" s="575"/>
      <c r="F48" s="540"/>
      <c r="G48" s="16"/>
      <c r="H48" s="77" t="s">
        <v>78</v>
      </c>
      <c r="I48" s="77"/>
      <c r="J48" s="27">
        <f>+O20</f>
        <v>-14174.322317347061</v>
      </c>
      <c r="K48" s="577" t="s">
        <v>79</v>
      </c>
      <c r="L48" s="578"/>
      <c r="M48" s="540"/>
      <c r="N48" s="27">
        <f>+S28</f>
        <v>108284.65870939114</v>
      </c>
    </row>
    <row r="49" spans="5:14" ht="15.75" customHeight="1" x14ac:dyDescent="0.2">
      <c r="E49" s="575"/>
      <c r="F49" s="540"/>
      <c r="G49" s="16"/>
      <c r="H49" s="577" t="s">
        <v>80</v>
      </c>
      <c r="I49" s="540"/>
      <c r="J49" s="27">
        <f>+P40</f>
        <v>-311.60807004405433</v>
      </c>
      <c r="K49" s="577" t="s">
        <v>81</v>
      </c>
      <c r="L49" s="578"/>
      <c r="M49" s="540"/>
      <c r="N49" s="27">
        <f>+G36</f>
        <v>673884.94200000004</v>
      </c>
    </row>
    <row r="50" spans="5:14" ht="15.75" customHeight="1" x14ac:dyDescent="0.25">
      <c r="E50" s="580" t="s">
        <v>82</v>
      </c>
      <c r="F50" s="540"/>
      <c r="G50" s="78">
        <f>+G45</f>
        <v>502781.82030850503</v>
      </c>
      <c r="H50" s="576" t="s">
        <v>83</v>
      </c>
      <c r="I50" s="540"/>
      <c r="J50" s="79">
        <f>+SUM(J45:J49)</f>
        <v>-327642.60540090181</v>
      </c>
      <c r="K50" s="576" t="s">
        <v>84</v>
      </c>
      <c r="L50" s="578"/>
      <c r="M50" s="540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79" t="s">
        <v>68</v>
      </c>
      <c r="F55" s="578"/>
      <c r="G55" s="539"/>
      <c r="H55" s="579" t="s">
        <v>69</v>
      </c>
      <c r="I55" s="578"/>
      <c r="J55" s="540"/>
      <c r="K55" s="581" t="s">
        <v>70</v>
      </c>
      <c r="L55" s="578"/>
      <c r="M55" s="578"/>
      <c r="N55" s="540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7" t="s">
        <v>72</v>
      </c>
      <c r="I56" s="540"/>
      <c r="J56" s="27" t="e">
        <f>+'Bal Los Colorados'!O49*'Bal Los Colorados'!G49</f>
        <v>#REF!</v>
      </c>
      <c r="K56" s="577" t="s">
        <v>73</v>
      </c>
      <c r="L56" s="578"/>
      <c r="M56" s="540"/>
      <c r="N56" s="27">
        <f>+C10</f>
        <v>7704.8210577451482</v>
      </c>
    </row>
    <row r="57" spans="5:14" ht="15.75" customHeight="1" x14ac:dyDescent="0.2">
      <c r="E57" s="575"/>
      <c r="F57" s="540"/>
      <c r="G57" s="16"/>
      <c r="H57" s="577" t="s">
        <v>74</v>
      </c>
      <c r="I57" s="540"/>
      <c r="J57" s="27" t="e">
        <f>+'Bal Los Colorados'!O53*'Bal Los Colorados'!G53</f>
        <v>#REF!</v>
      </c>
      <c r="K57" s="577" t="s">
        <v>75</v>
      </c>
      <c r="L57" s="578"/>
      <c r="M57" s="540"/>
      <c r="N57" s="27">
        <f>+C30</f>
        <v>9675.4587302503223</v>
      </c>
    </row>
    <row r="58" spans="5:14" ht="15.75" customHeight="1" x14ac:dyDescent="0.2">
      <c r="E58" s="575"/>
      <c r="F58" s="540"/>
      <c r="G58" s="16"/>
      <c r="H58" s="577" t="s">
        <v>76</v>
      </c>
      <c r="I58" s="540"/>
      <c r="J58" s="27" t="e">
        <f>+'Bal Los Colorados'!O56*'Bal Los Colorados'!G56</f>
        <v>#REF!</v>
      </c>
      <c r="K58" s="577" t="s">
        <v>77</v>
      </c>
      <c r="L58" s="578"/>
      <c r="M58" s="540"/>
      <c r="N58" s="27">
        <f>+S38</f>
        <v>7620.3234035700007</v>
      </c>
    </row>
    <row r="59" spans="5:14" ht="15.75" customHeight="1" x14ac:dyDescent="0.2">
      <c r="E59" s="575"/>
      <c r="F59" s="540"/>
      <c r="G59" s="16"/>
      <c r="H59" s="77" t="s">
        <v>78</v>
      </c>
      <c r="I59" s="77"/>
      <c r="J59" s="27" t="e">
        <f>+'Bal Los Colorados'!O62*'Bal Los Colorados'!G62</f>
        <v>#REF!</v>
      </c>
      <c r="K59" s="577" t="s">
        <v>79</v>
      </c>
      <c r="L59" s="578"/>
      <c r="M59" s="540"/>
      <c r="N59" s="27">
        <f>+S30</f>
        <v>14049.347154701374</v>
      </c>
    </row>
    <row r="60" spans="5:14" ht="15.75" customHeight="1" x14ac:dyDescent="0.2">
      <c r="E60" s="575"/>
      <c r="F60" s="540"/>
      <c r="G60" s="16"/>
      <c r="H60" s="577" t="s">
        <v>80</v>
      </c>
      <c r="I60" s="540"/>
      <c r="J60" s="27" t="e">
        <f>+'Bal Los Colorados'!O67*'Bal Los Colorados'!G67</f>
        <v>#REF!</v>
      </c>
      <c r="K60" s="577" t="s">
        <v>81</v>
      </c>
      <c r="L60" s="578"/>
      <c r="M60" s="540"/>
      <c r="N60" s="27">
        <f>+G38</f>
        <v>410848.95586592209</v>
      </c>
    </row>
    <row r="61" spans="5:14" ht="15.75" customHeight="1" x14ac:dyDescent="0.25">
      <c r="E61" s="580" t="s">
        <v>82</v>
      </c>
      <c r="F61" s="540"/>
      <c r="G61" s="78">
        <f>+G56</f>
        <v>231983.78607040126</v>
      </c>
      <c r="H61" s="576" t="s">
        <v>83</v>
      </c>
      <c r="I61" s="540"/>
      <c r="J61" s="79" t="e">
        <f>+SUM(J56:J60)</f>
        <v>#REF!</v>
      </c>
      <c r="K61" s="576" t="s">
        <v>84</v>
      </c>
      <c r="L61" s="578"/>
      <c r="M61" s="540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2" t="s">
        <v>276</v>
      </c>
      <c r="B1" s="463">
        <v>66753</v>
      </c>
      <c r="C1" s="464">
        <v>0</v>
      </c>
      <c r="D1" s="464">
        <v>0</v>
      </c>
      <c r="E1" s="463">
        <v>0</v>
      </c>
      <c r="F1" s="465"/>
      <c r="G1" s="463"/>
      <c r="H1" s="463"/>
    </row>
    <row r="2" spans="1:8" ht="21" x14ac:dyDescent="0.25">
      <c r="A2" s="466" t="s">
        <v>88</v>
      </c>
      <c r="B2" s="467">
        <v>24736</v>
      </c>
      <c r="C2" s="466">
        <v>0</v>
      </c>
      <c r="D2" s="468">
        <v>0</v>
      </c>
      <c r="E2" s="463">
        <v>0</v>
      </c>
      <c r="F2" s="465"/>
      <c r="G2" s="463"/>
      <c r="H2" s="463"/>
    </row>
    <row r="3" spans="1:8" ht="21" x14ac:dyDescent="0.25">
      <c r="A3" s="466" t="s">
        <v>89</v>
      </c>
      <c r="B3" s="467">
        <v>50490</v>
      </c>
      <c r="C3" s="466">
        <v>0</v>
      </c>
      <c r="D3" s="468">
        <v>0</v>
      </c>
      <c r="E3" s="463">
        <v>0</v>
      </c>
      <c r="F3" s="469"/>
      <c r="G3" s="463"/>
      <c r="H3" s="463"/>
    </row>
    <row r="4" spans="1:8" ht="21" x14ac:dyDescent="0.25">
      <c r="A4" s="466" t="s">
        <v>277</v>
      </c>
      <c r="B4" s="467">
        <v>0</v>
      </c>
      <c r="C4" s="466">
        <v>0</v>
      </c>
      <c r="D4" s="468">
        <v>0</v>
      </c>
      <c r="E4" s="463">
        <v>0</v>
      </c>
      <c r="F4" s="463"/>
      <c r="G4" s="463"/>
      <c r="H4" s="463"/>
    </row>
    <row r="5" spans="1:8" ht="21" x14ac:dyDescent="0.25">
      <c r="A5" s="466" t="s">
        <v>90</v>
      </c>
      <c r="B5" s="467">
        <v>0</v>
      </c>
      <c r="C5" s="466">
        <v>0</v>
      </c>
      <c r="D5" s="468">
        <v>0</v>
      </c>
      <c r="E5" s="463">
        <v>0</v>
      </c>
      <c r="F5" s="463"/>
      <c r="G5" s="463"/>
      <c r="H5" s="463"/>
    </row>
    <row r="6" spans="1:8" ht="21" x14ac:dyDescent="0.25">
      <c r="A6" s="466" t="s">
        <v>91</v>
      </c>
      <c r="B6" s="467">
        <v>0</v>
      </c>
      <c r="C6" s="466">
        <v>0</v>
      </c>
      <c r="D6" s="468">
        <v>0</v>
      </c>
      <c r="E6" s="463">
        <v>0</v>
      </c>
      <c r="F6" s="463"/>
      <c r="G6" s="463"/>
      <c r="H6" s="463"/>
    </row>
    <row r="7" spans="1:8" ht="21" x14ac:dyDescent="0.25">
      <c r="A7" s="466" t="s">
        <v>92</v>
      </c>
      <c r="B7" s="467">
        <v>150617</v>
      </c>
      <c r="C7" s="466">
        <v>0</v>
      </c>
      <c r="D7" s="468">
        <v>0</v>
      </c>
      <c r="E7" s="463">
        <v>0</v>
      </c>
      <c r="F7" s="463"/>
      <c r="G7" s="463"/>
      <c r="H7" s="463"/>
    </row>
    <row r="8" spans="1:8" ht="21" x14ac:dyDescent="0.25">
      <c r="A8" s="466" t="s">
        <v>93</v>
      </c>
      <c r="B8" s="467">
        <v>435811</v>
      </c>
      <c r="C8" s="466">
        <v>0</v>
      </c>
      <c r="D8" s="468">
        <v>0</v>
      </c>
      <c r="E8" s="463">
        <v>0</v>
      </c>
      <c r="F8" s="463"/>
      <c r="G8" s="463"/>
      <c r="H8" s="463"/>
    </row>
    <row r="9" spans="1:8" ht="21" x14ac:dyDescent="0.25">
      <c r="A9" s="466" t="s">
        <v>94</v>
      </c>
      <c r="B9" s="467">
        <v>2203</v>
      </c>
      <c r="C9" s="466">
        <v>0</v>
      </c>
      <c r="D9" s="468">
        <v>0</v>
      </c>
      <c r="E9" s="463">
        <v>0</v>
      </c>
      <c r="F9" s="463"/>
      <c r="G9" s="463"/>
      <c r="H9" s="463"/>
    </row>
    <row r="10" spans="1:8" ht="21" x14ac:dyDescent="0.25">
      <c r="A10" s="466" t="s">
        <v>95</v>
      </c>
      <c r="B10" s="467">
        <v>27</v>
      </c>
      <c r="C10" s="466">
        <v>0</v>
      </c>
      <c r="D10" s="468">
        <v>0</v>
      </c>
      <c r="E10" s="463">
        <v>0</v>
      </c>
      <c r="F10" s="463"/>
      <c r="G10" s="463"/>
      <c r="H10" s="463"/>
    </row>
    <row r="11" spans="1:8" ht="21" x14ac:dyDescent="0.25">
      <c r="A11" s="466" t="s">
        <v>96</v>
      </c>
      <c r="B11" s="467">
        <v>25122</v>
      </c>
      <c r="C11" s="466">
        <v>0</v>
      </c>
      <c r="D11" s="468">
        <v>0</v>
      </c>
      <c r="E11" s="463">
        <v>0</v>
      </c>
      <c r="F11" s="463"/>
      <c r="G11" s="463"/>
      <c r="H11" s="463"/>
    </row>
    <row r="12" spans="1:8" ht="21" x14ac:dyDescent="0.25">
      <c r="A12" s="466" t="s">
        <v>247</v>
      </c>
      <c r="B12" s="467">
        <v>841140</v>
      </c>
      <c r="C12" s="466">
        <v>1</v>
      </c>
      <c r="D12" s="468">
        <v>2.65</v>
      </c>
      <c r="E12" s="463">
        <v>0</v>
      </c>
      <c r="F12" s="463"/>
      <c r="G12" s="463"/>
      <c r="H12" s="463"/>
    </row>
    <row r="13" spans="1:8" ht="21" x14ac:dyDescent="0.25">
      <c r="A13" s="466" t="s">
        <v>248</v>
      </c>
      <c r="B13" s="467">
        <v>841140</v>
      </c>
      <c r="C13" s="466">
        <v>1</v>
      </c>
      <c r="D13" s="468">
        <v>1.7937498607364257</v>
      </c>
      <c r="E13" s="463">
        <v>0</v>
      </c>
      <c r="F13" s="463"/>
      <c r="G13" s="463"/>
      <c r="H13" s="463"/>
    </row>
    <row r="14" spans="1:8" ht="21" x14ac:dyDescent="0.25">
      <c r="A14" s="466" t="s">
        <v>249</v>
      </c>
      <c r="B14" s="467">
        <v>799464</v>
      </c>
      <c r="C14" s="466">
        <v>0.85</v>
      </c>
      <c r="D14" s="468">
        <v>0.93275003802393297</v>
      </c>
      <c r="E14" s="463">
        <v>0</v>
      </c>
      <c r="F14" s="463"/>
      <c r="G14" s="463"/>
      <c r="H14" s="463"/>
    </row>
    <row r="15" spans="1:8" ht="21" x14ac:dyDescent="0.25">
      <c r="A15" s="466" t="s">
        <v>250</v>
      </c>
      <c r="B15" s="467">
        <v>309440</v>
      </c>
      <c r="C15" s="466">
        <v>0.15</v>
      </c>
      <c r="D15" s="468">
        <v>1.1554858656662388</v>
      </c>
      <c r="E15" s="463">
        <v>0</v>
      </c>
      <c r="F15" s="463"/>
      <c r="G15" s="463"/>
      <c r="H15" s="463"/>
    </row>
    <row r="16" spans="1:8" ht="21" x14ac:dyDescent="0.25">
      <c r="A16" s="466" t="s">
        <v>251</v>
      </c>
      <c r="B16" s="467">
        <v>719345</v>
      </c>
      <c r="C16" s="466">
        <v>1</v>
      </c>
      <c r="D16" s="468">
        <v>6.7708475606506466</v>
      </c>
      <c r="E16" s="463">
        <v>0</v>
      </c>
      <c r="F16" s="463"/>
      <c r="G16" s="463"/>
      <c r="H16" s="463"/>
    </row>
    <row r="17" spans="1:8" ht="21" x14ac:dyDescent="0.25">
      <c r="A17" s="466" t="s">
        <v>253</v>
      </c>
      <c r="B17" s="467">
        <v>0</v>
      </c>
      <c r="C17" s="466">
        <v>0</v>
      </c>
      <c r="D17" s="468">
        <v>12.73464883638535</v>
      </c>
      <c r="E17" s="463">
        <v>0</v>
      </c>
      <c r="F17" s="463"/>
      <c r="G17" s="463"/>
      <c r="H17" s="463"/>
    </row>
    <row r="18" spans="1:8" ht="21" x14ac:dyDescent="0.25">
      <c r="A18" s="466" t="s">
        <v>254</v>
      </c>
      <c r="B18" s="467">
        <v>0</v>
      </c>
      <c r="C18" s="466">
        <v>0</v>
      </c>
      <c r="D18" s="468">
        <v>20.331616421326252</v>
      </c>
      <c r="E18" s="463">
        <v>0</v>
      </c>
      <c r="F18" s="463"/>
      <c r="G18" s="463"/>
      <c r="H18" s="463"/>
    </row>
    <row r="19" spans="1:8" ht="21" x14ac:dyDescent="0.25">
      <c r="A19" s="466" t="s">
        <v>255</v>
      </c>
      <c r="B19" s="467">
        <v>0</v>
      </c>
      <c r="C19" s="466">
        <v>0</v>
      </c>
      <c r="D19" s="468">
        <v>8.225477491060424</v>
      </c>
      <c r="E19" s="463">
        <v>0</v>
      </c>
      <c r="F19" s="463"/>
      <c r="G19" s="463"/>
      <c r="H19" s="463"/>
    </row>
    <row r="20" spans="1:8" ht="21" x14ac:dyDescent="0.25">
      <c r="A20" s="466" t="s">
        <v>256</v>
      </c>
      <c r="B20" s="467">
        <v>0</v>
      </c>
      <c r="C20" s="466">
        <v>0</v>
      </c>
      <c r="D20" s="468">
        <v>2.7579753151123789</v>
      </c>
      <c r="E20" s="463">
        <v>0</v>
      </c>
      <c r="F20" s="463"/>
      <c r="G20" s="463"/>
      <c r="H20" s="463"/>
    </row>
    <row r="21" spans="1:8" ht="21" x14ac:dyDescent="0.25">
      <c r="A21" s="466" t="s">
        <v>256</v>
      </c>
      <c r="B21" s="467">
        <v>0</v>
      </c>
      <c r="C21" s="466">
        <v>0</v>
      </c>
      <c r="D21" s="468">
        <v>2.7579753151123789</v>
      </c>
      <c r="E21" s="463">
        <v>0</v>
      </c>
      <c r="F21" s="463"/>
      <c r="G21" s="463"/>
      <c r="H21" s="463"/>
    </row>
    <row r="22" spans="1:8" ht="21" x14ac:dyDescent="0.25">
      <c r="A22" s="466" t="s">
        <v>201</v>
      </c>
      <c r="B22" s="467">
        <v>0</v>
      </c>
      <c r="C22" s="466">
        <v>0.04</v>
      </c>
      <c r="D22" s="468">
        <v>0</v>
      </c>
      <c r="E22" s="463">
        <v>0.57999999999999996</v>
      </c>
      <c r="F22" s="463"/>
      <c r="G22" s="463"/>
      <c r="H22" s="463"/>
    </row>
    <row r="23" spans="1:8" ht="21" x14ac:dyDescent="0.25">
      <c r="A23" s="466" t="s">
        <v>278</v>
      </c>
      <c r="B23" s="467">
        <v>9444</v>
      </c>
      <c r="C23" s="466">
        <v>0.04</v>
      </c>
      <c r="D23" s="468">
        <v>9066.24</v>
      </c>
      <c r="E23" s="463">
        <v>0.57999999999999996</v>
      </c>
      <c r="F23" s="463"/>
      <c r="G23" s="463"/>
      <c r="H23" s="463"/>
    </row>
    <row r="24" spans="1:8" ht="21" x14ac:dyDescent="0.25">
      <c r="A24" s="466" t="s">
        <v>279</v>
      </c>
      <c r="B24" s="467">
        <v>2203</v>
      </c>
      <c r="C24" s="466">
        <v>2.8000000000000001E-2</v>
      </c>
      <c r="D24" s="468">
        <v>2141.3159999999998</v>
      </c>
      <c r="E24" s="463">
        <v>0.62560000000000004</v>
      </c>
      <c r="F24" s="463"/>
      <c r="G24" s="463"/>
      <c r="H24" s="463"/>
    </row>
    <row r="25" spans="1:8" ht="21" x14ac:dyDescent="0.25">
      <c r="A25" s="470" t="s">
        <v>204</v>
      </c>
      <c r="B25" s="467">
        <v>0</v>
      </c>
      <c r="C25" s="471">
        <v>0</v>
      </c>
      <c r="D25" s="472">
        <v>0</v>
      </c>
      <c r="E25" s="463">
        <v>0</v>
      </c>
      <c r="F25" s="463"/>
      <c r="G25" s="463"/>
      <c r="H25" s="463"/>
    </row>
    <row r="26" spans="1:8" ht="21" x14ac:dyDescent="0.25">
      <c r="A26" s="470" t="s">
        <v>208</v>
      </c>
      <c r="B26" s="467">
        <v>0</v>
      </c>
      <c r="C26" s="471">
        <v>2.6944684E-2</v>
      </c>
      <c r="D26" s="472">
        <v>0</v>
      </c>
      <c r="E26" s="463">
        <v>0.62503473099999995</v>
      </c>
      <c r="F26" s="463"/>
      <c r="G26" s="463"/>
      <c r="H26" s="463"/>
    </row>
    <row r="27" spans="1:8" ht="21" x14ac:dyDescent="0.25">
      <c r="A27" s="470" t="s">
        <v>210</v>
      </c>
      <c r="B27" s="467">
        <v>0</v>
      </c>
      <c r="C27" s="471">
        <v>0</v>
      </c>
      <c r="D27" s="472">
        <v>0</v>
      </c>
      <c r="E27" s="463">
        <v>0</v>
      </c>
      <c r="F27" s="463"/>
      <c r="G27" s="463"/>
      <c r="H27" s="463"/>
    </row>
    <row r="28" spans="1:8" ht="21" x14ac:dyDescent="0.25">
      <c r="A28" s="470" t="s">
        <v>280</v>
      </c>
      <c r="B28" s="467">
        <v>24345</v>
      </c>
      <c r="C28" s="471">
        <v>0</v>
      </c>
      <c r="D28" s="472">
        <v>24345</v>
      </c>
      <c r="E28" s="463">
        <v>0.65</v>
      </c>
      <c r="F28" s="463"/>
      <c r="G28" s="463"/>
      <c r="H28" s="463"/>
    </row>
    <row r="29" spans="1:8" ht="21" x14ac:dyDescent="0.25">
      <c r="A29" s="470" t="s">
        <v>212</v>
      </c>
      <c r="B29" s="467">
        <v>24345</v>
      </c>
      <c r="C29" s="471">
        <v>0</v>
      </c>
      <c r="D29" s="472">
        <v>24345</v>
      </c>
      <c r="E29" s="463">
        <v>0.65</v>
      </c>
      <c r="F29" s="463"/>
      <c r="G29" s="463"/>
      <c r="H29" s="463"/>
    </row>
    <row r="30" spans="1:8" ht="21" x14ac:dyDescent="0.25">
      <c r="A30" s="470" t="s">
        <v>213</v>
      </c>
      <c r="B30" s="467">
        <v>0</v>
      </c>
      <c r="C30" s="471">
        <v>0</v>
      </c>
      <c r="D30" s="472">
        <v>0</v>
      </c>
      <c r="E30" s="463">
        <v>0</v>
      </c>
      <c r="F30" s="463"/>
      <c r="G30" s="463"/>
      <c r="H30" s="463"/>
    </row>
    <row r="31" spans="1:8" ht="21" x14ac:dyDescent="0.25">
      <c r="A31" s="470" t="s">
        <v>214</v>
      </c>
      <c r="B31" s="467">
        <v>0</v>
      </c>
      <c r="C31" s="471">
        <v>0</v>
      </c>
      <c r="D31" s="472">
        <v>0</v>
      </c>
      <c r="E31" s="463">
        <v>0</v>
      </c>
      <c r="F31" s="463"/>
      <c r="G31" s="463"/>
      <c r="H31" s="463"/>
    </row>
    <row r="32" spans="1:8" ht="21" x14ac:dyDescent="0.25">
      <c r="A32" s="470" t="s">
        <v>219</v>
      </c>
      <c r="B32" s="467">
        <v>0</v>
      </c>
      <c r="C32" s="471">
        <v>0</v>
      </c>
      <c r="D32" s="472">
        <v>0</v>
      </c>
      <c r="E32" s="463">
        <v>0</v>
      </c>
      <c r="F32" s="463"/>
      <c r="G32" s="463"/>
      <c r="H32" s="463"/>
    </row>
    <row r="33" spans="1:8" ht="21" x14ac:dyDescent="0.25">
      <c r="A33" s="470" t="s">
        <v>220</v>
      </c>
      <c r="B33" s="467">
        <v>0</v>
      </c>
      <c r="C33" s="471">
        <v>0</v>
      </c>
      <c r="D33" s="472">
        <v>0</v>
      </c>
      <c r="E33" s="463">
        <v>0</v>
      </c>
      <c r="F33" s="463"/>
      <c r="G33" s="463"/>
      <c r="H33" s="463"/>
    </row>
    <row r="34" spans="1:8" ht="21" x14ac:dyDescent="0.25">
      <c r="A34" s="473" t="s">
        <v>281</v>
      </c>
      <c r="B34" s="463">
        <v>0</v>
      </c>
      <c r="C34" s="463">
        <v>0</v>
      </c>
      <c r="D34" s="463">
        <v>0</v>
      </c>
      <c r="E34" s="463">
        <v>0</v>
      </c>
      <c r="F34" s="463"/>
      <c r="G34" s="463"/>
      <c r="H34" s="463"/>
    </row>
    <row r="35" spans="1:8" ht="21" x14ac:dyDescent="0.25">
      <c r="A35" s="473" t="s">
        <v>224</v>
      </c>
      <c r="B35" s="463">
        <v>0</v>
      </c>
      <c r="C35" s="463">
        <v>0</v>
      </c>
      <c r="D35" s="463">
        <v>0</v>
      </c>
      <c r="E35" s="463">
        <v>0</v>
      </c>
      <c r="F35" s="463"/>
      <c r="G35" s="463"/>
      <c r="H35" s="463"/>
    </row>
    <row r="36" spans="1:8" ht="21" x14ac:dyDescent="0.25">
      <c r="A36" s="473" t="s">
        <v>226</v>
      </c>
      <c r="B36" s="463">
        <v>0</v>
      </c>
      <c r="C36" s="463">
        <v>0</v>
      </c>
      <c r="D36" s="463">
        <v>0</v>
      </c>
      <c r="E36" s="463">
        <v>0</v>
      </c>
      <c r="F36" s="463"/>
      <c r="G36" s="463"/>
      <c r="H36" s="463"/>
    </row>
    <row r="37" spans="1:8" ht="21" x14ac:dyDescent="0.25">
      <c r="A37" s="473" t="s">
        <v>228</v>
      </c>
      <c r="B37" s="463">
        <v>0</v>
      </c>
      <c r="C37" s="463">
        <v>0</v>
      </c>
      <c r="D37" s="463">
        <v>0</v>
      </c>
      <c r="E37" s="463">
        <v>0</v>
      </c>
      <c r="F37" s="463"/>
      <c r="G37" s="463"/>
      <c r="H37" s="463"/>
    </row>
    <row r="38" spans="1:8" ht="21" x14ac:dyDescent="0.25">
      <c r="A38" s="473" t="s">
        <v>92</v>
      </c>
      <c r="B38" s="463">
        <v>149936</v>
      </c>
      <c r="C38" s="463">
        <v>150934.60122179985</v>
      </c>
      <c r="D38" s="463">
        <v>998.60122179985046</v>
      </c>
      <c r="E38" s="463">
        <v>9.6968121743781464E-3</v>
      </c>
      <c r="F38" s="463">
        <v>1453.9012301775617</v>
      </c>
      <c r="G38" s="463">
        <v>149616.65539018225</v>
      </c>
      <c r="H38" s="463">
        <v>148482.09876982245</v>
      </c>
    </row>
    <row r="39" spans="1:8" ht="21" x14ac:dyDescent="0.25">
      <c r="A39" s="473" t="s">
        <v>93</v>
      </c>
      <c r="B39" s="463">
        <v>435765</v>
      </c>
      <c r="C39" s="463">
        <v>395462.99999999988</v>
      </c>
      <c r="D39" s="463">
        <v>-40302.000000000116</v>
      </c>
      <c r="E39" s="463">
        <v>9.6713366074297497E-3</v>
      </c>
      <c r="F39" s="463">
        <v>149046.44449790861</v>
      </c>
      <c r="G39" s="463">
        <v>434139.57238202594</v>
      </c>
      <c r="H39" s="463">
        <v>431550.57000326336</v>
      </c>
    </row>
    <row r="40" spans="1:8" ht="21" x14ac:dyDescent="0.25">
      <c r="A40" s="473" t="s">
        <v>282</v>
      </c>
      <c r="B40" s="463">
        <v>0</v>
      </c>
      <c r="C40" s="463">
        <v>-2927.9471969604492</v>
      </c>
      <c r="D40" s="463">
        <v>-2927.9471969604492</v>
      </c>
      <c r="E40" s="463">
        <v>8.6E-3</v>
      </c>
      <c r="F40" s="463">
        <v>8030.3399999999992</v>
      </c>
      <c r="G40" s="463">
        <v>0</v>
      </c>
      <c r="H40" s="463">
        <v>0</v>
      </c>
    </row>
    <row r="41" spans="1:8" ht="21" x14ac:dyDescent="0.25">
      <c r="A41" s="473" t="s">
        <v>283</v>
      </c>
      <c r="B41" s="463">
        <v>0</v>
      </c>
      <c r="C41" s="463">
        <v>-1980</v>
      </c>
      <c r="D41" s="463">
        <v>-1980</v>
      </c>
      <c r="E41" s="463">
        <v>0</v>
      </c>
      <c r="F41" s="463">
        <v>2700</v>
      </c>
      <c r="G41" s="463">
        <v>0</v>
      </c>
      <c r="H41" s="463">
        <v>0</v>
      </c>
    </row>
    <row r="42" spans="1:8" ht="21" x14ac:dyDescent="0.25">
      <c r="A42" s="473" t="s">
        <v>107</v>
      </c>
      <c r="B42" s="463">
        <v>48104</v>
      </c>
      <c r="C42" s="463">
        <v>147374.00000000003</v>
      </c>
      <c r="D42" s="463">
        <v>99270.000000000029</v>
      </c>
      <c r="E42" s="463">
        <v>7.6449041795111791E-2</v>
      </c>
      <c r="F42" s="463">
        <v>-350455.26435521792</v>
      </c>
      <c r="G42" s="463">
        <v>46202.702648706152</v>
      </c>
      <c r="H42" s="463">
        <v>44426.49529348794</v>
      </c>
    </row>
    <row r="43" spans="1:8" ht="21" x14ac:dyDescent="0.25">
      <c r="A43" s="473" t="s">
        <v>284</v>
      </c>
      <c r="B43" s="463">
        <v>0</v>
      </c>
      <c r="C43" s="463">
        <v>0</v>
      </c>
      <c r="D43" s="463">
        <v>0</v>
      </c>
      <c r="E43" s="463">
        <v>0</v>
      </c>
      <c r="F43" s="463">
        <v>0</v>
      </c>
      <c r="G43" s="463">
        <v>0</v>
      </c>
      <c r="H43" s="463">
        <v>0</v>
      </c>
    </row>
    <row r="44" spans="1:8" ht="21" x14ac:dyDescent="0.25">
      <c r="A44" s="474" t="s">
        <v>109</v>
      </c>
      <c r="B44" s="475">
        <v>65746</v>
      </c>
      <c r="C44" s="476">
        <v>14273.091962099075</v>
      </c>
      <c r="D44" s="477">
        <v>-51472.908037900925</v>
      </c>
      <c r="E44" s="463">
        <v>5.0000000000000001E-3</v>
      </c>
      <c r="F44" s="463">
        <v>-275163.13804390526</v>
      </c>
      <c r="G44" s="463">
        <v>67260.881143905281</v>
      </c>
      <c r="H44" s="463">
        <v>65417.27</v>
      </c>
    </row>
    <row r="45" spans="1:8" ht="21" x14ac:dyDescent="0.25">
      <c r="A45" s="478" t="s">
        <v>285</v>
      </c>
      <c r="B45" s="479">
        <v>24742</v>
      </c>
      <c r="C45" s="480">
        <v>12095.744312286377</v>
      </c>
      <c r="D45" s="480">
        <v>-12646.255687713623</v>
      </c>
      <c r="E45" s="463">
        <v>5.0000000000000001E-3</v>
      </c>
      <c r="F45" s="463">
        <v>-364.17</v>
      </c>
      <c r="G45" s="463">
        <v>24982.46</v>
      </c>
      <c r="H45" s="463">
        <v>24618.29</v>
      </c>
    </row>
    <row r="46" spans="1:8" ht="21" x14ac:dyDescent="0.25">
      <c r="A46" s="478" t="s">
        <v>286</v>
      </c>
      <c r="B46" s="479">
        <v>2203</v>
      </c>
      <c r="C46" s="480">
        <v>1837.2749805450439</v>
      </c>
      <c r="D46" s="480">
        <v>-365.72501945495605</v>
      </c>
      <c r="E46" s="463">
        <v>3.5000000000000003E-2</v>
      </c>
      <c r="F46" s="463">
        <v>2125.4149139356614</v>
      </c>
      <c r="G46" s="463">
        <v>0.48008606433868406</v>
      </c>
      <c r="H46" s="463">
        <v>2125.895</v>
      </c>
    </row>
    <row r="47" spans="1:8" ht="21" x14ac:dyDescent="0.25">
      <c r="A47" s="497" t="s">
        <v>287</v>
      </c>
      <c r="B47" s="498">
        <v>0</v>
      </c>
      <c r="C47" s="499">
        <v>0</v>
      </c>
      <c r="D47" s="499">
        <v>0</v>
      </c>
      <c r="E47" s="492">
        <v>0</v>
      </c>
      <c r="F47" s="492">
        <v>0</v>
      </c>
      <c r="G47" s="492">
        <v>0</v>
      </c>
      <c r="H47" s="492">
        <v>0</v>
      </c>
    </row>
    <row r="48" spans="1:8" ht="21" x14ac:dyDescent="0.25">
      <c r="A48" s="586" t="s">
        <v>221</v>
      </c>
      <c r="B48" s="586">
        <v>0</v>
      </c>
      <c r="C48" s="481">
        <v>115642</v>
      </c>
      <c r="D48" s="481">
        <v>112764</v>
      </c>
      <c r="E48" s="482"/>
      <c r="F48" s="483">
        <v>68.849999999999994</v>
      </c>
      <c r="G48" s="483">
        <v>7.7</v>
      </c>
      <c r="H48" s="463"/>
    </row>
    <row r="49" spans="1:9" ht="21" x14ac:dyDescent="0.25">
      <c r="A49" s="586" t="s">
        <v>223</v>
      </c>
      <c r="B49" s="586">
        <v>0</v>
      </c>
      <c r="C49" s="484">
        <v>0</v>
      </c>
      <c r="D49" s="484">
        <v>0</v>
      </c>
      <c r="E49" s="482"/>
      <c r="F49" s="483">
        <v>68.77</v>
      </c>
      <c r="G49" s="483">
        <v>7.74</v>
      </c>
      <c r="H49" s="463"/>
    </row>
    <row r="50" spans="1:9" ht="21" x14ac:dyDescent="0.25">
      <c r="A50" s="586" t="s">
        <v>225</v>
      </c>
      <c r="B50" s="586">
        <v>0</v>
      </c>
      <c r="C50" s="484">
        <v>0</v>
      </c>
      <c r="D50" s="484">
        <v>0</v>
      </c>
      <c r="E50" s="482"/>
      <c r="F50" s="483">
        <v>69.150000000000006</v>
      </c>
      <c r="G50" s="483">
        <v>7.37</v>
      </c>
      <c r="H50" s="463"/>
    </row>
    <row r="51" spans="1:9" ht="21" x14ac:dyDescent="0.25">
      <c r="A51" s="586" t="s">
        <v>227</v>
      </c>
      <c r="B51" s="586">
        <v>0</v>
      </c>
      <c r="C51" s="484">
        <v>0</v>
      </c>
      <c r="D51" s="484">
        <v>0</v>
      </c>
      <c r="E51" s="482"/>
      <c r="F51" s="483">
        <v>69.150000000000006</v>
      </c>
      <c r="G51" s="483">
        <v>7.37</v>
      </c>
      <c r="H51" s="463"/>
    </row>
    <row r="52" spans="1:9" ht="21" x14ac:dyDescent="0.25">
      <c r="A52" s="586" t="s">
        <v>221</v>
      </c>
      <c r="B52" s="586">
        <v>0</v>
      </c>
      <c r="C52" s="485">
        <v>0</v>
      </c>
      <c r="D52" s="485">
        <v>0</v>
      </c>
      <c r="E52" s="482"/>
      <c r="F52" s="483">
        <v>65.34</v>
      </c>
      <c r="G52" s="483">
        <v>1.1200000000000001</v>
      </c>
      <c r="H52" s="463"/>
    </row>
    <row r="53" spans="1:9" ht="21" x14ac:dyDescent="0.25">
      <c r="A53" s="586" t="s">
        <v>223</v>
      </c>
      <c r="B53" s="586">
        <v>0</v>
      </c>
      <c r="C53" s="485">
        <v>0</v>
      </c>
      <c r="D53" s="485">
        <v>0</v>
      </c>
      <c r="E53" s="486"/>
      <c r="F53" s="483">
        <v>65.180000000000007</v>
      </c>
      <c r="G53" s="483">
        <v>0.69</v>
      </c>
      <c r="H53" s="463"/>
    </row>
    <row r="54" spans="1:9" ht="21" x14ac:dyDescent="0.25">
      <c r="A54" s="586" t="s">
        <v>225</v>
      </c>
      <c r="B54" s="586">
        <v>0</v>
      </c>
      <c r="C54" s="485">
        <v>0</v>
      </c>
      <c r="D54" s="487">
        <v>0</v>
      </c>
      <c r="E54" s="486"/>
      <c r="F54" s="483">
        <v>65.55</v>
      </c>
      <c r="G54" s="483">
        <v>0.71</v>
      </c>
      <c r="H54" s="463"/>
    </row>
    <row r="55" spans="1:9" ht="21" x14ac:dyDescent="0.25">
      <c r="A55" s="586" t="s">
        <v>227</v>
      </c>
      <c r="B55" s="586">
        <v>0</v>
      </c>
      <c r="C55" s="484">
        <v>0</v>
      </c>
      <c r="D55" s="484">
        <v>0</v>
      </c>
      <c r="E55" s="486"/>
      <c r="F55" s="483"/>
      <c r="G55" s="483"/>
      <c r="H55" s="463"/>
    </row>
    <row r="56" spans="1:9" ht="21" x14ac:dyDescent="0.25">
      <c r="A56" s="586" t="s">
        <v>221</v>
      </c>
      <c r="B56" s="586">
        <v>0</v>
      </c>
      <c r="C56" s="487">
        <v>62770</v>
      </c>
      <c r="D56" s="487">
        <v>65510</v>
      </c>
      <c r="E56" s="486"/>
      <c r="F56" s="483">
        <v>64.069999999999993</v>
      </c>
      <c r="G56" s="483">
        <v>1.19</v>
      </c>
      <c r="H56" s="463"/>
    </row>
    <row r="57" spans="1:9" ht="21" x14ac:dyDescent="0.25">
      <c r="A57" s="586" t="s">
        <v>223</v>
      </c>
      <c r="B57" s="586">
        <v>0</v>
      </c>
      <c r="C57" s="487">
        <v>136102</v>
      </c>
      <c r="D57" s="487">
        <v>139489</v>
      </c>
      <c r="E57" s="486"/>
      <c r="F57" s="483">
        <v>64.069999999999993</v>
      </c>
      <c r="G57" s="483">
        <v>1.19</v>
      </c>
      <c r="H57" s="463"/>
    </row>
    <row r="58" spans="1:9" ht="21" x14ac:dyDescent="0.25">
      <c r="A58" s="586" t="s">
        <v>225</v>
      </c>
      <c r="B58" s="586">
        <v>0</v>
      </c>
      <c r="C58" s="487">
        <v>0</v>
      </c>
      <c r="D58" s="487">
        <v>0</v>
      </c>
      <c r="E58" s="486"/>
      <c r="F58" s="483"/>
      <c r="G58" s="483"/>
      <c r="H58" s="463"/>
    </row>
    <row r="59" spans="1:9" ht="21" x14ac:dyDescent="0.25">
      <c r="A59" s="586" t="s">
        <v>227</v>
      </c>
      <c r="B59" s="586">
        <v>0</v>
      </c>
      <c r="C59" s="487">
        <v>0</v>
      </c>
      <c r="D59" s="487">
        <v>0</v>
      </c>
      <c r="E59" s="488"/>
      <c r="F59" s="483"/>
      <c r="G59" s="483"/>
      <c r="H59" s="463"/>
    </row>
    <row r="60" spans="1:9" ht="15.75" customHeight="1" x14ac:dyDescent="0.25">
      <c r="A60" s="586" t="s">
        <v>221</v>
      </c>
      <c r="B60" s="586">
        <v>0</v>
      </c>
      <c r="C60" s="484">
        <v>67282</v>
      </c>
      <c r="D60" s="484">
        <v>66000</v>
      </c>
      <c r="E60" s="486"/>
      <c r="F60" s="483"/>
      <c r="G60" s="483"/>
      <c r="H60" s="463"/>
    </row>
    <row r="61" spans="1:9" ht="15.75" customHeight="1" x14ac:dyDescent="0.25">
      <c r="A61" s="586" t="s">
        <v>223</v>
      </c>
      <c r="B61" s="586">
        <v>0</v>
      </c>
      <c r="C61" s="484">
        <v>0</v>
      </c>
      <c r="D61" s="484">
        <v>0</v>
      </c>
      <c r="E61" s="486"/>
      <c r="F61" s="483"/>
      <c r="G61" s="483"/>
      <c r="H61" s="463"/>
      <c r="I61" s="305"/>
    </row>
    <row r="62" spans="1:9" ht="15.75" customHeight="1" x14ac:dyDescent="0.25">
      <c r="A62" s="489"/>
      <c r="B62" s="489"/>
      <c r="C62" s="490"/>
      <c r="D62" s="491"/>
      <c r="E62" s="463"/>
      <c r="F62" s="463"/>
      <c r="G62" s="463"/>
      <c r="H62" s="463"/>
      <c r="I62" s="305"/>
    </row>
    <row r="63" spans="1:9" ht="15.75" customHeight="1" x14ac:dyDescent="0.25">
      <c r="A63" s="493"/>
      <c r="B63" s="493"/>
      <c r="C63" s="494"/>
      <c r="D63" s="495"/>
      <c r="E63" s="496"/>
      <c r="F63" s="496"/>
      <c r="G63" s="496"/>
      <c r="H63" s="496"/>
      <c r="I63" s="305"/>
    </row>
    <row r="64" spans="1:9" ht="15.75" customHeight="1" x14ac:dyDescent="0.25">
      <c r="A64" s="493"/>
      <c r="B64" s="493"/>
      <c r="C64" s="494"/>
      <c r="D64" s="495"/>
      <c r="E64" s="496"/>
      <c r="F64" s="496"/>
      <c r="G64" s="496"/>
      <c r="H64" s="496"/>
      <c r="I64" s="305"/>
    </row>
    <row r="65" spans="1:9" ht="15.75" customHeight="1" x14ac:dyDescent="0.2">
      <c r="A65" s="305"/>
      <c r="B65" s="305"/>
      <c r="C65" s="305"/>
      <c r="D65" s="305"/>
      <c r="E65" s="305"/>
      <c r="F65" s="305"/>
      <c r="G65" s="305"/>
      <c r="H65" s="305"/>
      <c r="I65" s="305"/>
    </row>
    <row r="66" spans="1:9" ht="15.75" customHeight="1" x14ac:dyDescent="0.2">
      <c r="A66" s="305"/>
      <c r="B66" s="305"/>
      <c r="C66" s="305"/>
      <c r="D66" s="305"/>
      <c r="E66" s="305"/>
      <c r="F66" s="305"/>
      <c r="G66" s="305"/>
      <c r="H66" s="305"/>
      <c r="I66" s="305"/>
    </row>
    <row r="67" spans="1:9" ht="15.75" customHeight="1" x14ac:dyDescent="0.2">
      <c r="A67" s="305"/>
      <c r="B67" s="305"/>
      <c r="C67" s="305"/>
      <c r="D67" s="305"/>
      <c r="E67" s="305"/>
      <c r="F67" s="305"/>
      <c r="G67" s="305"/>
      <c r="H67" s="305"/>
      <c r="I67" s="305"/>
    </row>
    <row r="68" spans="1:9" ht="15.75" customHeight="1" x14ac:dyDescent="0.2">
      <c r="A68" s="305"/>
      <c r="B68" s="305"/>
      <c r="C68" s="305"/>
      <c r="D68" s="305"/>
      <c r="E68" s="305"/>
      <c r="F68" s="305"/>
      <c r="G68" s="305"/>
      <c r="H68" s="305"/>
      <c r="I68" s="305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1">
        <v>61.25</v>
      </c>
      <c r="D1" s="301">
        <v>61.631580448000001</v>
      </c>
      <c r="E1" s="421">
        <v>9.2167453407737462E-3</v>
      </c>
      <c r="F1" s="422">
        <f t="shared" ref="F1:F27" si="0">D1*B1</f>
        <v>23942574.740858592</v>
      </c>
      <c r="G1" s="294"/>
      <c r="H1" s="298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1">
        <v>63.3</v>
      </c>
      <c r="D2" s="301">
        <v>63.392359511000002</v>
      </c>
      <c r="E2" s="421">
        <v>9.5300999999999997E-3</v>
      </c>
      <c r="F2" s="422">
        <f t="shared" si="0"/>
        <v>10338152.773772903</v>
      </c>
      <c r="G2" s="294"/>
      <c r="H2" s="298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1">
        <v>63.7</v>
      </c>
      <c r="D3" s="301">
        <v>63.386387507999999</v>
      </c>
      <c r="E3" s="421">
        <v>1.15E-2</v>
      </c>
      <c r="F3" s="422">
        <f t="shared" si="0"/>
        <v>12844744.337396136</v>
      </c>
      <c r="G3" s="295"/>
      <c r="H3" s="298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1">
        <v>59.76</v>
      </c>
      <c r="D4" s="301">
        <v>60.357599999999998</v>
      </c>
      <c r="E4" s="421">
        <v>8.9899000000000003E-3</v>
      </c>
      <c r="F4" s="422">
        <f t="shared" si="0"/>
        <v>13604421.9672</v>
      </c>
      <c r="G4" s="295"/>
      <c r="H4" s="298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1">
        <v>60.29</v>
      </c>
      <c r="D5" s="301">
        <v>59.687100000000001</v>
      </c>
      <c r="E5" s="421">
        <v>8.9899000000000003E-3</v>
      </c>
      <c r="F5" s="422">
        <f t="shared" si="0"/>
        <v>13646142.298800001</v>
      </c>
      <c r="G5" s="294"/>
      <c r="H5" s="299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1">
        <v>60.29</v>
      </c>
      <c r="D6" s="301">
        <v>63.304499999999997</v>
      </c>
      <c r="E6" s="421">
        <v>8.6E-3</v>
      </c>
      <c r="F6" s="422">
        <f t="shared" si="0"/>
        <v>-275659.44524999999</v>
      </c>
      <c r="G6" s="294"/>
      <c r="H6" s="299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1">
        <v>58.82</v>
      </c>
      <c r="D7" s="301">
        <v>60.589335206999998</v>
      </c>
      <c r="E7" s="421">
        <v>7.6E-3</v>
      </c>
      <c r="F7" s="422">
        <f t="shared" si="0"/>
        <v>13925490.702721097</v>
      </c>
      <c r="G7" s="294"/>
      <c r="H7" s="299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1">
        <v>68.650000000000006</v>
      </c>
      <c r="D8" s="301">
        <v>68.650000000000006</v>
      </c>
      <c r="E8" s="421">
        <v>0</v>
      </c>
      <c r="F8" s="422">
        <f t="shared" si="0"/>
        <v>-144576.90000000002</v>
      </c>
      <c r="G8" s="294"/>
      <c r="H8" s="299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1">
        <v>11.31</v>
      </c>
      <c r="D9" s="301">
        <v>11.196899999999999</v>
      </c>
      <c r="E9" s="421">
        <v>0</v>
      </c>
      <c r="F9" s="422">
        <f t="shared" si="0"/>
        <v>10860.433155000001</v>
      </c>
      <c r="G9" s="294"/>
      <c r="H9" s="299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1">
        <v>11.31</v>
      </c>
      <c r="D10" s="301">
        <v>10.7445</v>
      </c>
      <c r="E10" s="421">
        <v>0</v>
      </c>
      <c r="F10" s="422">
        <f t="shared" si="0"/>
        <v>226279.424472738</v>
      </c>
      <c r="G10" s="294"/>
      <c r="H10" s="299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298">
        <v>22756</v>
      </c>
      <c r="B11" s="298">
        <v>20480.400000000001</v>
      </c>
      <c r="C11" s="302">
        <v>11.31</v>
      </c>
      <c r="D11" s="302">
        <v>10.5183</v>
      </c>
      <c r="E11" s="421">
        <v>0</v>
      </c>
      <c r="F11" s="422">
        <f t="shared" si="0"/>
        <v>215418.99132</v>
      </c>
      <c r="G11" s="294"/>
      <c r="H11" s="299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1">
        <v>68.7</v>
      </c>
      <c r="D12" s="301">
        <v>66.638999999999996</v>
      </c>
      <c r="E12" s="421">
        <v>9.9546339989804444E-3</v>
      </c>
      <c r="F12" s="422">
        <f t="shared" si="0"/>
        <v>13912490.585999999</v>
      </c>
      <c r="G12" s="294"/>
      <c r="H12" s="299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1">
        <v>8.3495571339466099E-2</v>
      </c>
      <c r="F13" s="422">
        <f t="shared" si="0"/>
        <v>14332142.879999999</v>
      </c>
      <c r="G13" s="294"/>
      <c r="H13" s="299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1">
        <v>0</v>
      </c>
      <c r="F14" s="422">
        <f t="shared" si="0"/>
        <v>0</v>
      </c>
      <c r="G14" s="294"/>
      <c r="H14" s="299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1">
        <v>8.3495571339466099E-2</v>
      </c>
      <c r="F15" s="422">
        <f t="shared" si="0"/>
        <v>13190616.950000001</v>
      </c>
      <c r="G15" s="294"/>
      <c r="H15" s="299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1">
        <v>8.3495571339466099E-2</v>
      </c>
      <c r="F16" s="422">
        <f t="shared" si="0"/>
        <v>13190616.950000001</v>
      </c>
      <c r="G16" s="294"/>
      <c r="H16" s="299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1">
        <v>8.3495571339466099E-2</v>
      </c>
      <c r="F17" s="422">
        <f t="shared" si="0"/>
        <v>0</v>
      </c>
      <c r="G17" s="294"/>
      <c r="H17" s="299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1">
        <v>8.3495571339466099E-2</v>
      </c>
      <c r="F18" s="422">
        <f t="shared" si="0"/>
        <v>1141525.9299725399</v>
      </c>
      <c r="G18" s="294"/>
      <c r="H18" s="299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1">
        <v>7.8799999999999995E-2</v>
      </c>
      <c r="F19" s="422">
        <f t="shared" si="0"/>
        <v>7134341.040000001</v>
      </c>
      <c r="G19" s="294"/>
      <c r="H19" s="299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1">
        <v>0</v>
      </c>
      <c r="F20" s="422">
        <f t="shared" si="0"/>
        <v>0</v>
      </c>
      <c r="G20" s="294"/>
      <c r="H20" s="299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1">
        <v>1</v>
      </c>
      <c r="F21" s="422">
        <f t="shared" si="0"/>
        <v>0</v>
      </c>
      <c r="G21" s="294"/>
      <c r="H21" s="299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1">
        <v>0</v>
      </c>
      <c r="F22" s="422">
        <f t="shared" si="0"/>
        <v>0</v>
      </c>
      <c r="G22" s="294"/>
      <c r="H22" s="299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1">
        <v>0</v>
      </c>
      <c r="F23" s="422">
        <f t="shared" si="0"/>
        <v>0</v>
      </c>
      <c r="G23" s="294"/>
      <c r="H23" s="299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1">
        <v>0</v>
      </c>
      <c r="F24" s="422">
        <f t="shared" si="0"/>
        <v>0</v>
      </c>
      <c r="G24" s="294"/>
      <c r="H24" s="299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0">
        <v>0</v>
      </c>
      <c r="D25" s="420">
        <v>0</v>
      </c>
      <c r="E25" s="421">
        <v>0</v>
      </c>
      <c r="F25" s="422">
        <f t="shared" si="0"/>
        <v>0</v>
      </c>
      <c r="G25" s="294"/>
      <c r="H25" s="299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98">
        <v>0</v>
      </c>
      <c r="B26" s="298">
        <v>0</v>
      </c>
      <c r="C26" s="303">
        <v>0</v>
      </c>
      <c r="D26" s="303">
        <v>0</v>
      </c>
      <c r="E26" s="421">
        <v>0</v>
      </c>
      <c r="F26" s="422">
        <f t="shared" si="0"/>
        <v>0</v>
      </c>
      <c r="G26" s="294"/>
      <c r="H26" s="299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98">
        <v>-51216</v>
      </c>
      <c r="B27" s="298">
        <v>-35851.199999999997</v>
      </c>
      <c r="C27" s="301">
        <v>0</v>
      </c>
      <c r="D27" s="301">
        <v>0</v>
      </c>
      <c r="E27" s="421">
        <v>5.0000000000000001E-3</v>
      </c>
      <c r="F27" s="422">
        <f t="shared" si="0"/>
        <v>0</v>
      </c>
      <c r="G27" s="294"/>
      <c r="H27" s="300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1">
        <v>0</v>
      </c>
      <c r="B28" s="291">
        <v>0</v>
      </c>
      <c r="C28" s="292">
        <v>0</v>
      </c>
      <c r="D28" s="292">
        <v>0</v>
      </c>
      <c r="E28" s="421">
        <v>0</v>
      </c>
      <c r="F28" s="422"/>
      <c r="G28" s="294"/>
      <c r="H28" s="294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1">
        <v>0</v>
      </c>
      <c r="B29" s="291">
        <v>0</v>
      </c>
      <c r="C29" s="292">
        <v>0</v>
      </c>
      <c r="D29" s="292">
        <v>0</v>
      </c>
      <c r="E29" s="421">
        <v>0.01</v>
      </c>
      <c r="F29" s="422"/>
      <c r="G29" s="294"/>
      <c r="H29" s="294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1">
        <v>0</v>
      </c>
      <c r="B30" s="291">
        <v>0</v>
      </c>
      <c r="C30" s="292">
        <v>68.650000000000006</v>
      </c>
      <c r="D30" s="292">
        <v>68.650000000000006</v>
      </c>
      <c r="E30" s="421">
        <v>0.01</v>
      </c>
      <c r="F30" s="422"/>
      <c r="G30" s="294"/>
      <c r="H30" s="294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1">
        <v>989</v>
      </c>
      <c r="B31" s="291">
        <v>692.3</v>
      </c>
      <c r="C31" s="292">
        <v>59.76</v>
      </c>
      <c r="D31" s="292">
        <v>56.771999999999998</v>
      </c>
      <c r="E31" s="421">
        <v>9.6968121743781464E-3</v>
      </c>
      <c r="F31" s="422"/>
      <c r="G31" s="294"/>
      <c r="H31" s="294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1">
        <v>91681</v>
      </c>
      <c r="B32" s="291">
        <v>88265</v>
      </c>
      <c r="C32" s="292">
        <v>68.650000000000006</v>
      </c>
      <c r="D32" s="292">
        <v>68.614693367000001</v>
      </c>
      <c r="E32" s="421">
        <v>7.6449041795111791E-2</v>
      </c>
      <c r="F32" s="422"/>
      <c r="G32" s="294"/>
      <c r="H32" s="294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1">
        <v>-39912</v>
      </c>
      <c r="B33" s="291">
        <v>-39560</v>
      </c>
      <c r="C33" s="292">
        <v>63.3</v>
      </c>
      <c r="D33" s="292">
        <v>63.361768546</v>
      </c>
      <c r="E33" s="293">
        <v>9.6713366074297497E-3</v>
      </c>
      <c r="F33" s="294"/>
      <c r="G33" s="294"/>
      <c r="H33" s="294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1">
        <v>-12583</v>
      </c>
      <c r="B34" s="291">
        <v>-16357.9</v>
      </c>
      <c r="C34" s="292">
        <v>65</v>
      </c>
      <c r="D34" s="292">
        <v>68.25</v>
      </c>
      <c r="E34" s="293">
        <v>5.0000000000000001E-3</v>
      </c>
      <c r="F34" s="294"/>
      <c r="G34" s="294"/>
      <c r="H34" s="294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1">
        <v>65670</v>
      </c>
      <c r="B35" s="291">
        <v>65670</v>
      </c>
      <c r="C35" s="292">
        <v>65</v>
      </c>
      <c r="D35" s="292">
        <v>65</v>
      </c>
      <c r="E35" s="293">
        <v>5.0000000000000001E-3</v>
      </c>
      <c r="F35" s="294"/>
      <c r="G35" s="294"/>
      <c r="H35" s="294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298">
        <v>0</v>
      </c>
      <c r="B36" s="298">
        <v>0</v>
      </c>
      <c r="C36" s="298">
        <v>82.99</v>
      </c>
      <c r="D36" s="298">
        <v>90.836855508685659</v>
      </c>
      <c r="E36" s="298">
        <v>0.82988350961181212</v>
      </c>
      <c r="F36" s="298"/>
      <c r="G36" s="298"/>
      <c r="H36" s="298"/>
      <c r="I36" s="298"/>
      <c r="J36" s="298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298">
        <v>0</v>
      </c>
      <c r="B37" s="298">
        <v>0</v>
      </c>
      <c r="C37" s="298">
        <v>96.87</v>
      </c>
      <c r="D37" s="298">
        <v>99.906645180420412</v>
      </c>
      <c r="E37" s="298">
        <v>0.96866077601964029</v>
      </c>
      <c r="F37" s="298"/>
      <c r="G37" s="298"/>
      <c r="H37" s="298"/>
      <c r="I37" s="298"/>
      <c r="J37" s="298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298"/>
      <c r="B38" s="298"/>
      <c r="C38" s="298"/>
      <c r="D38" s="298"/>
      <c r="E38" s="298"/>
      <c r="F38" s="298"/>
      <c r="G38" s="298"/>
      <c r="H38" s="298"/>
      <c r="I38" s="298"/>
      <c r="J38" s="298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298"/>
      <c r="B39" s="298"/>
      <c r="C39" s="298"/>
      <c r="D39" s="298"/>
      <c r="E39" s="298"/>
      <c r="F39" s="298"/>
      <c r="G39" s="298"/>
      <c r="H39" s="298"/>
      <c r="I39" s="298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299"/>
      <c r="B40" s="299"/>
      <c r="C40" s="299"/>
      <c r="D40" s="299"/>
      <c r="E40" s="299"/>
      <c r="F40" s="299"/>
      <c r="G40" s="299"/>
      <c r="H40" s="299"/>
      <c r="I40" s="299"/>
      <c r="J40" s="299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299"/>
      <c r="B41" s="299"/>
      <c r="C41" s="299"/>
      <c r="D41" s="299"/>
      <c r="E41" s="299"/>
      <c r="F41" s="299"/>
      <c r="G41" s="299"/>
      <c r="H41" s="299"/>
      <c r="I41" s="299"/>
      <c r="J41" s="299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299"/>
      <c r="B42" s="299"/>
      <c r="C42" s="299"/>
      <c r="D42" s="299"/>
      <c r="E42" s="299"/>
      <c r="F42" s="299"/>
      <c r="G42" s="299"/>
      <c r="H42" s="299"/>
      <c r="I42" s="299"/>
      <c r="J42" s="299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299"/>
      <c r="B43" s="299"/>
      <c r="C43" s="299"/>
      <c r="D43" s="299"/>
      <c r="E43" s="299"/>
      <c r="F43" s="299"/>
      <c r="G43" s="298"/>
      <c r="H43" s="299"/>
      <c r="I43" s="299"/>
      <c r="J43" s="299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299"/>
      <c r="B44" s="299"/>
      <c r="C44" s="299"/>
      <c r="D44" s="299"/>
      <c r="E44" s="299"/>
      <c r="F44" s="299"/>
      <c r="G44" s="299"/>
      <c r="H44" s="299"/>
      <c r="I44" s="299"/>
      <c r="J44" s="299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299"/>
      <c r="B45" s="299"/>
      <c r="C45" s="299"/>
      <c r="D45" s="299"/>
      <c r="E45" s="299"/>
      <c r="F45" s="299"/>
      <c r="G45" s="299"/>
      <c r="H45" s="299"/>
      <c r="I45" s="299"/>
      <c r="J45" s="299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299"/>
      <c r="B46" s="299"/>
      <c r="C46" s="299"/>
      <c r="D46" s="299"/>
      <c r="E46" s="299"/>
      <c r="F46" s="299"/>
      <c r="G46" s="299"/>
      <c r="H46" s="299"/>
      <c r="I46" s="299"/>
      <c r="J46" s="299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299"/>
      <c r="B47" s="299"/>
      <c r="C47" s="299"/>
      <c r="D47" s="299"/>
      <c r="E47" s="299"/>
      <c r="F47" s="299"/>
      <c r="G47" s="299"/>
      <c r="H47" s="299"/>
      <c r="I47" s="299"/>
      <c r="J47" s="299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299"/>
      <c r="B48" s="299"/>
      <c r="C48" s="299"/>
      <c r="D48" s="299"/>
      <c r="E48" s="299"/>
      <c r="F48" s="299"/>
      <c r="G48" s="299"/>
      <c r="H48" s="299"/>
      <c r="I48" s="299"/>
      <c r="J48" s="299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299"/>
      <c r="B49" s="299"/>
      <c r="C49" s="299"/>
      <c r="D49" s="299"/>
      <c r="E49" s="299"/>
      <c r="F49" s="299"/>
      <c r="G49" s="299"/>
      <c r="H49" s="299"/>
      <c r="I49" s="299"/>
      <c r="J49" s="299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299"/>
      <c r="B50" s="299"/>
      <c r="C50" s="299"/>
      <c r="D50" s="299"/>
      <c r="E50" s="299"/>
      <c r="F50" s="299"/>
      <c r="G50" s="299"/>
      <c r="H50" s="299"/>
      <c r="I50" s="299"/>
      <c r="J50" s="299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299"/>
      <c r="B51" s="299"/>
      <c r="C51" s="299"/>
      <c r="D51" s="299"/>
      <c r="E51" s="299"/>
      <c r="F51" s="299"/>
      <c r="G51" s="299"/>
      <c r="H51" s="299"/>
      <c r="I51" s="299"/>
      <c r="J51" s="299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299"/>
      <c r="B52" s="299"/>
      <c r="C52" s="299"/>
      <c r="D52" s="299"/>
      <c r="E52" s="299"/>
      <c r="F52" s="299"/>
      <c r="G52" s="299"/>
      <c r="H52" s="299"/>
      <c r="I52" s="299"/>
      <c r="J52" s="299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299"/>
      <c r="B53" s="299"/>
      <c r="C53" s="299"/>
      <c r="D53" s="299"/>
      <c r="E53" s="299"/>
      <c r="F53" s="299"/>
      <c r="G53" s="299"/>
      <c r="H53" s="299"/>
      <c r="I53" s="299"/>
      <c r="J53" s="299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299"/>
      <c r="B54" s="299"/>
      <c r="C54" s="299"/>
      <c r="D54" s="299"/>
      <c r="E54" s="299"/>
      <c r="F54" s="299"/>
      <c r="G54" s="299"/>
      <c r="H54" s="299"/>
      <c r="I54" s="299"/>
      <c r="J54" s="299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299"/>
      <c r="B55" s="299"/>
      <c r="C55" s="299"/>
      <c r="D55" s="299"/>
      <c r="E55" s="299"/>
      <c r="F55" s="299"/>
      <c r="G55" s="299"/>
      <c r="H55" s="299"/>
      <c r="I55" s="299"/>
      <c r="J55" s="299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299"/>
      <c r="B56" s="299"/>
      <c r="C56" s="299"/>
      <c r="D56" s="299"/>
      <c r="E56" s="299"/>
      <c r="F56" s="299"/>
      <c r="G56" s="299"/>
      <c r="H56" s="299"/>
      <c r="I56" s="299"/>
      <c r="J56" s="299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299"/>
      <c r="B57" s="299"/>
      <c r="C57" s="299"/>
      <c r="D57" s="299"/>
      <c r="E57" s="299"/>
      <c r="F57" s="299"/>
      <c r="G57" s="299"/>
      <c r="H57" s="299"/>
      <c r="I57" s="299"/>
      <c r="J57" s="299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299"/>
      <c r="B58" s="299"/>
      <c r="C58" s="299"/>
      <c r="D58" s="299"/>
      <c r="E58" s="299"/>
      <c r="F58" s="299"/>
      <c r="G58" s="299"/>
      <c r="H58" s="299"/>
      <c r="I58" s="299"/>
      <c r="J58" s="299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299"/>
      <c r="B59" s="299"/>
      <c r="C59" s="299"/>
      <c r="D59" s="299"/>
      <c r="E59" s="299"/>
      <c r="F59" s="299"/>
      <c r="G59" s="299"/>
      <c r="H59" s="299"/>
      <c r="I59" s="299"/>
      <c r="J59" s="299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299"/>
      <c r="B60" s="299"/>
      <c r="C60" s="299"/>
      <c r="D60" s="299"/>
      <c r="E60" s="299"/>
      <c r="F60" s="299"/>
      <c r="G60" s="299"/>
      <c r="H60" s="299"/>
      <c r="I60" s="299"/>
      <c r="J60" s="299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299"/>
      <c r="B61" s="299"/>
      <c r="C61" s="299"/>
      <c r="D61" s="299"/>
      <c r="E61" s="299"/>
      <c r="F61" s="299"/>
      <c r="G61" s="299"/>
      <c r="H61" s="299"/>
      <c r="I61" s="299"/>
      <c r="J61" s="299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0"/>
      <c r="B62" s="300"/>
      <c r="C62" s="300"/>
      <c r="D62" s="300"/>
      <c r="E62" s="300"/>
      <c r="F62" s="300"/>
      <c r="G62" s="300"/>
      <c r="H62" s="300"/>
      <c r="I62" s="300"/>
      <c r="J62" s="300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4"/>
      <c r="B63" s="293"/>
      <c r="C63" s="293"/>
      <c r="D63" s="294"/>
      <c r="E63" s="293"/>
      <c r="F63" s="294"/>
      <c r="G63" s="294"/>
      <c r="H63" s="294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4"/>
      <c r="B64" s="294"/>
      <c r="C64" s="294"/>
      <c r="D64" s="294"/>
      <c r="E64" s="293"/>
      <c r="F64" s="294"/>
      <c r="G64" s="294"/>
      <c r="H64" s="294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4"/>
      <c r="B65" s="294"/>
      <c r="C65" s="294"/>
      <c r="D65" s="294"/>
      <c r="E65" s="293"/>
      <c r="F65" s="294"/>
      <c r="G65" s="294"/>
      <c r="H65" s="294"/>
      <c r="I65" s="88"/>
      <c r="J65" s="88"/>
      <c r="K65" s="587"/>
      <c r="L65" s="588"/>
      <c r="M65" s="88"/>
      <c r="N65" s="589" t="s">
        <v>46</v>
      </c>
      <c r="O65" s="590"/>
      <c r="P65" s="588"/>
      <c r="Q65" s="93"/>
      <c r="R65" s="591"/>
      <c r="S65" s="592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4"/>
      <c r="B66" s="294"/>
      <c r="C66" s="294"/>
      <c r="D66" s="294"/>
      <c r="E66" s="293"/>
      <c r="F66" s="294"/>
      <c r="G66" s="294"/>
      <c r="H66" s="294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4"/>
      <c r="B67" s="294"/>
      <c r="C67" s="294"/>
      <c r="D67" s="294"/>
      <c r="E67" s="293"/>
      <c r="F67" s="294"/>
      <c r="G67" s="294"/>
      <c r="H67" s="294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4"/>
      <c r="B68" s="294"/>
      <c r="C68" s="294"/>
      <c r="D68" s="294"/>
      <c r="E68" s="293"/>
      <c r="F68" s="294"/>
      <c r="G68" s="294"/>
      <c r="H68" s="294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4"/>
      <c r="B69" s="294"/>
      <c r="C69" s="294"/>
      <c r="D69" s="294"/>
      <c r="E69" s="293"/>
      <c r="F69" s="294"/>
      <c r="G69" s="294"/>
      <c r="H69" s="294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4"/>
      <c r="B70" s="294"/>
      <c r="C70" s="294"/>
      <c r="D70" s="296"/>
      <c r="E70" s="293"/>
      <c r="F70" s="297"/>
      <c r="G70" s="294"/>
      <c r="H70" s="294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4"/>
      <c r="B71" s="294"/>
      <c r="C71" s="294"/>
      <c r="D71" s="294"/>
      <c r="E71" s="293"/>
      <c r="F71" s="294"/>
      <c r="G71" s="294"/>
      <c r="H71" s="294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4"/>
      <c r="B72" s="294"/>
      <c r="C72" s="294"/>
      <c r="D72" s="296"/>
      <c r="E72" s="293"/>
      <c r="F72" s="297"/>
      <c r="G72" s="294"/>
      <c r="H72" s="294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3"/>
      <c r="L129" s="588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3"/>
  <sheetViews>
    <sheetView topLeftCell="A25" workbookViewId="0">
      <selection activeCell="A10" sqref="A1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1:18" x14ac:dyDescent="0.2">
      <c r="B1" s="114"/>
      <c r="C1" s="114"/>
      <c r="D1" s="114"/>
    </row>
    <row r="2" spans="1:18" ht="41" x14ac:dyDescent="0.3">
      <c r="B2" s="594" t="s">
        <v>133</v>
      </c>
      <c r="C2" s="595"/>
      <c r="D2" s="596"/>
      <c r="F2" s="594" t="s">
        <v>134</v>
      </c>
      <c r="G2" s="595"/>
      <c r="H2" s="596"/>
      <c r="J2" s="597" t="s">
        <v>135</v>
      </c>
      <c r="K2" s="540"/>
      <c r="L2" s="115"/>
      <c r="M2" s="116" t="s">
        <v>48</v>
      </c>
      <c r="N2" s="117" t="s">
        <v>136</v>
      </c>
    </row>
    <row r="3" spans="1:18" ht="24" x14ac:dyDescent="0.3">
      <c r="A3" s="627"/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1:18" ht="24" x14ac:dyDescent="0.3">
      <c r="A4" s="627">
        <v>0</v>
      </c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1:18" ht="24" x14ac:dyDescent="0.3">
      <c r="A5" s="627">
        <v>1</v>
      </c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1:18" ht="24" x14ac:dyDescent="0.3">
      <c r="A6" s="627">
        <v>2</v>
      </c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1:18" ht="24" x14ac:dyDescent="0.3">
      <c r="A7" s="627">
        <v>3</v>
      </c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1:18" ht="24" x14ac:dyDescent="0.3">
      <c r="A8" s="627">
        <v>4</v>
      </c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1:18" ht="24" x14ac:dyDescent="0.3">
      <c r="A9" s="627">
        <v>5</v>
      </c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1:18" ht="24" x14ac:dyDescent="0.3">
      <c r="A10" s="627">
        <v>6</v>
      </c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1:18" ht="24" x14ac:dyDescent="0.3">
      <c r="A11" s="627">
        <v>7</v>
      </c>
      <c r="B11" s="314" t="s">
        <v>296</v>
      </c>
      <c r="C11" s="123">
        <f>Utilidad!A8</f>
        <v>-2106</v>
      </c>
      <c r="D11" s="124">
        <f>IF(Utilidad!C8&gt;1,Utilidad!C8/100,Utilidad!C8)</f>
        <v>0.68650000000000011</v>
      </c>
      <c r="E11" s="305"/>
      <c r="F11" s="314" t="s">
        <v>296</v>
      </c>
      <c r="G11" s="123">
        <f>Utilidad!B8</f>
        <v>-2106</v>
      </c>
      <c r="H11" s="124">
        <f>IF(Utilidad!D8&gt;1,Utilidad!D8/100,Utilidad!D8)</f>
        <v>0.68650000000000011</v>
      </c>
      <c r="I11" s="305"/>
      <c r="J11" s="316">
        <f t="shared" ref="J11" si="4">+IF(C11&lt;&gt;0,(G11-C11)/C11,ABS(G11-C11))</f>
        <v>0</v>
      </c>
      <c r="K11" s="316">
        <f t="shared" ref="K11" si="5">+IF(D11&lt;&gt;0,(H11-D11)/D11,0)</f>
        <v>0</v>
      </c>
      <c r="L11" s="307"/>
      <c r="M11" s="318">
        <f t="shared" ref="M11" si="6">+IF(J11&lt;&gt;"",ABS(J11),0)</f>
        <v>0</v>
      </c>
      <c r="N11" s="318">
        <f t="shared" ref="N11" si="7">+IF(J11&lt;&gt;"",ABS(K11),0)</f>
        <v>0</v>
      </c>
      <c r="O11" s="305"/>
      <c r="P11" s="305"/>
      <c r="Q11" s="304" t="s">
        <v>296</v>
      </c>
      <c r="R11" s="124">
        <f>Utilidad!E8</f>
        <v>0</v>
      </c>
    </row>
    <row r="12" spans="1:18" ht="24" x14ac:dyDescent="0.3">
      <c r="A12" s="627">
        <v>8</v>
      </c>
      <c r="B12" s="314" t="s">
        <v>295</v>
      </c>
      <c r="C12" s="123">
        <f>Utilidad!A9</f>
        <v>1021</v>
      </c>
      <c r="D12" s="124">
        <f>IF(Utilidad!C9&gt;1,Utilidad!C9/100,Utilidad!C9)</f>
        <v>0.11310000000000001</v>
      </c>
      <c r="E12" s="305"/>
      <c r="F12" s="314" t="s">
        <v>295</v>
      </c>
      <c r="G12" s="123">
        <f>Utilidad!B9</f>
        <v>969.95</v>
      </c>
      <c r="H12" s="124">
        <f>IF(Utilidad!D9&gt;1,Utilidad!D9/100,Utilidad!D9)</f>
        <v>0.111969</v>
      </c>
      <c r="I12" s="305"/>
      <c r="J12" s="316">
        <f>+IF(C12&lt;&gt;0,(G12-C12)/C12,ABS(G12-C12))</f>
        <v>-4.9999999999999954E-2</v>
      </c>
      <c r="K12" s="316">
        <f>+IF(D12&lt;&gt;0,(H12-D12)/D12,0)</f>
        <v>-1.0000000000000061E-2</v>
      </c>
      <c r="L12" s="307"/>
      <c r="M12" s="318">
        <f>+IF(J12&lt;&gt;"",ABS(J12),0)</f>
        <v>4.9999999999999954E-2</v>
      </c>
      <c r="N12" s="318">
        <f>+IF(J12&lt;&gt;"",ABS(K12),0)</f>
        <v>1.0000000000000061E-2</v>
      </c>
      <c r="O12" s="305"/>
      <c r="P12" s="305"/>
      <c r="Q12" s="304" t="s">
        <v>295</v>
      </c>
      <c r="R12" s="124">
        <f>Utilidad!E9</f>
        <v>0</v>
      </c>
    </row>
    <row r="13" spans="1:18" ht="24" x14ac:dyDescent="0.3">
      <c r="A13" s="627">
        <v>9</v>
      </c>
      <c r="B13" s="314" t="s">
        <v>297</v>
      </c>
      <c r="C13" s="123">
        <f>Utilidad!A10</f>
        <v>23778</v>
      </c>
      <c r="D13" s="124">
        <f>IF(Utilidad!C10&gt;1,Utilidad!C10/100,Utilidad!C10)</f>
        <v>0.11310000000000001</v>
      </c>
      <c r="E13" s="305"/>
      <c r="F13" s="314" t="s">
        <v>297</v>
      </c>
      <c r="G13" s="123">
        <f>Utilidad!B10</f>
        <v>21060.023684</v>
      </c>
      <c r="H13" s="124">
        <f>IF(Utilidad!D10&gt;1,Utilidad!D10/100,Utilidad!D10)</f>
        <v>0.107445</v>
      </c>
      <c r="I13" s="305"/>
      <c r="J13" s="316">
        <f>+IF(C13&lt;&gt;0,(G13-C13)/C13,ABS(G13-C13))</f>
        <v>-0.11430634687526285</v>
      </c>
      <c r="K13" s="316">
        <f>+IF(D13&lt;&gt;0,(H13-D13)/D13,0)</f>
        <v>-5.0000000000000058E-2</v>
      </c>
      <c r="L13" s="307"/>
      <c r="M13" s="318">
        <f>+IF(J13&lt;&gt;"",ABS(J13),0)</f>
        <v>0.11430634687526285</v>
      </c>
      <c r="N13" s="318">
        <f>+IF(J13&lt;&gt;"",ABS(K13),0)</f>
        <v>5.0000000000000058E-2</v>
      </c>
      <c r="O13" s="305"/>
      <c r="P13" s="305"/>
      <c r="Q13" s="304" t="s">
        <v>297</v>
      </c>
      <c r="R13" s="124">
        <f>Utilidad!E10</f>
        <v>0</v>
      </c>
    </row>
    <row r="14" spans="1:18" ht="24" x14ac:dyDescent="0.3">
      <c r="A14" s="627">
        <v>10</v>
      </c>
      <c r="B14" s="118" t="s">
        <v>273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273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1:18" ht="24" x14ac:dyDescent="0.3">
      <c r="A15" s="627">
        <v>11</v>
      </c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1:18" ht="24" x14ac:dyDescent="0.3">
      <c r="A16" s="627">
        <v>12</v>
      </c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1:18" ht="24" x14ac:dyDescent="0.3">
      <c r="A17" s="627">
        <v>13</v>
      </c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1:18" ht="24" x14ac:dyDescent="0.3">
      <c r="A18" s="627">
        <v>14</v>
      </c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1:18" ht="24" x14ac:dyDescent="0.3">
      <c r="A19" s="627">
        <v>15</v>
      </c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1:18" ht="24" x14ac:dyDescent="0.3">
      <c r="A20" s="627">
        <v>16</v>
      </c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1:18" ht="24" x14ac:dyDescent="0.3">
      <c r="A21" s="627">
        <v>17</v>
      </c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1:18" ht="24" x14ac:dyDescent="0.3">
      <c r="A22" s="627">
        <v>18</v>
      </c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1:18" ht="24" x14ac:dyDescent="0.3">
      <c r="A23" s="627">
        <v>19</v>
      </c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1:18" ht="24" x14ac:dyDescent="0.3">
      <c r="A24" s="627">
        <v>20</v>
      </c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1:18" ht="24" x14ac:dyDescent="0.3">
      <c r="A25" s="627">
        <v>21</v>
      </c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1:18" ht="24" x14ac:dyDescent="0.3">
      <c r="A26" s="627">
        <v>22</v>
      </c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1:18" ht="24" x14ac:dyDescent="0.3">
      <c r="A27" s="627">
        <v>23</v>
      </c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1:18" ht="24" x14ac:dyDescent="0.3">
      <c r="A28" s="627">
        <v>24</v>
      </c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1:18" ht="24" x14ac:dyDescent="0.3">
      <c r="A29" s="627">
        <v>25</v>
      </c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1:18" ht="24" x14ac:dyDescent="0.3">
      <c r="A30" s="627">
        <v>26</v>
      </c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1:18" ht="24" x14ac:dyDescent="0.3">
      <c r="A31" s="627">
        <v>27</v>
      </c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1:18" ht="24" x14ac:dyDescent="0.3">
      <c r="A32" s="627">
        <v>28</v>
      </c>
      <c r="B32" s="304" t="s">
        <v>260</v>
      </c>
      <c r="C32" s="123">
        <f>Utilidad!A29</f>
        <v>0</v>
      </c>
      <c r="D32" s="124">
        <f>IF(Utilidad!C29&gt;1,Utilidad!C29/100,Utilidad!C29)</f>
        <v>0</v>
      </c>
      <c r="E32" s="305"/>
      <c r="F32" s="304" t="s">
        <v>260</v>
      </c>
      <c r="G32" s="123">
        <f>Utilidad!B29</f>
        <v>0</v>
      </c>
      <c r="H32" s="124">
        <f>IF(Utilidad!D29&gt;1,Utilidad!D29/100,Utilidad!D29)</f>
        <v>0</v>
      </c>
      <c r="I32" s="305"/>
      <c r="J32" s="306">
        <f t="shared" si="0"/>
        <v>0</v>
      </c>
      <c r="K32" s="306">
        <f t="shared" si="1"/>
        <v>0</v>
      </c>
      <c r="L32" s="307"/>
      <c r="M32" s="308">
        <f t="shared" si="2"/>
        <v>0</v>
      </c>
      <c r="N32" s="308">
        <f t="shared" si="3"/>
        <v>0</v>
      </c>
      <c r="O32" s="305"/>
      <c r="P32" s="305"/>
      <c r="Q32" s="304" t="s">
        <v>260</v>
      </c>
      <c r="R32" s="124">
        <f>Utilidad!E29</f>
        <v>0.01</v>
      </c>
    </row>
    <row r="33" spans="1:18" ht="24" x14ac:dyDescent="0.3">
      <c r="A33" s="627">
        <v>29</v>
      </c>
      <c r="B33" s="314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15"/>
      <c r="F33" s="314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15"/>
      <c r="J33" s="316">
        <f t="shared" si="0"/>
        <v>0</v>
      </c>
      <c r="K33" s="316">
        <f t="shared" si="1"/>
        <v>0</v>
      </c>
      <c r="L33" s="317"/>
      <c r="M33" s="318">
        <f t="shared" si="2"/>
        <v>0</v>
      </c>
      <c r="N33" s="318">
        <f t="shared" si="3"/>
        <v>0</v>
      </c>
      <c r="O33" s="315"/>
      <c r="P33" s="315"/>
      <c r="Q33" s="314" t="s">
        <v>261</v>
      </c>
      <c r="R33" s="124">
        <f>Utilidad!E30</f>
        <v>0.01</v>
      </c>
    </row>
    <row r="34" spans="1:18" ht="24" x14ac:dyDescent="0.3">
      <c r="A34" s="627">
        <v>30</v>
      </c>
      <c r="B34" s="304" t="s">
        <v>266</v>
      </c>
      <c r="C34" s="123">
        <f>Utilidad!A31</f>
        <v>989</v>
      </c>
      <c r="D34" s="124">
        <f>IF(Utilidad!C31&gt;1,Utilidad!C31/100,Utilidad!C31)</f>
        <v>0.59760000000000002</v>
      </c>
      <c r="E34" s="305"/>
      <c r="F34" s="304" t="s">
        <v>266</v>
      </c>
      <c r="G34" s="123">
        <f>Utilidad!B31</f>
        <v>692.3</v>
      </c>
      <c r="H34" s="124">
        <f>IF(Utilidad!D31&gt;1,Utilidad!D31/100,Utilidad!D31)</f>
        <v>0.56772</v>
      </c>
      <c r="I34" s="305"/>
      <c r="J34" s="316">
        <f t="shared" ref="J34" si="8">+IF(C34&lt;&gt;0,(G34-C34)/C34,ABS(G34-C34))</f>
        <v>-0.30000000000000004</v>
      </c>
      <c r="K34" s="316">
        <f t="shared" ref="K34" si="9">+IF(D34&lt;&gt;0,(H34-D34)/D34,0)</f>
        <v>-5.0000000000000031E-2</v>
      </c>
      <c r="L34" s="307"/>
      <c r="M34" s="318">
        <f t="shared" ref="M34" si="10">+IF(J34&lt;&gt;"",ABS(J34),0)</f>
        <v>0.30000000000000004</v>
      </c>
      <c r="N34" s="318">
        <f t="shared" ref="N34" si="11">+IF(J34&lt;&gt;"",ABS(K34),0)</f>
        <v>5.0000000000000031E-2</v>
      </c>
      <c r="O34" s="305"/>
      <c r="P34" s="305"/>
      <c r="Q34" s="118" t="s">
        <v>266</v>
      </c>
      <c r="R34" s="124">
        <f>Utilidad!E31</f>
        <v>9.6968121743781464E-3</v>
      </c>
    </row>
    <row r="35" spans="1:18" ht="24" x14ac:dyDescent="0.3">
      <c r="A35" s="627">
        <v>31</v>
      </c>
      <c r="B35" s="304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05"/>
      <c r="F35" s="304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05"/>
      <c r="J35" s="316">
        <f t="shared" ref="J35" si="12">+IF(C35&lt;&gt;0,(G35-C35)/C35,ABS(G35-C35))</f>
        <v>-3.7259628494453592E-2</v>
      </c>
      <c r="K35" s="316">
        <f t="shared" ref="K35" si="13">+IF(D35&lt;&gt;0,(H35-D35)/D35,0)</f>
        <v>-5.142990968683113E-4</v>
      </c>
      <c r="L35" s="307"/>
      <c r="M35" s="318">
        <f t="shared" ref="M35" si="14">+IF(J35&lt;&gt;"",ABS(J35),0)</f>
        <v>3.7259628494453592E-2</v>
      </c>
      <c r="N35" s="318">
        <f t="shared" ref="N35" si="15">+IF(J35&lt;&gt;"",ABS(K35),0)</f>
        <v>5.142990968683113E-4</v>
      </c>
      <c r="O35" s="305"/>
      <c r="P35" s="305"/>
      <c r="Q35" s="304" t="s">
        <v>9</v>
      </c>
      <c r="R35" s="124">
        <f>Utilidad!E32</f>
        <v>7.6449041795111791E-2</v>
      </c>
    </row>
    <row r="36" spans="1:18" ht="24" x14ac:dyDescent="0.3">
      <c r="A36" s="627">
        <v>32</v>
      </c>
      <c r="B36" s="304" t="s">
        <v>268</v>
      </c>
      <c r="C36" s="123">
        <f>Utilidad!A33</f>
        <v>-39912</v>
      </c>
      <c r="D36" s="124">
        <f>IF(Utilidad!C33&gt;1,Utilidad!C33/100,Utilidad!C33)</f>
        <v>0.63300000000000001</v>
      </c>
      <c r="E36" s="305"/>
      <c r="F36" s="304" t="s">
        <v>268</v>
      </c>
      <c r="G36" s="123">
        <f>Utilidad!B33</f>
        <v>-39560</v>
      </c>
      <c r="H36" s="124">
        <f>IF(Utilidad!D33&gt;1,Utilidad!D33/100,Utilidad!D33)</f>
        <v>0.63361768545999997</v>
      </c>
      <c r="I36" s="305"/>
      <c r="J36" s="316">
        <f t="shared" ref="J36" si="16">+IF(C36&lt;&gt;0,(G36-C36)/C36,ABS(G36-C36))</f>
        <v>-8.8194026859090002E-3</v>
      </c>
      <c r="K36" s="316">
        <f t="shared" ref="K36" si="17">+IF(D36&lt;&gt;0,(H36-D36)/D36,0)</f>
        <v>9.7580641390199283E-4</v>
      </c>
      <c r="L36" s="307"/>
      <c r="M36" s="318">
        <f t="shared" ref="M36" si="18">+IF(J36&lt;&gt;"",ABS(J36),0)</f>
        <v>8.8194026859090002E-3</v>
      </c>
      <c r="N36" s="318">
        <f t="shared" ref="N36" si="19">+IF(J36&lt;&gt;"",ABS(K36),0)</f>
        <v>9.7580641390199283E-4</v>
      </c>
      <c r="O36" s="305"/>
      <c r="P36" s="305"/>
      <c r="Q36" s="304" t="s">
        <v>268</v>
      </c>
      <c r="R36" s="124">
        <f>Utilidad!E33</f>
        <v>9.6713366074297497E-3</v>
      </c>
    </row>
    <row r="37" spans="1:18" ht="24" x14ac:dyDescent="0.3">
      <c r="A37" s="627">
        <v>33</v>
      </c>
      <c r="B37" s="304" t="s">
        <v>269</v>
      </c>
      <c r="C37" s="123">
        <f>Utilidad!A34</f>
        <v>-12583</v>
      </c>
      <c r="D37" s="124">
        <f>IF(Utilidad!C34&gt;1,Utilidad!C34/100,Utilidad!C34)</f>
        <v>0.65</v>
      </c>
      <c r="E37" s="305"/>
      <c r="F37" s="304" t="s">
        <v>269</v>
      </c>
      <c r="G37" s="123">
        <f>Utilidad!B34</f>
        <v>-16357.9</v>
      </c>
      <c r="H37" s="124">
        <f>IF(Utilidad!D34&gt;1,Utilidad!D34/100,Utilidad!D34)</f>
        <v>0.6825</v>
      </c>
      <c r="I37" s="305"/>
      <c r="J37" s="316">
        <f t="shared" ref="J37:J38" si="20">+IF(C37&lt;&gt;0,(G37-C37)/C37,ABS(G37-C37))</f>
        <v>0.3</v>
      </c>
      <c r="K37" s="316">
        <f t="shared" ref="K37:K38" si="21">+IF(D37&lt;&gt;0,(H37-D37)/D37,0)</f>
        <v>4.9999999999999954E-2</v>
      </c>
      <c r="L37" s="307"/>
      <c r="M37" s="318">
        <f t="shared" ref="M37:M38" si="22">+IF(J37&lt;&gt;"",ABS(J37),0)</f>
        <v>0.3</v>
      </c>
      <c r="N37" s="318">
        <f t="shared" ref="N37:N38" si="23">+IF(J37&lt;&gt;"",ABS(K37),0)</f>
        <v>4.9999999999999954E-2</v>
      </c>
      <c r="O37" s="305"/>
      <c r="P37" s="305"/>
      <c r="Q37" s="304" t="s">
        <v>269</v>
      </c>
      <c r="R37" s="124">
        <f>Utilidad!E34</f>
        <v>5.0000000000000001E-3</v>
      </c>
    </row>
    <row r="38" spans="1:18" ht="24" x14ac:dyDescent="0.3">
      <c r="A38" s="627">
        <v>34</v>
      </c>
      <c r="B38" s="304" t="s">
        <v>270</v>
      </c>
      <c r="C38" s="123">
        <f>Utilidad!A35</f>
        <v>65670</v>
      </c>
      <c r="D38" s="124">
        <f>IF(Utilidad!C35&gt;1,Utilidad!C35/100,Utilidad!C35)</f>
        <v>0.65</v>
      </c>
      <c r="E38" s="305"/>
      <c r="F38" s="304" t="s">
        <v>270</v>
      </c>
      <c r="G38" s="123">
        <f>Utilidad!B35</f>
        <v>65670</v>
      </c>
      <c r="H38" s="124">
        <f>IF(Utilidad!D35&gt;1,Utilidad!D35/100,Utilidad!D35)</f>
        <v>0.65</v>
      </c>
      <c r="I38" s="305"/>
      <c r="J38" s="316">
        <f t="shared" si="20"/>
        <v>0</v>
      </c>
      <c r="K38" s="316">
        <f t="shared" si="21"/>
        <v>0</v>
      </c>
      <c r="L38" s="307"/>
      <c r="M38" s="318">
        <f t="shared" si="22"/>
        <v>0</v>
      </c>
      <c r="N38" s="318">
        <f t="shared" si="23"/>
        <v>0</v>
      </c>
      <c r="O38" s="305"/>
      <c r="P38" s="305"/>
      <c r="Q38" s="304" t="s">
        <v>270</v>
      </c>
      <c r="R38" s="124">
        <f>Utilidad!E35</f>
        <v>5.0000000000000001E-3</v>
      </c>
    </row>
    <row r="39" spans="1:18" ht="24" x14ac:dyDescent="0.3">
      <c r="A39" s="627">
        <v>35</v>
      </c>
      <c r="B39" s="314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05"/>
      <c r="F39" s="314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05"/>
      <c r="J39" s="316">
        <f>+IF(C39&lt;&gt;0,(G39-C39)/C39,ABS(G39-C39))</f>
        <v>0</v>
      </c>
      <c r="K39" s="316">
        <f>+IF(D39&lt;&gt;0,(H39-D39)/D39,0)</f>
        <v>9.4551819600983938E-2</v>
      </c>
      <c r="L39" s="307"/>
      <c r="M39" s="318">
        <f>+IF(J39&lt;&gt;"",ABS(J39),0)</f>
        <v>0</v>
      </c>
      <c r="N39" s="318">
        <f>+IF(J39&lt;&gt;"",ABS(K39),0)</f>
        <v>9.4551819600983938E-2</v>
      </c>
      <c r="O39" s="305"/>
      <c r="P39" s="305"/>
      <c r="Q39" s="314" t="s">
        <v>64</v>
      </c>
      <c r="R39" s="124">
        <f>Utilidad!E36</f>
        <v>0.82988350961181212</v>
      </c>
    </row>
    <row r="40" spans="1:18" ht="24" x14ac:dyDescent="0.3">
      <c r="A40" s="627">
        <v>36</v>
      </c>
      <c r="B40" s="314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05"/>
      <c r="F40" s="314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05"/>
      <c r="J40" s="316">
        <f>+IF(C40&lt;&gt;0,(G40-C40)/C40,ABS(G40-C40))</f>
        <v>0</v>
      </c>
      <c r="K40" s="316">
        <f>+IF(D40&lt;&gt;0,(H40-D40)/D40,0)</f>
        <v>3.1347632707963417E-2</v>
      </c>
      <c r="L40" s="307"/>
      <c r="M40" s="318">
        <f>+IF(J40&lt;&gt;"",ABS(J40),0)</f>
        <v>0</v>
      </c>
      <c r="N40" s="318">
        <f>+IF(J40&lt;&gt;"",ABS(K40),0)</f>
        <v>3.1347632707963417E-2</v>
      </c>
      <c r="O40" s="305"/>
      <c r="P40" s="305"/>
      <c r="Q40" s="314" t="s">
        <v>65</v>
      </c>
      <c r="R40" s="124">
        <f>Utilidad!E37</f>
        <v>0.96866077601964029</v>
      </c>
    </row>
    <row r="41" spans="1:18" x14ac:dyDescent="0.2"/>
    <row r="42" spans="1:18" x14ac:dyDescent="0.2"/>
    <row r="43" spans="1:18" x14ac:dyDescent="0.2"/>
    <row r="44" spans="1:18" ht="24" x14ac:dyDescent="0.3">
      <c r="B44" s="309"/>
      <c r="C44" s="310"/>
      <c r="D44" s="311"/>
      <c r="E44" s="305"/>
      <c r="F44" s="309"/>
      <c r="G44" s="310"/>
      <c r="H44" s="311"/>
      <c r="I44" s="305"/>
      <c r="J44" s="312"/>
      <c r="K44" s="312"/>
      <c r="L44" s="307"/>
      <c r="M44" s="313"/>
      <c r="N44" s="313"/>
      <c r="O44" s="305"/>
      <c r="P44" s="305"/>
      <c r="R44" s="311"/>
    </row>
    <row r="45" spans="1:18" ht="15.75" customHeight="1" x14ac:dyDescent="0.3">
      <c r="B45" s="309"/>
      <c r="C45" s="310"/>
      <c r="D45" s="311"/>
      <c r="E45" s="305"/>
      <c r="F45" s="309"/>
      <c r="G45" s="310"/>
      <c r="H45" s="311"/>
      <c r="I45" s="305"/>
      <c r="J45" s="312"/>
      <c r="K45" s="312"/>
      <c r="L45" s="307"/>
      <c r="M45" s="313"/>
      <c r="N45" s="313"/>
      <c r="O45" s="305"/>
      <c r="P45" s="305"/>
      <c r="Q45" s="309"/>
      <c r="R45" s="311"/>
    </row>
    <row r="46" spans="1:18" ht="15.75" customHeight="1" x14ac:dyDescent="0.3">
      <c r="B46" s="309"/>
      <c r="C46" s="310"/>
      <c r="D46" s="311"/>
      <c r="E46" s="305"/>
      <c r="F46" s="309"/>
      <c r="G46" s="310"/>
      <c r="H46" s="311"/>
      <c r="I46" s="305"/>
      <c r="J46" s="312"/>
      <c r="K46" s="312"/>
      <c r="L46" s="307"/>
      <c r="M46" s="313"/>
      <c r="N46" s="313"/>
      <c r="O46" s="305"/>
      <c r="P46" s="305"/>
      <c r="Q46" s="309"/>
      <c r="R46" s="311"/>
    </row>
    <row r="47" spans="1:18" ht="15.75" customHeight="1" x14ac:dyDescent="0.3">
      <c r="B47" s="309"/>
      <c r="C47" s="310"/>
      <c r="D47" s="311"/>
      <c r="E47" s="305"/>
      <c r="F47" s="309"/>
      <c r="G47" s="310"/>
      <c r="H47" s="311"/>
      <c r="I47" s="305"/>
      <c r="J47" s="312"/>
      <c r="K47" s="312"/>
      <c r="L47" s="307"/>
      <c r="M47" s="313"/>
      <c r="N47" s="313"/>
      <c r="O47" s="305"/>
      <c r="P47" s="305"/>
      <c r="Q47" s="309"/>
      <c r="R47" s="311"/>
    </row>
    <row r="48" spans="1:18" ht="15.75" customHeight="1" x14ac:dyDescent="0.3">
      <c r="B48" s="309"/>
      <c r="C48" s="310"/>
      <c r="D48" s="311"/>
      <c r="E48" s="305"/>
      <c r="F48" s="309"/>
      <c r="G48" s="310"/>
      <c r="H48" s="311"/>
      <c r="I48" s="305"/>
      <c r="J48" s="312"/>
      <c r="K48" s="312"/>
      <c r="L48" s="307"/>
      <c r="M48" s="313"/>
      <c r="N48" s="313"/>
      <c r="O48" s="305"/>
      <c r="P48" s="305"/>
      <c r="Q48" s="309"/>
      <c r="R48" s="311"/>
    </row>
    <row r="49" spans="2:18" ht="15.75" customHeight="1" x14ac:dyDescent="0.3">
      <c r="B49" s="309"/>
      <c r="C49" s="310"/>
      <c r="D49" s="311"/>
      <c r="E49" s="305"/>
      <c r="F49" s="309"/>
      <c r="G49" s="310"/>
      <c r="H49" s="311"/>
      <c r="I49" s="305"/>
      <c r="J49" s="312"/>
      <c r="K49" s="312"/>
      <c r="L49" s="307"/>
      <c r="M49" s="313"/>
      <c r="N49" s="313"/>
      <c r="O49" s="305"/>
      <c r="P49" s="305"/>
      <c r="Q49" s="309"/>
      <c r="R49" s="311"/>
    </row>
    <row r="50" spans="2:18" ht="15.75" customHeight="1" x14ac:dyDescent="0.3">
      <c r="B50" s="309"/>
      <c r="C50" s="310"/>
      <c r="D50" s="311"/>
      <c r="E50" s="305"/>
      <c r="F50" s="309"/>
      <c r="G50" s="310"/>
      <c r="H50" s="311"/>
      <c r="I50" s="305"/>
      <c r="J50" s="312"/>
      <c r="K50" s="312"/>
      <c r="L50" s="307"/>
      <c r="M50" s="313"/>
      <c r="N50" s="313"/>
      <c r="O50" s="305"/>
      <c r="P50" s="305"/>
      <c r="Q50" s="309"/>
      <c r="R50" s="311"/>
    </row>
    <row r="51" spans="2:18" ht="15.75" customHeight="1" x14ac:dyDescent="0.3">
      <c r="B51" s="309"/>
      <c r="C51" s="310"/>
      <c r="D51" s="311"/>
      <c r="E51" s="305"/>
      <c r="F51" s="309"/>
      <c r="G51" s="310"/>
      <c r="H51" s="311"/>
      <c r="I51" s="305"/>
      <c r="J51" s="312"/>
      <c r="K51" s="312"/>
      <c r="L51" s="307"/>
      <c r="M51" s="313"/>
      <c r="N51" s="313"/>
      <c r="O51" s="305"/>
      <c r="P51" s="305"/>
      <c r="Q51" s="309"/>
      <c r="R51" s="311"/>
    </row>
    <row r="52" spans="2:18" ht="15.75" customHeight="1" x14ac:dyDescent="0.3">
      <c r="B52" s="309"/>
      <c r="C52" s="310"/>
      <c r="D52" s="311"/>
      <c r="E52" s="305"/>
      <c r="F52" s="309"/>
      <c r="G52" s="310"/>
      <c r="H52" s="311"/>
      <c r="I52" s="305"/>
      <c r="J52" s="312"/>
      <c r="K52" s="312"/>
      <c r="L52" s="307"/>
      <c r="M52" s="313"/>
      <c r="N52" s="313"/>
      <c r="O52" s="305"/>
      <c r="P52" s="305"/>
      <c r="Q52" s="309"/>
      <c r="R52" s="311"/>
    </row>
    <row r="53" spans="2:18" ht="15.75" customHeight="1" x14ac:dyDescent="0.3">
      <c r="B53" s="309"/>
      <c r="C53" s="310"/>
      <c r="D53" s="311"/>
      <c r="E53" s="305"/>
      <c r="F53" s="309"/>
      <c r="G53" s="310"/>
      <c r="H53" s="311"/>
      <c r="I53" s="305"/>
      <c r="J53" s="312"/>
      <c r="K53" s="312"/>
      <c r="L53" s="307"/>
      <c r="M53" s="313"/>
      <c r="N53" s="313"/>
      <c r="O53" s="305"/>
      <c r="P53" s="305"/>
      <c r="Q53" s="309"/>
      <c r="R53" s="311"/>
    </row>
    <row r="54" spans="2:18" ht="15.75" customHeight="1" x14ac:dyDescent="0.3">
      <c r="B54" s="309"/>
      <c r="C54" s="310"/>
      <c r="D54" s="311"/>
      <c r="E54" s="305"/>
      <c r="F54" s="309"/>
      <c r="G54" s="310"/>
      <c r="H54" s="311"/>
      <c r="I54" s="305"/>
      <c r="J54" s="312"/>
      <c r="K54" s="312"/>
      <c r="L54" s="307"/>
      <c r="M54" s="313"/>
      <c r="N54" s="313"/>
      <c r="O54" s="305"/>
      <c r="P54" s="305"/>
      <c r="Q54" s="309"/>
      <c r="R54" s="311"/>
    </row>
    <row r="55" spans="2:18" ht="15.75" customHeight="1" x14ac:dyDescent="0.3">
      <c r="B55" s="309"/>
      <c r="C55" s="310"/>
      <c r="D55" s="311"/>
      <c r="E55" s="305"/>
      <c r="F55" s="309"/>
      <c r="G55" s="310"/>
      <c r="H55" s="311"/>
      <c r="I55" s="305"/>
      <c r="J55" s="312"/>
      <c r="K55" s="312"/>
      <c r="L55" s="307"/>
      <c r="M55" s="313"/>
      <c r="N55" s="313"/>
      <c r="O55" s="305"/>
      <c r="P55" s="305"/>
      <c r="Q55" s="309"/>
      <c r="R55" s="311"/>
    </row>
    <row r="56" spans="2:18" ht="15.75" customHeight="1" x14ac:dyDescent="0.3">
      <c r="B56" s="309"/>
      <c r="C56" s="310"/>
      <c r="D56" s="311"/>
      <c r="E56" s="305"/>
      <c r="F56" s="309"/>
      <c r="G56" s="310"/>
      <c r="H56" s="311"/>
      <c r="I56" s="305"/>
      <c r="J56" s="312"/>
      <c r="K56" s="312"/>
      <c r="L56" s="307"/>
      <c r="M56" s="313"/>
      <c r="N56" s="313"/>
      <c r="O56" s="305"/>
      <c r="P56" s="305"/>
      <c r="Q56" s="309"/>
      <c r="R56" s="311"/>
    </row>
    <row r="57" spans="2:18" ht="15.75" customHeight="1" x14ac:dyDescent="0.3">
      <c r="B57" s="309"/>
      <c r="C57" s="310"/>
      <c r="D57" s="311"/>
      <c r="E57" s="305"/>
      <c r="F57" s="309"/>
      <c r="G57" s="310"/>
      <c r="H57" s="311"/>
      <c r="I57" s="305"/>
      <c r="J57" s="312"/>
      <c r="K57" s="312"/>
      <c r="L57" s="307"/>
      <c r="M57" s="313"/>
      <c r="N57" s="313"/>
      <c r="O57" s="305"/>
      <c r="P57" s="305"/>
      <c r="Q57" s="309"/>
      <c r="R57" s="311"/>
    </row>
    <row r="58" spans="2:18" ht="15.75" customHeight="1" x14ac:dyDescent="0.3">
      <c r="B58" s="309"/>
      <c r="C58" s="310"/>
      <c r="D58" s="311"/>
      <c r="E58" s="305"/>
      <c r="F58" s="309"/>
      <c r="G58" s="310"/>
      <c r="H58" s="311"/>
      <c r="I58" s="305"/>
      <c r="J58" s="312"/>
      <c r="K58" s="312"/>
      <c r="L58" s="307"/>
      <c r="M58" s="313"/>
      <c r="N58" s="313"/>
      <c r="O58" s="305"/>
      <c r="P58" s="305"/>
      <c r="Q58" s="309"/>
      <c r="R58" s="311"/>
    </row>
    <row r="59" spans="2:18" ht="15.75" customHeight="1" x14ac:dyDescent="0.3">
      <c r="B59" s="309"/>
      <c r="C59" s="310"/>
      <c r="D59" s="311"/>
      <c r="E59" s="305"/>
      <c r="F59" s="309"/>
      <c r="G59" s="310"/>
      <c r="H59" s="311"/>
      <c r="I59" s="305"/>
      <c r="J59" s="312"/>
      <c r="K59" s="312"/>
      <c r="L59" s="307"/>
      <c r="M59" s="313"/>
      <c r="N59" s="313"/>
      <c r="O59" s="305"/>
      <c r="P59" s="305"/>
      <c r="Q59" s="309"/>
      <c r="R59" s="311"/>
    </row>
    <row r="60" spans="2:18" ht="15.75" customHeight="1" x14ac:dyDescent="0.3">
      <c r="B60" s="309"/>
      <c r="C60" s="310"/>
      <c r="D60" s="311"/>
      <c r="E60" s="305"/>
      <c r="F60" s="309"/>
      <c r="G60" s="310"/>
      <c r="H60" s="311"/>
      <c r="I60" s="305"/>
      <c r="J60" s="312"/>
      <c r="K60" s="312"/>
      <c r="L60" s="307"/>
      <c r="M60" s="313"/>
      <c r="N60" s="313"/>
      <c r="O60" s="305"/>
      <c r="P60" s="305"/>
      <c r="Q60" s="309"/>
      <c r="R60" s="311"/>
    </row>
    <row r="61" spans="2:18" ht="15.75" customHeight="1" x14ac:dyDescent="0.3">
      <c r="B61" s="309"/>
      <c r="C61" s="310"/>
      <c r="D61" s="311"/>
      <c r="E61" s="305"/>
      <c r="F61" s="309"/>
      <c r="G61" s="310"/>
      <c r="H61" s="311"/>
      <c r="I61" s="305"/>
      <c r="J61" s="312"/>
      <c r="K61" s="312"/>
      <c r="L61" s="307"/>
      <c r="M61" s="313"/>
      <c r="N61" s="313"/>
      <c r="O61" s="305"/>
      <c r="P61" s="305"/>
      <c r="Q61" s="309"/>
      <c r="R61" s="311"/>
    </row>
    <row r="62" spans="2:18" ht="15.75" customHeight="1" x14ac:dyDescent="0.3">
      <c r="B62" s="309"/>
      <c r="C62" s="310"/>
      <c r="D62" s="311"/>
      <c r="E62" s="305"/>
      <c r="F62" s="309"/>
      <c r="G62" s="310"/>
      <c r="H62" s="311"/>
      <c r="I62" s="305"/>
      <c r="J62" s="312"/>
      <c r="K62" s="312"/>
      <c r="L62" s="307"/>
      <c r="M62" s="313"/>
      <c r="N62" s="313"/>
      <c r="O62" s="305"/>
      <c r="P62" s="305"/>
      <c r="Q62" s="309"/>
      <c r="R62" s="311"/>
    </row>
    <row r="63" spans="2:18" ht="15.75" customHeight="1" x14ac:dyDescent="0.3">
      <c r="B63" s="309"/>
      <c r="C63" s="310"/>
      <c r="D63" s="311"/>
      <c r="E63" s="305"/>
      <c r="F63" s="309"/>
      <c r="G63" s="310"/>
      <c r="H63" s="311"/>
      <c r="I63" s="305"/>
      <c r="J63" s="312"/>
      <c r="K63" s="312"/>
      <c r="L63" s="307"/>
      <c r="M63" s="313"/>
      <c r="N63" s="313"/>
      <c r="O63" s="305"/>
      <c r="P63" s="305"/>
      <c r="Q63" s="309"/>
      <c r="R63" s="311"/>
    </row>
    <row r="64" spans="2:18" ht="15.75" customHeight="1" x14ac:dyDescent="0.3">
      <c r="B64" s="309"/>
      <c r="C64" s="310"/>
      <c r="D64" s="311"/>
      <c r="E64" s="305"/>
      <c r="F64" s="309"/>
      <c r="G64" s="310"/>
      <c r="H64" s="311"/>
      <c r="I64" s="305"/>
      <c r="J64" s="312"/>
      <c r="K64" s="312"/>
      <c r="L64" s="307"/>
      <c r="M64" s="313"/>
      <c r="N64" s="313"/>
      <c r="O64" s="305"/>
      <c r="P64" s="305"/>
      <c r="Q64" s="309"/>
      <c r="R64" s="311"/>
    </row>
    <row r="65" spans="2:18" ht="15.75" customHeight="1" x14ac:dyDescent="0.3">
      <c r="B65" s="309"/>
      <c r="C65" s="310"/>
      <c r="D65" s="311"/>
      <c r="E65" s="305"/>
      <c r="F65" s="309"/>
      <c r="G65" s="310"/>
      <c r="H65" s="311"/>
      <c r="I65" s="305"/>
      <c r="J65" s="312"/>
      <c r="K65" s="312"/>
      <c r="L65" s="307"/>
      <c r="M65" s="313"/>
      <c r="N65" s="313"/>
      <c r="O65" s="305"/>
      <c r="P65" s="305"/>
      <c r="Q65" s="309"/>
      <c r="R65" s="311"/>
    </row>
    <row r="66" spans="2:18" ht="15.75" customHeight="1" x14ac:dyDescent="0.3">
      <c r="B66" s="309"/>
      <c r="C66" s="310"/>
      <c r="D66" s="311"/>
      <c r="E66" s="305"/>
      <c r="F66" s="309"/>
      <c r="G66" s="310"/>
      <c r="H66" s="311"/>
      <c r="I66" s="305"/>
      <c r="J66" s="312"/>
      <c r="K66" s="312"/>
      <c r="L66" s="307"/>
      <c r="M66" s="313"/>
      <c r="N66" s="313"/>
      <c r="O66" s="305"/>
      <c r="P66" s="305"/>
      <c r="Q66" s="309"/>
      <c r="R66" s="311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J12" zoomScale="125" zoomScaleNormal="70" workbookViewId="0">
      <selection activeCell="O19" sqref="O19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45278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0" t="s">
        <v>262</v>
      </c>
      <c r="AE4" s="600"/>
      <c r="AF4" s="600"/>
      <c r="AG4" s="600"/>
      <c r="AH4" s="144"/>
      <c r="AI4" s="144"/>
      <c r="AK4"/>
      <c r="AL4" s="601" t="s">
        <v>290</v>
      </c>
      <c r="AM4" s="601"/>
      <c r="AN4" s="601"/>
      <c r="AO4" s="601"/>
      <c r="AP4" s="601"/>
      <c r="AQ4" s="447" t="s">
        <v>288</v>
      </c>
      <c r="AR4" s="447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1">
        <f>+AQ7</f>
        <v>391990.57000326342</v>
      </c>
      <c r="J5" s="451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98" t="s">
        <v>165</v>
      </c>
      <c r="AB5" s="602"/>
      <c r="AC5" s="599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48" t="s">
        <v>291</v>
      </c>
      <c r="AM5" s="448" t="s">
        <v>292</v>
      </c>
      <c r="AN5" s="448" t="s">
        <v>293</v>
      </c>
      <c r="AO5" s="448" t="s">
        <v>294</v>
      </c>
      <c r="AP5" s="448" t="s">
        <v>289</v>
      </c>
      <c r="AQ5" s="448" t="s">
        <v>289</v>
      </c>
      <c r="AR5" s="448" t="s">
        <v>289</v>
      </c>
      <c r="AU5" s="603"/>
      <c r="AV5" s="603"/>
      <c r="AW5" s="603"/>
      <c r="AX5" s="60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04" t="s">
        <v>170</v>
      </c>
      <c r="AB6" s="605"/>
      <c r="AC6" s="60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19">
        <f>Flujos!H4</f>
        <v>0.61631580448000001</v>
      </c>
      <c r="AH6" s="160"/>
      <c r="AI6" s="160">
        <f t="shared" ref="AI6:AI28" si="1">+AF6/(1-AE6)</f>
        <v>392092.81966883357</v>
      </c>
      <c r="AK6" s="450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2"/>
      <c r="AU6" s="323"/>
      <c r="AV6" s="323"/>
      <c r="AW6" s="323"/>
      <c r="AX6" s="323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07" t="s">
        <v>171</v>
      </c>
      <c r="AB7" s="608"/>
      <c r="AC7" s="60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19">
        <f>Flujos!H5</f>
        <v>0.63392359511000007</v>
      </c>
      <c r="AH7" s="160"/>
      <c r="AI7" s="160">
        <f t="shared" si="1"/>
        <v>164651.1418469153</v>
      </c>
      <c r="AK7" s="450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2"/>
      <c r="AT7" s="324"/>
      <c r="AU7" s="325"/>
      <c r="AV7" s="325"/>
      <c r="AW7" s="325"/>
      <c r="AX7" s="325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04" t="s">
        <v>172</v>
      </c>
      <c r="AB8" s="605"/>
      <c r="AC8" s="60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19">
        <f>Flujos!H6</f>
        <v>0.63386387507999997</v>
      </c>
      <c r="AH8" s="160"/>
      <c r="AI8" s="160">
        <f t="shared" si="1"/>
        <v>204999.49418310571</v>
      </c>
      <c r="AK8" s="450" t="s">
        <v>282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2"/>
      <c r="AT8" s="324"/>
      <c r="AU8" s="325"/>
      <c r="AV8" s="325"/>
      <c r="AW8" s="325"/>
      <c r="AX8" s="325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07" t="s">
        <v>173</v>
      </c>
      <c r="AB9" s="608"/>
      <c r="AC9" s="60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19">
        <f>Flujos!H7</f>
        <v>0.603576</v>
      </c>
      <c r="AH9" s="156"/>
      <c r="AI9" s="160">
        <f t="shared" si="1"/>
        <v>227441.67794051746</v>
      </c>
      <c r="AK9" s="450" t="s">
        <v>283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2"/>
      <c r="AT9" s="324"/>
      <c r="AU9" s="326"/>
      <c r="AV9" s="326"/>
      <c r="AW9" s="326"/>
      <c r="AX9" s="326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19">
        <f>Flujos!H8</f>
        <v>0.59687100000000004</v>
      </c>
      <c r="AH10" s="160"/>
      <c r="AI10" s="160">
        <f t="shared" si="1"/>
        <v>230701.98780012433</v>
      </c>
      <c r="AK10" s="450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2"/>
      <c r="AT10" s="327"/>
      <c r="AU10" s="328"/>
      <c r="AV10" s="328"/>
      <c r="AW10" s="328"/>
      <c r="AX10" s="328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19">
        <f>Flujos!H9</f>
        <v>0.63304499999999997</v>
      </c>
      <c r="AH11" s="156"/>
      <c r="AI11" s="160">
        <f t="shared" si="1"/>
        <v>-4392.2735525519465</v>
      </c>
      <c r="AK11" s="450" t="s">
        <v>284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2"/>
      <c r="AT11" s="327"/>
      <c r="AU11" s="326"/>
      <c r="AV11" s="326"/>
      <c r="AW11" s="326"/>
      <c r="AX11" s="326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19">
        <f>Flujos!H10</f>
        <v>0.60589335206999995</v>
      </c>
      <c r="AH12" s="156"/>
      <c r="AI12" s="160">
        <f t="shared" si="1"/>
        <v>231594.13913744461</v>
      </c>
      <c r="AK12" s="450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2"/>
      <c r="AT12" s="327"/>
      <c r="AU12" s="329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273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19">
        <f>Flujos!H14</f>
        <v>0.105183</v>
      </c>
      <c r="AH13" s="160"/>
      <c r="AI13" s="160">
        <f t="shared" si="1"/>
        <v>20480.400000000001</v>
      </c>
      <c r="AK13" s="450" t="s">
        <v>285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2"/>
      <c r="AT13" s="327"/>
      <c r="AU13" s="327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19">
        <f>Flujos!H15</f>
        <v>0.66638999999999993</v>
      </c>
      <c r="AH14" s="156"/>
      <c r="AI14" s="160">
        <f t="shared" si="1"/>
        <v>210873.16517956916</v>
      </c>
      <c r="AK14" s="450" t="s">
        <v>286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2"/>
      <c r="AT14" s="327"/>
      <c r="AU14" s="603"/>
      <c r="AV14" s="603"/>
    </row>
    <row r="15" spans="2:50" ht="16" x14ac:dyDescent="0.2">
      <c r="B15" s="132"/>
      <c r="C15" s="133"/>
      <c r="D15" s="133"/>
      <c r="E15" s="172" t="s">
        <v>40</v>
      </c>
      <c r="F15" s="452">
        <f>+(AL6*(1-AO6))+H9-G20</f>
        <v>145251.09876982245</v>
      </c>
      <c r="G15" s="452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19">
        <f>Flujos!H16</f>
        <v>0.67963499999999999</v>
      </c>
      <c r="AH15" s="156"/>
      <c r="AI15" s="160">
        <f t="shared" si="1"/>
        <v>230091.6322992568</v>
      </c>
      <c r="AK15" s="450" t="s">
        <v>287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49"/>
      <c r="AR15" s="163">
        <f t="shared" si="2"/>
        <v>0</v>
      </c>
      <c r="AS15" s="322"/>
      <c r="AT15" s="327"/>
      <c r="AU15" s="323"/>
      <c r="AV15" s="323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19">
        <f>Flujos!H19</f>
        <v>0.68650000000000011</v>
      </c>
      <c r="AH16" s="160"/>
      <c r="AI16" s="160">
        <f t="shared" si="1"/>
        <v>209647.65034558089</v>
      </c>
      <c r="AK16" s="331"/>
      <c r="AO16" s="449"/>
      <c r="AP16" s="163"/>
      <c r="AS16" s="322"/>
      <c r="AT16" s="324"/>
      <c r="AU16" s="325"/>
      <c r="AV16" s="325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19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2"/>
      <c r="AT17" s="324"/>
      <c r="AU17" s="325"/>
      <c r="AV17" s="325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19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2"/>
      <c r="AT18" s="324"/>
      <c r="AU18" s="326"/>
      <c r="AV18" s="326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>
        <f>+(P49+R36+H46+H37)/I25</f>
        <v>0.82684450699340417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19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2"/>
      <c r="AT19" s="327"/>
      <c r="AU19" s="328"/>
      <c r="AV19" s="328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Q20" s="133"/>
      <c r="S20" s="188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19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27"/>
      <c r="AU20" s="326"/>
      <c r="AV20" s="326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85">
        <f>+(P51+R38+H48+H38)/I27</f>
        <v>0.93684598471282265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19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27"/>
      <c r="AU21" s="329"/>
      <c r="AX21" s="330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89">
        <f>Flujos!G9</f>
        <v>-4354.5</v>
      </c>
      <c r="J22" s="133"/>
      <c r="K22" s="135" t="s">
        <v>193</v>
      </c>
      <c r="L22" s="166">
        <f>AO40</f>
        <v>-9144</v>
      </c>
      <c r="M22" s="190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19">
        <f>Flujos!H25</f>
        <v>0</v>
      </c>
      <c r="AH22" s="156"/>
      <c r="AI22" s="160">
        <f t="shared" si="1"/>
        <v>0</v>
      </c>
      <c r="AQ22" s="191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2">
        <f>Flujos!G9*Flujos!H9</f>
        <v>-2756.5944525</v>
      </c>
      <c r="J23" s="133"/>
      <c r="K23" s="135" t="s">
        <v>194</v>
      </c>
      <c r="L23" s="193">
        <f>+L21-L22</f>
        <v>-5960.6236800000188</v>
      </c>
      <c r="M23" s="190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19">
        <f>Flujos!H26</f>
        <v>0</v>
      </c>
      <c r="AH23" s="156"/>
      <c r="AI23" s="160">
        <f t="shared" si="1"/>
        <v>0</v>
      </c>
      <c r="AK23" s="181" t="s">
        <v>195</v>
      </c>
      <c r="AQ23" s="191"/>
    </row>
    <row r="24" spans="2:50" ht="15.75" customHeight="1" x14ac:dyDescent="0.2">
      <c r="B24" s="132"/>
      <c r="C24" s="133"/>
      <c r="D24" s="133"/>
      <c r="E24" s="133"/>
      <c r="F24" s="194">
        <f>I25-D28-J29-I41</f>
        <v>-1526.3763199999812</v>
      </c>
      <c r="G24" s="194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19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1">
        <f>+AI15-AI16-AI17</f>
        <v>20443.981953675917</v>
      </c>
      <c r="AP24" s="187">
        <f>+AL24+I73</f>
        <v>612276</v>
      </c>
      <c r="AQ24" s="191"/>
    </row>
    <row r="25" spans="2:50" ht="15.75" customHeight="1" x14ac:dyDescent="0.2">
      <c r="B25" s="132"/>
      <c r="C25" s="133"/>
      <c r="D25" s="133"/>
      <c r="E25" s="133"/>
      <c r="F25" s="133"/>
      <c r="G25" s="194"/>
      <c r="H25" s="133"/>
      <c r="I25" s="141">
        <f>Flujos!G10</f>
        <v>229834.02368000001</v>
      </c>
      <c r="J25" s="194"/>
      <c r="R25" s="133"/>
      <c r="S25" s="133"/>
      <c r="T25" s="133"/>
      <c r="U25" s="133"/>
      <c r="W25" s="133"/>
      <c r="X25" s="133"/>
      <c r="Y25" s="137"/>
      <c r="AA25" s="332" t="s">
        <v>146</v>
      </c>
      <c r="AB25" s="333"/>
      <c r="AC25" s="334"/>
      <c r="AD25" s="156">
        <f>Flujos!C28/(1-AE25)</f>
        <v>0</v>
      </c>
      <c r="AE25" s="157">
        <f>Flujos!R28</f>
        <v>0</v>
      </c>
      <c r="AF25" s="158">
        <f>Flujos!G28</f>
        <v>0</v>
      </c>
      <c r="AG25" s="319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5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4"/>
      <c r="U26" s="133"/>
      <c r="W26" s="133"/>
      <c r="X26" s="133"/>
      <c r="Y26" s="137"/>
      <c r="AA26" s="332" t="s">
        <v>147</v>
      </c>
      <c r="AB26" s="333"/>
      <c r="AC26" s="334"/>
      <c r="AD26" s="156">
        <f>Flujos!C29/(1-AE26)</f>
        <v>0</v>
      </c>
      <c r="AE26" s="157">
        <f>Flujos!R29</f>
        <v>0</v>
      </c>
      <c r="AF26" s="158">
        <f>Flujos!G29</f>
        <v>0</v>
      </c>
      <c r="AG26" s="319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6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7">
        <f>+AF40</f>
        <v>0</v>
      </c>
      <c r="W27" s="197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19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6"/>
      <c r="I28" s="133"/>
      <c r="J28" s="148" t="s">
        <v>197</v>
      </c>
      <c r="K28" s="198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199">
        <f>+AF44</f>
        <v>0</v>
      </c>
      <c r="X28" s="194"/>
      <c r="Y28" s="137"/>
      <c r="AA28" s="200" t="s">
        <v>200</v>
      </c>
      <c r="AB28" s="201"/>
      <c r="AC28" s="202"/>
      <c r="AD28" s="156">
        <f>Flujos!C31/(1-AE28)</f>
        <v>0</v>
      </c>
      <c r="AE28" s="157">
        <f>Flujos!R31</f>
        <v>0</v>
      </c>
      <c r="AF28" s="158">
        <f>Flujos!G31</f>
        <v>0</v>
      </c>
      <c r="AG28" s="319">
        <f>Flujos!H31</f>
        <v>0</v>
      </c>
      <c r="AH28" s="203"/>
      <c r="AI28" s="203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4">
        <f>Flujos!G17</f>
        <v>0</v>
      </c>
      <c r="K29" s="205">
        <f>+I25-D28-H46-P41+K35+O35+H37+L22</f>
        <v>5960.6236800000188</v>
      </c>
      <c r="M29" s="206"/>
      <c r="N29" s="187"/>
      <c r="O29" s="194"/>
      <c r="P29" s="133"/>
      <c r="Q29" s="133"/>
      <c r="R29" s="133"/>
      <c r="S29" s="133"/>
      <c r="T29" s="133"/>
      <c r="U29" s="133"/>
      <c r="W29" s="133"/>
      <c r="X29" s="133"/>
      <c r="Y29" s="137"/>
      <c r="AA29" s="610" t="s">
        <v>159</v>
      </c>
      <c r="AB29" s="611"/>
      <c r="AC29" s="611"/>
      <c r="AD29" s="611"/>
      <c r="AE29" s="611"/>
      <c r="AF29" s="611"/>
      <c r="AG29" s="611"/>
      <c r="AH29" s="611"/>
      <c r="AI29" s="207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08">
        <f>Flujos!H17</f>
        <v>0.57999999999999996</v>
      </c>
      <c r="M30" s="209"/>
      <c r="N30" s="209"/>
      <c r="U30" s="133"/>
      <c r="W30" s="133"/>
      <c r="X30" s="133"/>
      <c r="Y30" s="137"/>
      <c r="AA30" s="210" t="s">
        <v>201</v>
      </c>
      <c r="AB30" s="211"/>
      <c r="AC30" s="212"/>
      <c r="AD30" s="213">
        <f>'Datos Extra'!B22</f>
        <v>0</v>
      </c>
      <c r="AE30" s="428">
        <f>'Datos Extra'!C22</f>
        <v>0.04</v>
      </c>
      <c r="AF30" s="213">
        <f>'Datos Extra'!D22</f>
        <v>0</v>
      </c>
      <c r="AG30" s="428">
        <f>'Datos Extra'!E22</f>
        <v>0.57999999999999996</v>
      </c>
      <c r="AH30" s="213">
        <f>'Datos Extra'!F22</f>
        <v>0</v>
      </c>
      <c r="AI30" s="213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4"/>
      <c r="G31" s="133"/>
      <c r="H31" s="133"/>
      <c r="J31" s="214">
        <f>+J29*J30</f>
        <v>0</v>
      </c>
      <c r="W31" s="133"/>
      <c r="Y31" s="137"/>
      <c r="AA31" s="153" t="s">
        <v>202</v>
      </c>
      <c r="AB31" s="154"/>
      <c r="AC31" s="155"/>
      <c r="AD31" s="213">
        <f>'Datos Extra'!B23</f>
        <v>9444</v>
      </c>
      <c r="AE31" s="428">
        <f>'Datos Extra'!C23</f>
        <v>0.04</v>
      </c>
      <c r="AF31" s="213">
        <f>'Datos Extra'!D23</f>
        <v>9066.24</v>
      </c>
      <c r="AG31" s="428">
        <f>'Datos Extra'!E23</f>
        <v>0.57999999999999996</v>
      </c>
      <c r="AH31" s="213">
        <f>'Datos Extra'!F23</f>
        <v>0</v>
      </c>
      <c r="AI31" s="213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3">
        <f>'Datos Extra'!B24</f>
        <v>2203</v>
      </c>
      <c r="AE32" s="428">
        <f>'Datos Extra'!C24</f>
        <v>2.8000000000000001E-2</v>
      </c>
      <c r="AF32" s="213">
        <f>'Datos Extra'!D24</f>
        <v>2141.3159999999998</v>
      </c>
      <c r="AG32" s="428">
        <f>'Datos Extra'!E24</f>
        <v>0.62560000000000004</v>
      </c>
      <c r="AH32" s="213">
        <f>'Datos Extra'!F24</f>
        <v>0</v>
      </c>
      <c r="AI32" s="213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4"/>
      <c r="Q33" s="187"/>
      <c r="T33" s="418"/>
      <c r="U33" s="418"/>
      <c r="Y33" s="137"/>
      <c r="AA33" s="153" t="s">
        <v>204</v>
      </c>
      <c r="AB33" s="154"/>
      <c r="AC33" s="155"/>
      <c r="AD33" s="213">
        <f>'Datos Extra'!B25</f>
        <v>0</v>
      </c>
      <c r="AE33" s="428">
        <f>'Datos Extra'!C25</f>
        <v>0</v>
      </c>
      <c r="AF33" s="213">
        <f>'Datos Extra'!D25</f>
        <v>0</v>
      </c>
      <c r="AG33" s="428">
        <f>'Datos Extra'!E25</f>
        <v>0</v>
      </c>
      <c r="AH33" s="213">
        <f>'Datos Extra'!F25</f>
        <v>0</v>
      </c>
      <c r="AI33" s="213">
        <f>'Datos Extra'!G25</f>
        <v>0</v>
      </c>
      <c r="AK33" s="181" t="s">
        <v>205</v>
      </c>
      <c r="AN33" s="215" t="s">
        <v>206</v>
      </c>
      <c r="AO33" s="215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19"/>
      <c r="U34" s="419"/>
      <c r="V34" s="133"/>
      <c r="Y34" s="137"/>
      <c r="AA34" s="153" t="s">
        <v>208</v>
      </c>
      <c r="AB34" s="154"/>
      <c r="AC34" s="155"/>
      <c r="AD34" s="213">
        <f>'Datos Extra'!B26</f>
        <v>0</v>
      </c>
      <c r="AE34" s="428">
        <f>'Datos Extra'!C26</f>
        <v>2.6944684E-2</v>
      </c>
      <c r="AF34" s="213">
        <f>'Datos Extra'!D26</f>
        <v>0</v>
      </c>
      <c r="AG34" s="428">
        <f>'Datos Extra'!E26</f>
        <v>0.62503473099999995</v>
      </c>
      <c r="AH34" s="213">
        <f>'Datos Extra'!F26</f>
        <v>0</v>
      </c>
      <c r="AI34" s="213">
        <f>'Datos Extra'!G26</f>
        <v>0</v>
      </c>
      <c r="AK34" s="177" t="s">
        <v>183</v>
      </c>
      <c r="AL34" s="162">
        <v>278637</v>
      </c>
      <c r="AN34" s="215">
        <v>39050</v>
      </c>
      <c r="AO34" s="215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4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3">
        <f>'Datos Extra'!B27</f>
        <v>0</v>
      </c>
      <c r="AE35" s="428">
        <f>'Datos Extra'!C27</f>
        <v>0</v>
      </c>
      <c r="AF35" s="213">
        <f>'Datos Extra'!D27</f>
        <v>0</v>
      </c>
      <c r="AG35" s="428">
        <f>'Datos Extra'!E27</f>
        <v>0</v>
      </c>
      <c r="AH35" s="213">
        <f>'Datos Extra'!F27</f>
        <v>0</v>
      </c>
      <c r="AI35" s="213">
        <f>'Datos Extra'!G27</f>
        <v>0</v>
      </c>
      <c r="AK35" s="177" t="s">
        <v>188</v>
      </c>
      <c r="AL35" s="162">
        <v>272690</v>
      </c>
      <c r="AN35" s="215">
        <v>39050</v>
      </c>
      <c r="AO35" s="215">
        <v>254001</v>
      </c>
    </row>
    <row r="36" spans="2:43" ht="15.75" customHeight="1" x14ac:dyDescent="0.2">
      <c r="B36" s="132"/>
      <c r="C36" s="172" t="s">
        <v>40</v>
      </c>
      <c r="D36" s="451">
        <f>+AQ10</f>
        <v>132691.49529348794</v>
      </c>
      <c r="E36" s="451">
        <f>+AR10</f>
        <v>136107.39891448722</v>
      </c>
      <c r="F36" s="133"/>
      <c r="H36" s="133"/>
      <c r="I36" s="133"/>
      <c r="J36" s="216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3">
        <f>'Datos Extra'!B28</f>
        <v>24345</v>
      </c>
      <c r="AE36" s="428">
        <f>'Datos Extra'!C28</f>
        <v>0</v>
      </c>
      <c r="AF36" s="213">
        <f>'Datos Extra'!D28</f>
        <v>24345</v>
      </c>
      <c r="AG36" s="428">
        <f>'Datos Extra'!E28</f>
        <v>0.65</v>
      </c>
      <c r="AH36" s="213">
        <f>'Datos Extra'!F28</f>
        <v>0</v>
      </c>
      <c r="AI36" s="213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6"/>
      <c r="H37" s="457">
        <f>Flujos!G11</f>
        <v>-2106</v>
      </c>
      <c r="I37" s="141"/>
      <c r="J37" s="216"/>
      <c r="Q37" s="216">
        <f>+M39+O35-P41</f>
        <v>0</v>
      </c>
      <c r="R37" s="165">
        <f>+AG25</f>
        <v>0</v>
      </c>
      <c r="V37" s="204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3">
        <f>'Datos Extra'!B29</f>
        <v>24345</v>
      </c>
      <c r="AE37" s="428">
        <f>'Datos Extra'!C29</f>
        <v>0</v>
      </c>
      <c r="AF37" s="213">
        <f>'Datos Extra'!D29</f>
        <v>24345</v>
      </c>
      <c r="AG37" s="428">
        <f>'Datos Extra'!E29</f>
        <v>0.65</v>
      </c>
      <c r="AH37" s="213">
        <f>'Datos Extra'!F29</f>
        <v>0</v>
      </c>
      <c r="AI37" s="213">
        <f>'Datos Extra'!G29</f>
        <v>0</v>
      </c>
    </row>
    <row r="38" spans="2:43" ht="15.75" customHeight="1" x14ac:dyDescent="0.2">
      <c r="B38" s="132"/>
      <c r="G38" s="216"/>
      <c r="H38" s="458">
        <f>Flujos!G11*Flujos!H11</f>
        <v>-1445.7690000000002</v>
      </c>
      <c r="I38" s="145"/>
      <c r="J38" s="133"/>
      <c r="Q38" s="216">
        <f>+M41-P43</f>
        <v>0</v>
      </c>
      <c r="R38" s="167">
        <f>+R36*R37</f>
        <v>0</v>
      </c>
      <c r="V38" s="227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3">
        <f>'Datos Extra'!B30</f>
        <v>0</v>
      </c>
      <c r="AE38" s="428">
        <f>'Datos Extra'!C30</f>
        <v>0</v>
      </c>
      <c r="AF38" s="213">
        <f>'Datos Extra'!D30</f>
        <v>0</v>
      </c>
      <c r="AG38" s="428">
        <f>'Datos Extra'!E30</f>
        <v>0</v>
      </c>
      <c r="AH38" s="213">
        <f>'Datos Extra'!F30</f>
        <v>0</v>
      </c>
      <c r="AI38" s="213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4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3">
        <f>'Datos Extra'!B31</f>
        <v>0</v>
      </c>
      <c r="AE39" s="428">
        <f>'Datos Extra'!C31</f>
        <v>0</v>
      </c>
      <c r="AF39" s="213">
        <f>'Datos Extra'!D31</f>
        <v>0</v>
      </c>
      <c r="AG39" s="428">
        <f>'Datos Extra'!E31</f>
        <v>0</v>
      </c>
      <c r="AH39" s="213">
        <f>'Datos Extra'!F31</f>
        <v>0</v>
      </c>
      <c r="AI39" s="213">
        <f>'Datos Extra'!G31</f>
        <v>0</v>
      </c>
      <c r="AK39" s="600" t="s">
        <v>215</v>
      </c>
      <c r="AL39" s="60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6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3">
        <f>'Datos Extra'!B32</f>
        <v>0</v>
      </c>
      <c r="AE40" s="428">
        <f>'Datos Extra'!C32</f>
        <v>0</v>
      </c>
      <c r="AF40" s="213">
        <f>'Datos Extra'!D32</f>
        <v>0</v>
      </c>
      <c r="AG40" s="428">
        <f>'Datos Extra'!E32</f>
        <v>0</v>
      </c>
      <c r="AH40" s="213">
        <f>'Datos Extra'!F32</f>
        <v>0</v>
      </c>
      <c r="AI40" s="213">
        <f>'Datos Extra'!G32</f>
        <v>0</v>
      </c>
      <c r="AK40" s="598" t="s">
        <v>107</v>
      </c>
      <c r="AL40" s="599"/>
      <c r="AM40" s="217">
        <f>+SUM(AM41:AM44)</f>
        <v>604861</v>
      </c>
      <c r="AN40" s="217">
        <f>+SUM(AN41:AN44)</f>
        <v>595717</v>
      </c>
      <c r="AO40" s="218">
        <f>+AN40-AM40</f>
        <v>-9144</v>
      </c>
      <c r="AP40" s="426">
        <f>IF(AN40=0,0,SUMPRODUCT(AN41:AN44,AP41:AP44)/AN40)</f>
        <v>68.952340540894426</v>
      </c>
      <c r="AQ40" s="426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59">
        <f>+AF15</f>
        <v>210880</v>
      </c>
      <c r="J41" s="149">
        <f>+M41</f>
        <v>0</v>
      </c>
      <c r="K41" s="196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3">
        <f>'Datos Extra'!B33</f>
        <v>0</v>
      </c>
      <c r="AE41" s="428">
        <f>'Datos Extra'!C33</f>
        <v>0</v>
      </c>
      <c r="AF41" s="213">
        <f>'Datos Extra'!D33</f>
        <v>0</v>
      </c>
      <c r="AG41" s="428">
        <f>'Datos Extra'!E33</f>
        <v>0</v>
      </c>
      <c r="AH41" s="213">
        <f>'Datos Extra'!F33</f>
        <v>0</v>
      </c>
      <c r="AI41" s="213">
        <f>'Datos Extra'!G33</f>
        <v>0</v>
      </c>
      <c r="AK41" s="612" t="s">
        <v>221</v>
      </c>
      <c r="AL41" s="613"/>
      <c r="AM41" s="220">
        <v>170912</v>
      </c>
      <c r="AN41" s="220">
        <v>168259</v>
      </c>
      <c r="AO41" s="221"/>
      <c r="AP41" s="427">
        <v>68.849999999999994</v>
      </c>
      <c r="AQ41" s="427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0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3">
        <f>'Datos Extra'!B34</f>
        <v>0</v>
      </c>
      <c r="AE42" s="428">
        <f>'Datos Extra'!C34</f>
        <v>0</v>
      </c>
      <c r="AF42" s="213">
        <f>'Datos Extra'!D34</f>
        <v>0</v>
      </c>
      <c r="AG42" s="428">
        <f>'Datos Extra'!E34</f>
        <v>0</v>
      </c>
      <c r="AH42" s="213">
        <f>'Datos Extra'!F34</f>
        <v>0</v>
      </c>
      <c r="AI42" s="213">
        <f>'Datos Extra'!G34</f>
        <v>0</v>
      </c>
      <c r="AK42" s="612" t="s">
        <v>223</v>
      </c>
      <c r="AL42" s="613"/>
      <c r="AM42" s="222">
        <v>178622</v>
      </c>
      <c r="AN42" s="222">
        <v>177030</v>
      </c>
      <c r="AO42" s="221"/>
      <c r="AP42" s="427">
        <v>68.77</v>
      </c>
      <c r="AQ42" s="427">
        <v>7.74</v>
      </c>
    </row>
    <row r="43" spans="2:43" ht="15.75" customHeight="1" x14ac:dyDescent="0.2">
      <c r="B43" s="132"/>
      <c r="C43" s="149">
        <f>+C41*C42</f>
        <v>71343.410400000008</v>
      </c>
      <c r="E43" s="223"/>
      <c r="F43" s="133"/>
      <c r="G43" s="133"/>
      <c r="I43" s="461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3">
        <f>'Datos Extra'!B35</f>
        <v>0</v>
      </c>
      <c r="AE43" s="428">
        <f>'Datos Extra'!C35</f>
        <v>0</v>
      </c>
      <c r="AF43" s="213">
        <f>'Datos Extra'!D35</f>
        <v>0</v>
      </c>
      <c r="AG43" s="428">
        <f>'Datos Extra'!E35</f>
        <v>0</v>
      </c>
      <c r="AH43" s="213">
        <f>'Datos Extra'!F35</f>
        <v>0</v>
      </c>
      <c r="AI43" s="213">
        <f>'Datos Extra'!G35</f>
        <v>0</v>
      </c>
      <c r="AK43" s="612" t="s">
        <v>225</v>
      </c>
      <c r="AL43" s="613"/>
      <c r="AM43" s="222">
        <v>178292</v>
      </c>
      <c r="AN43" s="222">
        <v>174514</v>
      </c>
      <c r="AO43" s="221"/>
      <c r="AP43" s="427">
        <v>69.150000000000006</v>
      </c>
      <c r="AQ43" s="427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271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3">
        <f>'Datos Extra'!B36</f>
        <v>0</v>
      </c>
      <c r="AE44" s="428">
        <f>'Datos Extra'!C36</f>
        <v>0</v>
      </c>
      <c r="AF44" s="213">
        <f>'Datos Extra'!D36</f>
        <v>0</v>
      </c>
      <c r="AG44" s="428">
        <f>'Datos Extra'!E36</f>
        <v>0</v>
      </c>
      <c r="AH44" s="213">
        <f>'Datos Extra'!F36</f>
        <v>0</v>
      </c>
      <c r="AI44" s="213">
        <f>'Datos Extra'!G36</f>
        <v>0</v>
      </c>
      <c r="AK44" s="612" t="s">
        <v>227</v>
      </c>
      <c r="AL44" s="613"/>
      <c r="AM44" s="222">
        <v>77035</v>
      </c>
      <c r="AN44" s="222">
        <v>75914</v>
      </c>
      <c r="AO44" s="221"/>
      <c r="AP44" s="427">
        <v>69.150000000000006</v>
      </c>
      <c r="AQ44" s="427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4"/>
      <c r="M45" s="196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3">
        <f>'Datos Extra'!B37</f>
        <v>0</v>
      </c>
      <c r="AE45" s="428">
        <f>'Datos Extra'!C37</f>
        <v>0</v>
      </c>
      <c r="AF45" s="213">
        <f>'Datos Extra'!D37</f>
        <v>0</v>
      </c>
      <c r="AG45" s="428">
        <f>'Datos Extra'!E37</f>
        <v>0</v>
      </c>
      <c r="AH45" s="213">
        <f>'Datos Extra'!F37</f>
        <v>0</v>
      </c>
      <c r="AI45" s="213">
        <f>'Datos Extra'!G37</f>
        <v>0</v>
      </c>
      <c r="AK45" s="598" t="s">
        <v>109</v>
      </c>
      <c r="AL45" s="599"/>
      <c r="AM45" s="217">
        <f>+SUM(AM46:AM49)</f>
        <v>279288</v>
      </c>
      <c r="AN45" s="161">
        <f>+SUM(AN46:AN49)</f>
        <v>276114</v>
      </c>
      <c r="AO45" s="218">
        <f>+AN45-AM45</f>
        <v>-3174</v>
      </c>
      <c r="AP45" s="425">
        <f>+SUMPRODUCT(AN46:AN49,AP46:AP49)/AN45</f>
        <v>65.344666550772502</v>
      </c>
      <c r="AQ45" s="425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6"/>
      <c r="U46" s="133"/>
      <c r="V46" s="133"/>
      <c r="Y46" s="137"/>
      <c r="AK46" s="612" t="s">
        <v>221</v>
      </c>
      <c r="AL46" s="613"/>
      <c r="AM46" s="423">
        <v>208397</v>
      </c>
      <c r="AN46" s="423">
        <v>205223</v>
      </c>
      <c r="AO46" s="221"/>
      <c r="AP46" s="425">
        <v>65.34</v>
      </c>
      <c r="AQ46" s="425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4"/>
      <c r="K47" s="187"/>
      <c r="U47" s="133"/>
      <c r="V47" s="133"/>
      <c r="Y47" s="137"/>
      <c r="Z47" s="133" t="s">
        <v>148</v>
      </c>
      <c r="AC47" s="614" t="s">
        <v>229</v>
      </c>
      <c r="AD47" s="614"/>
      <c r="AE47" s="614"/>
      <c r="AF47" s="614"/>
      <c r="AK47" s="612" t="s">
        <v>223</v>
      </c>
      <c r="AL47" s="613"/>
      <c r="AM47" s="423">
        <v>36753</v>
      </c>
      <c r="AN47" s="423">
        <v>36753</v>
      </c>
      <c r="AO47" s="225"/>
      <c r="AP47" s="425">
        <v>65.180000000000007</v>
      </c>
      <c r="AQ47" s="425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4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2" t="s">
        <v>225</v>
      </c>
      <c r="AL48" s="613"/>
      <c r="AM48" s="423">
        <v>34138</v>
      </c>
      <c r="AN48" s="424">
        <v>34138</v>
      </c>
      <c r="AO48" s="225"/>
      <c r="AP48" s="425">
        <v>65.55</v>
      </c>
      <c r="AQ48" s="425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6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2" t="s">
        <v>227</v>
      </c>
      <c r="AL49" s="613"/>
      <c r="AM49" s="222"/>
      <c r="AN49" s="222"/>
      <c r="AO49" s="225"/>
      <c r="AP49" s="425"/>
      <c r="AQ49" s="425"/>
    </row>
    <row r="50" spans="2:43" ht="15.75" customHeight="1" x14ac:dyDescent="0.2">
      <c r="B50" s="132"/>
      <c r="E50" s="133"/>
      <c r="F50" s="133"/>
      <c r="G50" s="227"/>
      <c r="P50" s="228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29">
        <f>+AC50+AF41-AF42</f>
        <v>18126</v>
      </c>
      <c r="AH50" s="230">
        <f>17644+2400-1290</f>
        <v>18754</v>
      </c>
      <c r="AK50" s="598" t="s">
        <v>93</v>
      </c>
      <c r="AL50" s="599"/>
      <c r="AM50" s="217">
        <f>+SUM(AM51:AM54)</f>
        <v>264161</v>
      </c>
      <c r="AN50" s="161">
        <f>+SUM(AN51:AN54)</f>
        <v>271631</v>
      </c>
      <c r="AO50" s="231">
        <f>+AN50-AM50</f>
        <v>7470</v>
      </c>
      <c r="AP50" s="425">
        <f>+SUMPRODUCT(AN51:AN54,AP51:AP54)/AN50</f>
        <v>64.069999999999993</v>
      </c>
      <c r="AQ50" s="425">
        <f>+SUMPRODUCT(AN51:AN54,AQ51:AQ54)/AN50</f>
        <v>1.19</v>
      </c>
    </row>
    <row r="51" spans="2:43" ht="15.75" customHeight="1" x14ac:dyDescent="0.2">
      <c r="B51" s="132"/>
      <c r="F51" s="133"/>
      <c r="G51" s="214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2" t="s">
        <v>221</v>
      </c>
      <c r="AL51" s="613"/>
      <c r="AM51" s="424">
        <v>167380</v>
      </c>
      <c r="AN51" s="424">
        <v>171545</v>
      </c>
      <c r="AO51" s="225"/>
      <c r="AP51" s="425">
        <v>64.069999999999993</v>
      </c>
      <c r="AQ51" s="425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4"/>
      <c r="V52" s="133"/>
      <c r="W52" s="133"/>
      <c r="X52" s="133"/>
      <c r="Y52" s="137"/>
      <c r="AD52" s="187"/>
      <c r="AK52" s="612" t="s">
        <v>223</v>
      </c>
      <c r="AL52" s="613"/>
      <c r="AM52" s="424">
        <v>96781</v>
      </c>
      <c r="AN52" s="424">
        <v>100086</v>
      </c>
      <c r="AO52" s="225"/>
      <c r="AP52" s="425">
        <v>64.069999999999993</v>
      </c>
      <c r="AQ52" s="425">
        <v>1.19</v>
      </c>
    </row>
    <row r="53" spans="2:43" ht="15.75" customHeight="1" x14ac:dyDescent="0.2">
      <c r="B53" s="132"/>
      <c r="C53" s="133"/>
      <c r="D53" s="133"/>
      <c r="E53" s="133"/>
      <c r="F53" s="223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5"/>
      <c r="AK53" s="612" t="s">
        <v>225</v>
      </c>
      <c r="AL53" s="613"/>
      <c r="AM53" s="424"/>
      <c r="AN53" s="424"/>
      <c r="AO53" s="225"/>
      <c r="AP53" s="425"/>
      <c r="AQ53" s="425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5"/>
      <c r="AK54" s="612" t="s">
        <v>227</v>
      </c>
      <c r="AL54" s="613"/>
      <c r="AM54" s="424"/>
      <c r="AN54" s="424"/>
      <c r="AO54" s="231"/>
      <c r="AP54" s="425"/>
      <c r="AQ54" s="425"/>
    </row>
    <row r="55" spans="2:43" ht="15.75" customHeight="1" x14ac:dyDescent="0.2">
      <c r="B55" s="132"/>
      <c r="C55" s="133"/>
      <c r="D55" s="133"/>
      <c r="H55" s="133"/>
      <c r="R55" s="232"/>
      <c r="U55" s="133"/>
      <c r="V55" s="133"/>
      <c r="W55" s="133"/>
      <c r="X55" s="133"/>
      <c r="Y55" s="137"/>
      <c r="AK55" s="598" t="s">
        <v>236</v>
      </c>
      <c r="AL55" s="599"/>
      <c r="AM55" s="161">
        <f>+SUM(AM56:AM57)</f>
        <v>0</v>
      </c>
      <c r="AN55" s="161">
        <f>+SUM(AN56:AN57)</f>
        <v>0</v>
      </c>
      <c r="AO55" s="231">
        <f>+AN55-AM55</f>
        <v>0</v>
      </c>
      <c r="AP55" s="425" t="e">
        <f>+SUMPRODUCT(AN56:AN57,AP56:AP57)/AN55</f>
        <v>#DIV/0!</v>
      </c>
      <c r="AQ55" s="425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2" t="s">
        <v>221</v>
      </c>
      <c r="AL56" s="613"/>
      <c r="AM56" s="222"/>
      <c r="AN56" s="222"/>
      <c r="AO56" s="225"/>
      <c r="AP56" s="425"/>
      <c r="AQ56" s="425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1">
        <f>+AQ12+R52+S52+T52</f>
        <v>65417.27</v>
      </c>
      <c r="P57" s="451">
        <f>+AR12</f>
        <v>14201.72650228858</v>
      </c>
      <c r="R57" s="149"/>
      <c r="S57" s="223"/>
      <c r="T57" s="133"/>
      <c r="U57" s="133"/>
      <c r="V57" s="133"/>
      <c r="W57" s="133"/>
      <c r="X57" s="133"/>
      <c r="Y57" s="137"/>
      <c r="AK57" s="612" t="s">
        <v>223</v>
      </c>
      <c r="AL57" s="613"/>
      <c r="AM57" s="222"/>
      <c r="AN57" s="222"/>
      <c r="AO57" s="225"/>
      <c r="AP57" s="425"/>
      <c r="AQ57" s="425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5">
        <f>AM55+AM50+AM45+AM40</f>
        <v>1148310</v>
      </c>
      <c r="AN58" s="195">
        <f>AN56+AN50+AN45+AN40-AN43</f>
        <v>968948</v>
      </c>
      <c r="AO58" s="231">
        <f>+AN58-AM58</f>
        <v>-179362</v>
      </c>
      <c r="AP58" s="219"/>
      <c r="AQ58" s="219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3"/>
      <c r="C66" s="234"/>
      <c r="D66" s="234"/>
      <c r="E66" s="234"/>
      <c r="F66" s="234"/>
      <c r="G66" s="234"/>
      <c r="H66" s="234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5"/>
    </row>
    <row r="67" spans="2:26" ht="15.75" customHeight="1" x14ac:dyDescent="0.2">
      <c r="J67" s="187"/>
      <c r="K67" s="133"/>
      <c r="P67" s="133"/>
      <c r="Q67" s="133"/>
    </row>
    <row r="68" spans="2:26" ht="15.75" customHeight="1" thickBot="1" x14ac:dyDescent="0.25">
      <c r="E68" s="236"/>
      <c r="F68" s="133"/>
      <c r="G68" s="616" t="s">
        <v>237</v>
      </c>
      <c r="H68" s="617"/>
      <c r="I68" s="618"/>
      <c r="J68" s="194"/>
      <c r="K68" s="133"/>
      <c r="L68" s="133"/>
      <c r="M68" s="194"/>
      <c r="N68" s="194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37" t="s">
        <v>238</v>
      </c>
      <c r="C69" s="619" t="s">
        <v>68</v>
      </c>
      <c r="D69" s="620"/>
      <c r="E69" s="238" t="s">
        <v>149</v>
      </c>
      <c r="F69" s="238" t="s">
        <v>150</v>
      </c>
      <c r="G69" s="238" t="s">
        <v>239</v>
      </c>
      <c r="H69" s="455" t="s">
        <v>275</v>
      </c>
      <c r="I69" s="237" t="s">
        <v>240</v>
      </c>
      <c r="J69" s="239" t="s">
        <v>151</v>
      </c>
      <c r="K69" s="240" t="s">
        <v>152</v>
      </c>
      <c r="L69" s="241" t="s">
        <v>153</v>
      </c>
      <c r="M69" s="238" t="s">
        <v>154</v>
      </c>
      <c r="N69" s="238" t="s">
        <v>241</v>
      </c>
      <c r="O69" s="238" t="s">
        <v>242</v>
      </c>
      <c r="P69" s="237" t="s">
        <v>155</v>
      </c>
      <c r="Q69" s="242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3">
        <f>+AD26</f>
        <v>0</v>
      </c>
      <c r="C70" s="615" t="s">
        <v>157</v>
      </c>
      <c r="D70" s="561"/>
      <c r="E70" s="244">
        <f>+AI26</f>
        <v>0</v>
      </c>
      <c r="F70" s="245">
        <f>+AI28</f>
        <v>0</v>
      </c>
      <c r="G70" s="247"/>
      <c r="H70" s="456"/>
      <c r="I70" s="453"/>
      <c r="J70" s="248">
        <f>+E70+G70</f>
        <v>0</v>
      </c>
      <c r="K70" s="249">
        <f>+F70+I70</f>
        <v>0</v>
      </c>
      <c r="L70" s="250">
        <f>'Datos Extra'!B1</f>
        <v>66753</v>
      </c>
      <c r="M70" s="251">
        <f>+L70+J70-K70+H70</f>
        <v>66753</v>
      </c>
      <c r="N70" s="246">
        <f>'Datos Extra'!C44</f>
        <v>14273.091962099075</v>
      </c>
      <c r="O70" s="252">
        <f t="shared" ref="O70:O80" si="3">N70-M70</f>
        <v>-52479.908037900925</v>
      </c>
      <c r="P70" s="253">
        <v>97.84</v>
      </c>
      <c r="Q70" s="254">
        <f>+O70*P70</f>
        <v>-5134634.2024282264</v>
      </c>
      <c r="R70" s="133"/>
      <c r="S70" s="255"/>
      <c r="T70" s="133"/>
      <c r="U70" s="133"/>
      <c r="V70" s="133"/>
      <c r="W70" s="133"/>
      <c r="X70" s="133"/>
      <c r="Y70" s="133"/>
    </row>
    <row r="71" spans="2:26" ht="14.25" customHeight="1" x14ac:dyDescent="0.2">
      <c r="B71" s="243">
        <f>+AD25</f>
        <v>0</v>
      </c>
      <c r="C71" s="615" t="s">
        <v>88</v>
      </c>
      <c r="D71" s="561"/>
      <c r="E71" s="256">
        <f>+AI25</f>
        <v>0</v>
      </c>
      <c r="F71" s="256">
        <f>Flujos!G38/(1-Flujos!R38)</f>
        <v>66000</v>
      </c>
      <c r="G71" s="258"/>
      <c r="H71" s="456"/>
      <c r="I71" s="454"/>
      <c r="J71" s="248">
        <f>+E71+G71</f>
        <v>0</v>
      </c>
      <c r="K71" s="249">
        <f>+F71+I71</f>
        <v>66000</v>
      </c>
      <c r="L71" s="250">
        <f>'Datos Extra'!B2</f>
        <v>24736</v>
      </c>
      <c r="M71" s="251">
        <f>+L71+J71-K71+H71</f>
        <v>-41264</v>
      </c>
      <c r="N71" s="246">
        <f>'Datos Extra'!C45</f>
        <v>12095.744312286377</v>
      </c>
      <c r="O71" s="252">
        <f t="shared" si="3"/>
        <v>53359.744312286377</v>
      </c>
      <c r="P71" s="253">
        <v>33.365380000000002</v>
      </c>
      <c r="Q71" s="254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3">
        <f>+AD16+AD17</f>
        <v>209647.65034558089</v>
      </c>
      <c r="C72" s="615" t="s">
        <v>89</v>
      </c>
      <c r="D72" s="561"/>
      <c r="E72" s="256">
        <f>+AI16+AI17</f>
        <v>209647.65034558089</v>
      </c>
      <c r="F72" s="245">
        <f>+AI19</f>
        <v>112763.78636561007</v>
      </c>
      <c r="G72" s="257"/>
      <c r="H72" s="245"/>
      <c r="I72" s="258"/>
      <c r="J72" s="248">
        <f>+E72+G72</f>
        <v>209647.65034558089</v>
      </c>
      <c r="K72" s="249">
        <f>+F72+I72</f>
        <v>112763.78636561007</v>
      </c>
      <c r="L72" s="250">
        <f>'Datos Extra'!B3</f>
        <v>50490</v>
      </c>
      <c r="M72" s="251">
        <f>+L72+J72-K72</f>
        <v>147373.8639799708</v>
      </c>
      <c r="N72" s="246">
        <f>'Datos Extra'!C42</f>
        <v>147374.00000000003</v>
      </c>
      <c r="O72" s="252">
        <f>N72-M72</f>
        <v>0.13602002922561951</v>
      </c>
      <c r="P72" s="253">
        <v>43.87</v>
      </c>
      <c r="Q72" s="254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3">
        <f>+AD10</f>
        <v>230701.98780012433</v>
      </c>
      <c r="C73" s="615" t="s">
        <v>158</v>
      </c>
      <c r="D73" s="561"/>
      <c r="E73" s="256">
        <f>+AI10</f>
        <v>230701.98780012433</v>
      </c>
      <c r="F73" s="245">
        <v>0</v>
      </c>
      <c r="G73" s="257"/>
      <c r="H73" s="245"/>
      <c r="I73" s="260"/>
      <c r="J73" s="261"/>
      <c r="K73" s="262">
        <f>+E73+I73</f>
        <v>230701.98780012433</v>
      </c>
      <c r="L73" s="250">
        <f>'Datos Extra'!B4</f>
        <v>0</v>
      </c>
      <c r="M73" s="251"/>
      <c r="N73" s="263"/>
      <c r="O73" s="264"/>
      <c r="P73" s="265"/>
      <c r="Q73" s="266"/>
      <c r="R73" s="133"/>
      <c r="S73" s="255"/>
      <c r="T73" s="133"/>
      <c r="U73" s="133"/>
      <c r="V73" s="133"/>
      <c r="W73" s="133"/>
      <c r="X73" s="133"/>
      <c r="Y73" s="133"/>
    </row>
    <row r="74" spans="2:26" ht="14.25" customHeight="1" x14ac:dyDescent="0.2">
      <c r="B74" s="243"/>
      <c r="C74" s="615" t="s">
        <v>90</v>
      </c>
      <c r="D74" s="561"/>
      <c r="E74" s="256">
        <f>+AI15</f>
        <v>230091.6322992568</v>
      </c>
      <c r="F74" s="245"/>
      <c r="G74" s="257"/>
      <c r="H74" s="245"/>
      <c r="J74" s="261"/>
      <c r="K74" s="262">
        <f>+E74/E73*K73</f>
        <v>230091.6322992568</v>
      </c>
      <c r="L74" s="250">
        <f>'Datos Extra'!B5</f>
        <v>0</v>
      </c>
      <c r="M74" s="251"/>
      <c r="N74" s="263"/>
      <c r="O74" s="264"/>
      <c r="P74" s="265"/>
      <c r="Q74" s="266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3"/>
      <c r="C75" s="615" t="s">
        <v>91</v>
      </c>
      <c r="D75" s="561"/>
      <c r="E75" s="256">
        <f>+AI13</f>
        <v>20480.400000000001</v>
      </c>
      <c r="F75" s="245"/>
      <c r="G75" s="257"/>
      <c r="H75" s="245"/>
      <c r="I75" s="258"/>
      <c r="J75" s="261"/>
      <c r="K75" s="262">
        <f>+E75+G75</f>
        <v>20480.400000000001</v>
      </c>
      <c r="L75" s="250">
        <f>'Datos Extra'!B6</f>
        <v>0</v>
      </c>
      <c r="M75" s="251"/>
      <c r="N75" s="263"/>
      <c r="O75" s="264"/>
      <c r="P75" s="265"/>
      <c r="Q75" s="266"/>
      <c r="S75" s="133"/>
      <c r="T75" s="194"/>
      <c r="U75" s="175"/>
      <c r="V75" s="175"/>
      <c r="W75" s="194"/>
      <c r="X75" s="194"/>
      <c r="Y75" s="267"/>
      <c r="Z75" s="183"/>
    </row>
    <row r="76" spans="2:26" ht="14.25" customHeight="1" x14ac:dyDescent="0.2">
      <c r="B76" s="243">
        <f>+AD9</f>
        <v>227441.67794051746</v>
      </c>
      <c r="C76" s="615" t="s">
        <v>92</v>
      </c>
      <c r="D76" s="561"/>
      <c r="E76" s="256">
        <f>+AI9</f>
        <v>227441.67794051746</v>
      </c>
      <c r="F76" s="245"/>
      <c r="G76" s="257"/>
      <c r="H76" s="245"/>
      <c r="I76" s="260">
        <f>I73</f>
        <v>0</v>
      </c>
      <c r="J76" s="248">
        <f>+E76+G76</f>
        <v>227441.67794051746</v>
      </c>
      <c r="K76" s="249">
        <f>+E73+I76</f>
        <v>230701.98780012433</v>
      </c>
      <c r="L76" s="250">
        <f>'Datos Extra'!B7</f>
        <v>150617</v>
      </c>
      <c r="M76" s="251">
        <f>+L76+J76-K76+H76</f>
        <v>147356.6901403931</v>
      </c>
      <c r="N76" s="246">
        <f>'Datos Extra'!C38</f>
        <v>150934.60122179985</v>
      </c>
      <c r="O76" s="252">
        <f t="shared" si="3"/>
        <v>3577.9110814067535</v>
      </c>
      <c r="P76" s="253">
        <v>20.14</v>
      </c>
      <c r="Q76" s="254">
        <f t="shared" si="4"/>
        <v>72059.129179532014</v>
      </c>
      <c r="R76" s="255"/>
      <c r="S76" s="133"/>
      <c r="T76" s="175"/>
      <c r="U76" s="175"/>
      <c r="V76" s="175"/>
      <c r="W76" s="194"/>
      <c r="X76" s="194"/>
      <c r="Y76" s="267"/>
      <c r="Z76" s="183"/>
    </row>
    <row r="77" spans="2:26" ht="14.25" customHeight="1" x14ac:dyDescent="0.2">
      <c r="B77" s="243">
        <f>+AD7</f>
        <v>164651.1418469153</v>
      </c>
      <c r="C77" s="615" t="s">
        <v>93</v>
      </c>
      <c r="D77" s="561"/>
      <c r="E77" s="256">
        <f>+AI7</f>
        <v>164651.1418469153</v>
      </c>
      <c r="F77" s="245">
        <f>+AI8</f>
        <v>204999.49418310571</v>
      </c>
      <c r="G77" s="257"/>
      <c r="H77" s="245">
        <v>0</v>
      </c>
      <c r="I77" s="258"/>
      <c r="J77" s="248">
        <f>+E77+G77</f>
        <v>164651.1418469153</v>
      </c>
      <c r="K77" s="249">
        <f>+F77+I77</f>
        <v>204999.49418310571</v>
      </c>
      <c r="L77" s="250">
        <f>'Datos Extra'!B8</f>
        <v>435811</v>
      </c>
      <c r="M77" s="251">
        <f>+L77+J77-K77+AD34+H77</f>
        <v>395462.64766380953</v>
      </c>
      <c r="N77" s="246">
        <f>'Datos Extra'!C39</f>
        <v>395462.99999999988</v>
      </c>
      <c r="O77" s="252">
        <f t="shared" si="3"/>
        <v>0.35233619034988806</v>
      </c>
      <c r="P77" s="253">
        <v>21.37</v>
      </c>
      <c r="Q77" s="254">
        <f t="shared" si="4"/>
        <v>7.5294243877771079</v>
      </c>
      <c r="R77" s="255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3">
        <f>+AD33</f>
        <v>0</v>
      </c>
      <c r="C78" s="615" t="s">
        <v>94</v>
      </c>
      <c r="D78" s="561"/>
      <c r="E78" s="256">
        <f>AD32</f>
        <v>2203</v>
      </c>
      <c r="F78" s="245">
        <v>0</v>
      </c>
      <c r="G78" s="257"/>
      <c r="H78" s="245">
        <v>0</v>
      </c>
      <c r="I78" s="258"/>
      <c r="J78" s="268">
        <f>+E78+G78</f>
        <v>2203</v>
      </c>
      <c r="K78" s="259">
        <f>+F78+I78</f>
        <v>0</v>
      </c>
      <c r="L78" s="250">
        <f>'Datos Extra'!B9</f>
        <v>2203</v>
      </c>
      <c r="M78" s="257">
        <f>J78+L78-K78+H78</f>
        <v>4406</v>
      </c>
      <c r="N78" s="246">
        <f>'Datos Extra'!C46</f>
        <v>1837.2749805450439</v>
      </c>
      <c r="O78" s="252">
        <f t="shared" si="3"/>
        <v>-2568.7250194549561</v>
      </c>
      <c r="P78" s="253">
        <v>8.5485399999999991</v>
      </c>
      <c r="Q78" s="254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3"/>
      <c r="C79" s="615" t="s">
        <v>95</v>
      </c>
      <c r="D79" s="561"/>
      <c r="E79" s="256">
        <v>0</v>
      </c>
      <c r="F79" s="256">
        <v>0</v>
      </c>
      <c r="G79" s="257"/>
      <c r="H79" s="256"/>
      <c r="I79" s="258"/>
      <c r="J79" s="268">
        <f>+E79+G79</f>
        <v>0</v>
      </c>
      <c r="K79" s="259">
        <f>+F79+I79</f>
        <v>0</v>
      </c>
      <c r="L79" s="250">
        <f>'Datos Extra'!B10</f>
        <v>27</v>
      </c>
      <c r="M79" s="269">
        <f>+L79+E79-F79</f>
        <v>27</v>
      </c>
      <c r="N79" s="270">
        <v>1318</v>
      </c>
      <c r="O79" s="252">
        <f t="shared" si="3"/>
        <v>1291</v>
      </c>
      <c r="P79" s="253">
        <v>40.32</v>
      </c>
      <c r="Q79" s="254">
        <f t="shared" si="4"/>
        <v>52053.120000000003</v>
      </c>
      <c r="R79" s="133"/>
      <c r="S79" s="133"/>
      <c r="T79" s="267"/>
      <c r="U79" s="255"/>
      <c r="V79" s="255"/>
      <c r="W79" s="267"/>
      <c r="X79" s="267"/>
      <c r="Y79" s="267"/>
    </row>
    <row r="80" spans="2:26" ht="14.25" customHeight="1" x14ac:dyDescent="0.2">
      <c r="B80" s="243"/>
      <c r="C80" s="615" t="s">
        <v>96</v>
      </c>
      <c r="D80" s="561"/>
      <c r="E80" s="256">
        <v>0</v>
      </c>
      <c r="F80" s="256">
        <v>0</v>
      </c>
      <c r="G80" s="257"/>
      <c r="H80" s="256"/>
      <c r="I80" s="258"/>
      <c r="J80" s="268">
        <f>+E80+G80</f>
        <v>0</v>
      </c>
      <c r="K80" s="259">
        <f>+F80+I80</f>
        <v>0</v>
      </c>
      <c r="L80" s="250">
        <f>'Datos Extra'!B11</f>
        <v>25122</v>
      </c>
      <c r="M80" s="269">
        <f>+L80+E80-F80</f>
        <v>25122</v>
      </c>
      <c r="N80" s="270">
        <v>31676</v>
      </c>
      <c r="O80" s="252">
        <f t="shared" si="3"/>
        <v>6554</v>
      </c>
      <c r="P80" s="253">
        <v>29.61</v>
      </c>
      <c r="Q80" s="254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1"/>
      <c r="D81" s="271"/>
      <c r="E81" s="252">
        <f>+E70+E71+E72+E77+E78</f>
        <v>376501.79219249618</v>
      </c>
      <c r="F81" s="252">
        <f>+F70+F71+F72+F77+F78</f>
        <v>383763.28054871579</v>
      </c>
      <c r="G81" s="194"/>
      <c r="I81" s="194"/>
      <c r="J81" s="272">
        <f>+J70+J71+J72+J77+J78</f>
        <v>376501.79219249618</v>
      </c>
      <c r="K81" s="273">
        <f>+K70+K71+K72+K77+K78</f>
        <v>383763.28054871579</v>
      </c>
      <c r="L81" s="274"/>
      <c r="M81" s="274"/>
      <c r="N81" s="274"/>
      <c r="O81" s="252">
        <f>SUM(O70:O80)</f>
        <v>9734.5106925568252</v>
      </c>
      <c r="P81" s="275"/>
      <c r="Q81" s="276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4"/>
      <c r="D82" s="274"/>
      <c r="E82" s="194"/>
      <c r="F82" s="194"/>
      <c r="G82" s="194"/>
      <c r="I82" s="194"/>
      <c r="J82" s="194"/>
      <c r="K82" s="249">
        <f>+K81-K72</f>
        <v>270999.49418310571</v>
      </c>
      <c r="O82" s="252">
        <f>SUM(O70:O80)-O76</f>
        <v>6156.5996111500717</v>
      </c>
      <c r="P82" s="275"/>
      <c r="Q82" s="276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6"/>
      <c r="G83" s="134"/>
      <c r="H83" s="134"/>
      <c r="I83" s="133"/>
      <c r="J83" s="194"/>
      <c r="K83" s="255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4"/>
      <c r="D84" s="626"/>
      <c r="E84" s="277" t="s">
        <v>243</v>
      </c>
      <c r="F84" s="277" t="s">
        <v>179</v>
      </c>
      <c r="G84" s="277" t="s">
        <v>244</v>
      </c>
      <c r="H84" s="278" t="s">
        <v>245</v>
      </c>
      <c r="I84" s="194"/>
      <c r="J84" s="194"/>
      <c r="K84" s="194"/>
      <c r="L84" s="194"/>
      <c r="M84" s="194"/>
      <c r="N84" s="194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4" t="s">
        <v>246</v>
      </c>
      <c r="D85" s="625"/>
      <c r="E85" s="625"/>
      <c r="F85" s="625"/>
      <c r="G85" s="625"/>
      <c r="H85" s="626"/>
      <c r="I85" s="194"/>
      <c r="J85" s="194"/>
      <c r="K85" s="194"/>
      <c r="L85" s="194"/>
      <c r="M85" s="194"/>
      <c r="N85" s="194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22" t="s">
        <v>247</v>
      </c>
      <c r="D86" s="623"/>
      <c r="E86" s="162">
        <f>'Datos Extra'!B13</f>
        <v>841140</v>
      </c>
      <c r="F86" s="320">
        <f>'Datos Extra'!C13</f>
        <v>1</v>
      </c>
      <c r="G86" s="321">
        <f>'Datos Extra'!D13</f>
        <v>1.7937498607364257</v>
      </c>
      <c r="H86" s="281">
        <f>+E86*G86</f>
        <v>1508794.757859837</v>
      </c>
      <c r="I86" s="255"/>
      <c r="J86" s="255"/>
      <c r="K86" s="255"/>
      <c r="L86" s="255"/>
      <c r="M86" s="255"/>
      <c r="N86" s="255"/>
      <c r="O86" s="133"/>
      <c r="P86" s="133"/>
      <c r="Q86" s="133"/>
      <c r="R86" s="621"/>
      <c r="S86" s="548"/>
      <c r="T86" s="194"/>
      <c r="U86" s="194"/>
      <c r="V86" s="194"/>
    </row>
    <row r="87" spans="3:26" ht="14.25" customHeight="1" x14ac:dyDescent="0.2">
      <c r="C87" s="279" t="s">
        <v>248</v>
      </c>
      <c r="D87" s="280"/>
      <c r="E87" s="162">
        <f>'Datos Extra'!B14</f>
        <v>799464</v>
      </c>
      <c r="F87" s="320">
        <f>'Datos Extra'!C14</f>
        <v>0.85</v>
      </c>
      <c r="G87" s="321">
        <f>'Datos Extra'!D14</f>
        <v>0.93275003802393297</v>
      </c>
      <c r="H87" s="281">
        <f t="shared" ref="H87:H90" si="5">+E87*G87</f>
        <v>745700.07639876555</v>
      </c>
      <c r="I87" s="255"/>
      <c r="J87" s="255"/>
      <c r="K87" s="255"/>
      <c r="L87" s="282"/>
      <c r="M87" s="255"/>
      <c r="N87" s="255"/>
      <c r="O87" s="133"/>
      <c r="P87" s="133"/>
      <c r="Q87" s="133"/>
      <c r="R87" s="274"/>
      <c r="T87" s="194"/>
      <c r="U87" s="194"/>
      <c r="V87" s="194"/>
    </row>
    <row r="88" spans="3:26" ht="15.75" customHeight="1" x14ac:dyDescent="0.2">
      <c r="C88" s="622" t="s">
        <v>249</v>
      </c>
      <c r="D88" s="623"/>
      <c r="E88" s="162">
        <f>'Datos Extra'!B15</f>
        <v>309440</v>
      </c>
      <c r="F88" s="320">
        <f>'Datos Extra'!C15</f>
        <v>0.15</v>
      </c>
      <c r="G88" s="321">
        <f>'Datos Extra'!D15</f>
        <v>1.1554858656662388</v>
      </c>
      <c r="H88" s="281">
        <f t="shared" si="5"/>
        <v>357553.54627176095</v>
      </c>
      <c r="I88" s="255"/>
      <c r="J88" s="255"/>
      <c r="K88" s="255"/>
      <c r="L88" s="255"/>
      <c r="M88" s="255"/>
      <c r="N88" s="255"/>
      <c r="O88" s="133"/>
      <c r="P88" s="621"/>
      <c r="Q88" s="548"/>
      <c r="R88" s="194"/>
      <c r="S88" s="194"/>
      <c r="T88" s="194"/>
    </row>
    <row r="89" spans="3:26" ht="15.75" customHeight="1" x14ac:dyDescent="0.2">
      <c r="C89" s="622" t="s">
        <v>250</v>
      </c>
      <c r="D89" s="623"/>
      <c r="E89" s="162">
        <f>'Datos Extra'!B16</f>
        <v>719345</v>
      </c>
      <c r="F89" s="320">
        <f>'Datos Extra'!C16</f>
        <v>1</v>
      </c>
      <c r="G89" s="321">
        <f>'Datos Extra'!D16</f>
        <v>6.7708475606506466</v>
      </c>
      <c r="H89" s="281">
        <f t="shared" si="5"/>
        <v>4870575.3385162391</v>
      </c>
      <c r="I89" s="133"/>
      <c r="J89" s="133"/>
      <c r="K89" s="133"/>
      <c r="L89" s="133"/>
      <c r="M89" s="133"/>
      <c r="N89" s="194"/>
      <c r="O89" s="133"/>
      <c r="P89" s="621"/>
      <c r="Q89" s="548"/>
      <c r="R89" s="194"/>
      <c r="S89" s="194"/>
      <c r="T89" s="194"/>
    </row>
    <row r="90" spans="3:26" ht="14.25" customHeight="1" x14ac:dyDescent="0.2">
      <c r="C90" s="622" t="s">
        <v>251</v>
      </c>
      <c r="D90" s="623"/>
      <c r="E90" s="162">
        <f>'Datos Extra'!B17</f>
        <v>0</v>
      </c>
      <c r="F90" s="320">
        <f>'Datos Extra'!C17</f>
        <v>0</v>
      </c>
      <c r="G90" s="321">
        <f>'Datos Extra'!D17</f>
        <v>12.73464883638535</v>
      </c>
      <c r="H90" s="281">
        <f t="shared" si="5"/>
        <v>0</v>
      </c>
      <c r="I90" s="133"/>
      <c r="J90" s="133"/>
      <c r="K90" s="133"/>
      <c r="L90" s="133"/>
      <c r="M90" s="133"/>
      <c r="N90" s="194"/>
      <c r="O90" s="133"/>
      <c r="P90" s="621"/>
      <c r="Q90" s="548"/>
      <c r="R90" s="194"/>
      <c r="S90" s="194"/>
      <c r="T90" s="194"/>
    </row>
    <row r="91" spans="3:26" ht="14.25" customHeight="1" x14ac:dyDescent="0.2">
      <c r="G91" s="283">
        <f>SUM(G86:G90)</f>
        <v>23.387482161462593</v>
      </c>
      <c r="H91" s="136">
        <f>SUM(H86:H90)</f>
        <v>7482623.719046602</v>
      </c>
      <c r="I91" s="255"/>
      <c r="J91" s="255"/>
      <c r="K91" s="133"/>
      <c r="L91" s="133"/>
      <c r="M91" s="133"/>
      <c r="N91" s="194"/>
      <c r="O91" s="133"/>
      <c r="P91" s="621"/>
      <c r="Q91" s="548"/>
      <c r="R91" s="194"/>
      <c r="S91" s="194"/>
      <c r="T91" s="194"/>
    </row>
    <row r="92" spans="3:26" ht="14.25" customHeight="1" x14ac:dyDescent="0.2">
      <c r="C92" s="624" t="s">
        <v>252</v>
      </c>
      <c r="D92" s="625"/>
      <c r="E92" s="625"/>
      <c r="F92" s="625"/>
      <c r="G92" s="625"/>
      <c r="H92" s="626"/>
      <c r="I92" s="255"/>
      <c r="J92" s="255"/>
      <c r="K92" s="133"/>
      <c r="L92" s="194"/>
      <c r="M92" s="133"/>
      <c r="N92" s="194"/>
      <c r="O92" s="133"/>
      <c r="P92" s="621"/>
      <c r="Q92" s="548"/>
      <c r="R92" s="194"/>
      <c r="S92" s="194"/>
      <c r="T92" s="194"/>
    </row>
    <row r="93" spans="3:26" ht="14.25" customHeight="1" x14ac:dyDescent="0.2">
      <c r="C93" s="622" t="s">
        <v>253</v>
      </c>
      <c r="D93" s="623"/>
      <c r="E93" s="163">
        <f>+AF10/(1-AE10)</f>
        <v>230701.98780012433</v>
      </c>
      <c r="F93" s="284" t="e">
        <f>+#REF!</f>
        <v>#REF!</v>
      </c>
      <c r="G93" s="285">
        <f>'Datos Extra'!D18</f>
        <v>20.331616421326252</v>
      </c>
      <c r="H93" s="281">
        <f>+E93*G93</f>
        <v>4690544.3235896165</v>
      </c>
      <c r="I93" s="133"/>
      <c r="J93" s="133"/>
      <c r="K93" s="133"/>
      <c r="L93" s="194"/>
      <c r="M93" s="133"/>
      <c r="N93" s="133"/>
      <c r="O93" s="133"/>
      <c r="P93" s="621"/>
      <c r="Q93" s="548"/>
      <c r="R93" s="194"/>
      <c r="S93" s="194"/>
    </row>
    <row r="94" spans="3:26" ht="14.25" customHeight="1" x14ac:dyDescent="0.2">
      <c r="C94" s="622" t="s">
        <v>254</v>
      </c>
      <c r="D94" s="623"/>
      <c r="E94" s="163">
        <f>+AF18/(1-AE18)</f>
        <v>17279.110124044662</v>
      </c>
      <c r="F94" s="286">
        <f>+P49/J39</f>
        <v>0</v>
      </c>
      <c r="G94" s="285">
        <f>'Datos Extra'!D19</f>
        <v>8.225477491060424</v>
      </c>
      <c r="H94" s="281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1"/>
      <c r="Q94" s="548"/>
      <c r="R94" s="194"/>
      <c r="S94" s="194"/>
    </row>
    <row r="95" spans="3:26" ht="14.25" customHeight="1" x14ac:dyDescent="0.2">
      <c r="C95" s="622" t="s">
        <v>255</v>
      </c>
      <c r="D95" s="623"/>
      <c r="E95" s="163">
        <f>+AF26/(1-AE26)+AF25/(1-AE25)+AF17/(1-AE17)+AF16/(1-AE16)</f>
        <v>209647.65034558089</v>
      </c>
      <c r="F95" s="284">
        <f>+O19</f>
        <v>0.82684450699340417</v>
      </c>
      <c r="G95" s="285">
        <f>'Datos Extra'!D20</f>
        <v>2.7579753151123789</v>
      </c>
      <c r="H95" s="281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1"/>
      <c r="Q95" s="548"/>
      <c r="R95" s="194"/>
      <c r="S95" s="194"/>
    </row>
    <row r="96" spans="3:26" ht="14.25" customHeight="1" x14ac:dyDescent="0.2">
      <c r="C96" s="622" t="s">
        <v>256</v>
      </c>
      <c r="D96" s="623"/>
      <c r="E96" s="163">
        <f>+E95</f>
        <v>209647.65034558089</v>
      </c>
      <c r="F96" s="287">
        <v>1</v>
      </c>
      <c r="G96" s="285">
        <f>'Datos Extra'!D21</f>
        <v>2.7579753151123789</v>
      </c>
      <c r="H96" s="281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1"/>
      <c r="Q96" s="548"/>
      <c r="R96" s="194"/>
      <c r="S96" s="194"/>
    </row>
    <row r="97" spans="5:18" ht="14.25" customHeight="1" x14ac:dyDescent="0.2">
      <c r="E97" s="133"/>
      <c r="F97" s="236"/>
      <c r="G97" s="283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4"/>
    </row>
    <row r="98" spans="5:18" ht="14.25" customHeight="1" x14ac:dyDescent="0.2">
      <c r="E98" s="133"/>
      <c r="F98" s="236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4"/>
    </row>
    <row r="99" spans="5:18" ht="14.25" customHeight="1" x14ac:dyDescent="0.2">
      <c r="E99" s="133"/>
      <c r="F99" s="236"/>
      <c r="G99" s="288" t="s">
        <v>258</v>
      </c>
      <c r="H99" s="289">
        <f>+H98/E96</f>
        <v>64.25878392087553</v>
      </c>
      <c r="I99" s="290"/>
      <c r="J99" s="133"/>
      <c r="K99" s="133"/>
      <c r="L99" s="133"/>
      <c r="M99" s="133"/>
      <c r="N99" s="133"/>
      <c r="O99" s="133"/>
      <c r="P99" s="133"/>
      <c r="Q99" s="133"/>
      <c r="R99" s="194"/>
    </row>
    <row r="100" spans="5:18" ht="14.25" customHeight="1" x14ac:dyDescent="0.2">
      <c r="E100" s="133"/>
      <c r="F100" s="23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4"/>
    </row>
    <row r="101" spans="5:18" ht="14.25" customHeight="1" x14ac:dyDescent="0.2">
      <c r="E101" s="133"/>
      <c r="F101" s="23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4"/>
    </row>
    <row r="102" spans="5:18" ht="14.25" customHeight="1" x14ac:dyDescent="0.2">
      <c r="E102" s="133"/>
      <c r="F102" s="236"/>
      <c r="G102" s="133"/>
      <c r="R102" s="194"/>
    </row>
    <row r="103" spans="5:18" ht="15.75" customHeight="1" x14ac:dyDescent="0.2">
      <c r="E103" s="133"/>
      <c r="F103" s="236"/>
      <c r="G103" s="133"/>
    </row>
    <row r="104" spans="5:18" ht="15.75" customHeight="1" x14ac:dyDescent="0.2">
      <c r="E104" s="133"/>
      <c r="F104" s="236"/>
      <c r="G104" s="133"/>
    </row>
    <row r="105" spans="5:18" ht="15.75" customHeight="1" x14ac:dyDescent="0.2">
      <c r="E105" s="133"/>
      <c r="F105" s="236"/>
      <c r="G105" s="133"/>
    </row>
    <row r="106" spans="5:18" ht="15.75" customHeight="1" x14ac:dyDescent="0.2">
      <c r="F106" s="236"/>
      <c r="G106" s="133"/>
    </row>
    <row r="107" spans="5:18" ht="15.75" customHeight="1" x14ac:dyDescent="0.2">
      <c r="F107" s="23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2023-12-18T16:32:00Z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