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13_ncr:1_{188E269A-C996-2E4B-B4AE-DBBCAD87A589}" xr6:coauthVersionLast="46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Utilidad" sheetId="10" r:id="rId1"/>
    <sheet name="Diagrama Fe T" sheetId="5" r:id="rId2"/>
    <sheet name="Flujos" sheetId="13" r:id="rId3"/>
    <sheet name="Datos Extra" sheetId="16" r:id="rId4"/>
    <sheet name="Reporte" sheetId="15" r:id="rId5"/>
  </sheets>
  <externalReferences>
    <externalReference r:id="rId6"/>
  </externalReferences>
  <definedNames>
    <definedName name="_xlnm.Print_Area" localSheetId="4">Reporte!$A$1:$N$44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T'!$AB$57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5" l="1"/>
  <c r="L11" i="15" l="1"/>
  <c r="I23" i="15" l="1"/>
  <c r="I22" i="15"/>
  <c r="I21" i="15"/>
  <c r="I20" i="15"/>
  <c r="H20" i="15"/>
  <c r="H21" i="15"/>
  <c r="H22" i="15"/>
  <c r="H23" i="15"/>
  <c r="G23" i="15"/>
  <c r="G22" i="15"/>
  <c r="G21" i="15"/>
  <c r="F28" i="15"/>
  <c r="H28" i="15" l="1"/>
  <c r="H105" i="10"/>
  <c r="G105" i="10"/>
  <c r="F105" i="10"/>
  <c r="E105" i="10"/>
  <c r="D105" i="10"/>
  <c r="C105" i="10"/>
  <c r="B105" i="10"/>
  <c r="H101" i="10"/>
  <c r="H100" i="10"/>
  <c r="H99" i="10"/>
  <c r="G101" i="10"/>
  <c r="G100" i="10"/>
  <c r="G99" i="10"/>
  <c r="F101" i="10"/>
  <c r="F100" i="10"/>
  <c r="F99" i="10"/>
  <c r="E101" i="10"/>
  <c r="E100" i="10"/>
  <c r="E99" i="10"/>
  <c r="D101" i="10"/>
  <c r="D100" i="10"/>
  <c r="D99" i="10"/>
  <c r="C101" i="10"/>
  <c r="C100" i="10"/>
  <c r="C99" i="10"/>
  <c r="B101" i="10"/>
  <c r="B100" i="10"/>
  <c r="B99" i="10"/>
  <c r="H91" i="10"/>
  <c r="H90" i="10"/>
  <c r="H89" i="10"/>
  <c r="G91" i="10"/>
  <c r="G90" i="10"/>
  <c r="G89" i="10"/>
  <c r="F91" i="10"/>
  <c r="F90" i="10"/>
  <c r="F89" i="10"/>
  <c r="E91" i="10"/>
  <c r="E90" i="10"/>
  <c r="E89" i="10"/>
  <c r="D91" i="10"/>
  <c r="D90" i="10"/>
  <c r="D89" i="10"/>
  <c r="C90" i="10"/>
  <c r="C89" i="10"/>
  <c r="B91" i="10"/>
  <c r="O118" i="10"/>
  <c r="P118" i="10"/>
  <c r="Q118" i="10"/>
  <c r="R118" i="10"/>
  <c r="O119" i="10"/>
  <c r="P119" i="10"/>
  <c r="Q119" i="10"/>
  <c r="R119" i="10"/>
  <c r="O120" i="10"/>
  <c r="P120" i="10"/>
  <c r="Q120" i="10"/>
  <c r="R120" i="10"/>
  <c r="O121" i="10"/>
  <c r="P121" i="10"/>
  <c r="Q121" i="10"/>
  <c r="R121" i="10"/>
  <c r="O122" i="10"/>
  <c r="P122" i="10"/>
  <c r="Q122" i="10"/>
  <c r="R122" i="10"/>
  <c r="O123" i="10"/>
  <c r="P123" i="10"/>
  <c r="Q123" i="10"/>
  <c r="R123" i="10"/>
  <c r="O124" i="10"/>
  <c r="P124" i="10"/>
  <c r="Q124" i="10"/>
  <c r="R124" i="10"/>
  <c r="O125" i="10"/>
  <c r="P125" i="10"/>
  <c r="Q125" i="10"/>
  <c r="R125" i="10"/>
  <c r="O126" i="10"/>
  <c r="P126" i="10"/>
  <c r="Q126" i="10"/>
  <c r="R126" i="10"/>
  <c r="O127" i="10"/>
  <c r="P127" i="10"/>
  <c r="Q127" i="10"/>
  <c r="R127" i="10"/>
  <c r="O128" i="10"/>
  <c r="P128" i="10"/>
  <c r="Q128" i="10"/>
  <c r="R128" i="10"/>
  <c r="O129" i="10"/>
  <c r="P129" i="10"/>
  <c r="Q129" i="10"/>
  <c r="R129" i="10"/>
  <c r="O95" i="10"/>
  <c r="B89" i="10"/>
  <c r="C91" i="10"/>
  <c r="B90" i="10"/>
  <c r="G28" i="15"/>
  <c r="G20" i="15"/>
  <c r="F23" i="15"/>
  <c r="F22" i="15"/>
  <c r="F21" i="15"/>
  <c r="F20" i="15"/>
  <c r="AD93" i="5"/>
  <c r="AB93" i="5"/>
  <c r="AB90" i="5"/>
  <c r="AB91" i="5"/>
  <c r="AD91" i="5"/>
  <c r="AD90" i="5"/>
  <c r="AD89" i="5"/>
  <c r="AD88" i="5"/>
  <c r="AB89" i="5"/>
  <c r="AB88" i="5"/>
  <c r="AD71" i="5"/>
  <c r="AB71" i="5"/>
  <c r="AD69" i="5"/>
  <c r="AD68" i="5"/>
  <c r="AD67" i="5"/>
  <c r="AD66" i="5"/>
  <c r="AB69" i="5"/>
  <c r="AB68" i="5"/>
  <c r="AB67" i="5"/>
  <c r="AB66" i="5"/>
  <c r="AE73" i="5"/>
  <c r="I80" i="13"/>
  <c r="I79" i="13"/>
  <c r="H80" i="13"/>
  <c r="H79" i="13"/>
  <c r="G80" i="13"/>
  <c r="G79" i="13"/>
  <c r="G78" i="13"/>
  <c r="F80" i="13"/>
  <c r="F79" i="13"/>
  <c r="E80" i="13"/>
  <c r="E79" i="13"/>
  <c r="E78" i="13"/>
  <c r="D80" i="13"/>
  <c r="D79" i="13"/>
  <c r="C80" i="13"/>
  <c r="C79" i="13"/>
  <c r="C78" i="13"/>
  <c r="I73" i="13"/>
  <c r="I72" i="13"/>
  <c r="H73" i="13"/>
  <c r="H72" i="13"/>
  <c r="G73" i="13"/>
  <c r="G71" i="13"/>
  <c r="G72" i="13"/>
  <c r="F73" i="13"/>
  <c r="F72" i="13"/>
  <c r="F71" i="13"/>
  <c r="E73" i="13"/>
  <c r="E72" i="13"/>
  <c r="E71" i="13"/>
  <c r="D73" i="13"/>
  <c r="D72" i="13"/>
  <c r="D71" i="13"/>
  <c r="C73" i="13"/>
  <c r="C72" i="13"/>
  <c r="C71" i="13"/>
  <c r="C74" i="13" s="1"/>
  <c r="O55" i="5"/>
  <c r="O54" i="5"/>
  <c r="O56" i="5" s="1"/>
  <c r="O62" i="5"/>
  <c r="O61" i="5"/>
  <c r="Q55" i="5"/>
  <c r="Q54" i="5"/>
  <c r="Q56" i="5" s="1"/>
  <c r="S61" i="5"/>
  <c r="S60" i="5"/>
  <c r="S62" i="5" s="1"/>
  <c r="U46" i="5"/>
  <c r="U45" i="5"/>
  <c r="U47" i="5" s="1"/>
  <c r="P47" i="5"/>
  <c r="P46" i="5"/>
  <c r="P45" i="5"/>
  <c r="S49" i="5"/>
  <c r="R49" i="5"/>
  <c r="R45" i="5"/>
  <c r="R44" i="5"/>
  <c r="S45" i="5" s="1"/>
  <c r="S43" i="5"/>
  <c r="S42" i="5"/>
  <c r="S41" i="5"/>
  <c r="R39" i="5"/>
  <c r="R40" i="5" s="1"/>
  <c r="R38" i="5"/>
  <c r="S37" i="5"/>
  <c r="S36" i="5"/>
  <c r="S38" i="5" s="1"/>
  <c r="R32" i="5"/>
  <c r="R31" i="5"/>
  <c r="R33" i="5" s="1"/>
  <c r="S31" i="5"/>
  <c r="S30" i="5"/>
  <c r="S29" i="5"/>
  <c r="O9" i="5"/>
  <c r="O8" i="5"/>
  <c r="N25" i="5"/>
  <c r="N24" i="5"/>
  <c r="N26" i="5" s="1"/>
  <c r="O30" i="5"/>
  <c r="O29" i="5"/>
  <c r="R25" i="5"/>
  <c r="R24" i="5"/>
  <c r="R26" i="5" s="1"/>
  <c r="S23" i="5"/>
  <c r="S22" i="5"/>
  <c r="S24" i="5" s="1"/>
  <c r="R21" i="5"/>
  <c r="R20" i="5"/>
  <c r="P19" i="5"/>
  <c r="P18" i="5"/>
  <c r="R18" i="5"/>
  <c r="R17" i="5"/>
  <c r="S15" i="5"/>
  <c r="S14" i="5"/>
  <c r="U10" i="5"/>
  <c r="U11" i="5" s="1"/>
  <c r="U9" i="5"/>
  <c r="R13" i="5"/>
  <c r="R12" i="5"/>
  <c r="R11" i="5"/>
  <c r="R6" i="5"/>
  <c r="R7" i="5"/>
  <c r="R5" i="5"/>
  <c r="G52" i="5"/>
  <c r="T56" i="13"/>
  <c r="T64" i="13"/>
  <c r="L54" i="13"/>
  <c r="P54" i="13" s="1"/>
  <c r="M55" i="13"/>
  <c r="R55" i="13" s="1"/>
  <c r="L58" i="13"/>
  <c r="P58" i="13" s="1"/>
  <c r="N60" i="13"/>
  <c r="L61" i="13"/>
  <c r="P61" i="13" s="1"/>
  <c r="M63" i="13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D36" i="5" s="1"/>
  <c r="D38" i="5" s="1"/>
  <c r="I28" i="13"/>
  <c r="D37" i="5" s="1"/>
  <c r="J28" i="13"/>
  <c r="H29" i="13"/>
  <c r="F39" i="5" s="1"/>
  <c r="I29" i="13"/>
  <c r="J29" i="13"/>
  <c r="H30" i="13"/>
  <c r="G38" i="5" s="1"/>
  <c r="I30" i="13"/>
  <c r="G39" i="5" s="1"/>
  <c r="G40" i="5" s="1"/>
  <c r="J30" i="13"/>
  <c r="H31" i="13"/>
  <c r="D44" i="5" s="1"/>
  <c r="I31" i="13"/>
  <c r="D45" i="5" s="1"/>
  <c r="J31" i="13"/>
  <c r="H32" i="13"/>
  <c r="F46" i="5" s="1"/>
  <c r="I32" i="13"/>
  <c r="J32" i="13"/>
  <c r="H33" i="13"/>
  <c r="G45" i="5" s="1"/>
  <c r="I33" i="13"/>
  <c r="G46" i="5" s="1"/>
  <c r="J33" i="13"/>
  <c r="H34" i="13"/>
  <c r="D51" i="5" s="1"/>
  <c r="I34" i="13"/>
  <c r="D52" i="5" s="1"/>
  <c r="J34" i="13"/>
  <c r="H35" i="13"/>
  <c r="F54" i="5" s="1"/>
  <c r="I35" i="13"/>
  <c r="F55" i="5" s="1"/>
  <c r="J35" i="13"/>
  <c r="H36" i="13"/>
  <c r="G51" i="5" s="1"/>
  <c r="G53" i="5" s="1"/>
  <c r="I36" i="13"/>
  <c r="J36" i="13"/>
  <c r="H37" i="13"/>
  <c r="D58" i="5" s="1"/>
  <c r="I37" i="13"/>
  <c r="D59" i="5" s="1"/>
  <c r="J37" i="13"/>
  <c r="H38" i="13"/>
  <c r="F61" i="5" s="1"/>
  <c r="I38" i="13"/>
  <c r="F62" i="5" s="1"/>
  <c r="J38" i="13"/>
  <c r="H39" i="13"/>
  <c r="G58" i="5" s="1"/>
  <c r="I39" i="13"/>
  <c r="G59" i="5" s="1"/>
  <c r="J39" i="13"/>
  <c r="H40" i="13"/>
  <c r="I40" i="13"/>
  <c r="J40" i="13"/>
  <c r="H41" i="13"/>
  <c r="I41" i="13"/>
  <c r="J41" i="13"/>
  <c r="H42" i="13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I50" i="13"/>
  <c r="J50" i="13"/>
  <c r="H51" i="13"/>
  <c r="I51" i="13"/>
  <c r="J51" i="13"/>
  <c r="H52" i="13"/>
  <c r="I52" i="13"/>
  <c r="J52" i="13"/>
  <c r="H53" i="13"/>
  <c r="I53" i="13"/>
  <c r="T53" i="13" s="1"/>
  <c r="J53" i="13"/>
  <c r="H54" i="13"/>
  <c r="I54" i="13"/>
  <c r="J54" i="13"/>
  <c r="H55" i="13"/>
  <c r="I55" i="13"/>
  <c r="J55" i="13"/>
  <c r="T55" i="13" s="1"/>
  <c r="H56" i="13"/>
  <c r="I56" i="13"/>
  <c r="J56" i="13"/>
  <c r="H57" i="13"/>
  <c r="I57" i="13"/>
  <c r="T57" i="13" s="1"/>
  <c r="J57" i="13"/>
  <c r="H58" i="13"/>
  <c r="I58" i="13"/>
  <c r="J58" i="13"/>
  <c r="H59" i="13"/>
  <c r="I59" i="13"/>
  <c r="J59" i="13"/>
  <c r="T59" i="13" s="1"/>
  <c r="H60" i="13"/>
  <c r="I60" i="13"/>
  <c r="J60" i="13"/>
  <c r="T60" i="13" s="1"/>
  <c r="H61" i="13"/>
  <c r="I61" i="13"/>
  <c r="T61" i="13" s="1"/>
  <c r="J61" i="13"/>
  <c r="H62" i="13"/>
  <c r="I62" i="13"/>
  <c r="J62" i="13"/>
  <c r="H63" i="13"/>
  <c r="I63" i="13"/>
  <c r="J63" i="13"/>
  <c r="T63" i="13" s="1"/>
  <c r="H64" i="13"/>
  <c r="L64" i="13" s="1"/>
  <c r="P64" i="13" s="1"/>
  <c r="I64" i="13"/>
  <c r="J64" i="13"/>
  <c r="H65" i="13"/>
  <c r="I65" i="13"/>
  <c r="T65" i="13" s="1"/>
  <c r="J65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C44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N53" i="13" s="1"/>
  <c r="C54" i="13"/>
  <c r="D54" i="13"/>
  <c r="E54" i="13"/>
  <c r="C55" i="13"/>
  <c r="L55" i="13" s="1"/>
  <c r="D55" i="13"/>
  <c r="E55" i="13"/>
  <c r="N55" i="13" s="1"/>
  <c r="C56" i="13"/>
  <c r="D56" i="13"/>
  <c r="M56" i="13" s="1"/>
  <c r="E56" i="13"/>
  <c r="N56" i="13" s="1"/>
  <c r="C57" i="13"/>
  <c r="L57" i="13" s="1"/>
  <c r="P57" i="13" s="1"/>
  <c r="D57" i="13"/>
  <c r="E57" i="13"/>
  <c r="N57" i="13" s="1"/>
  <c r="C58" i="13"/>
  <c r="D58" i="13"/>
  <c r="E58" i="13"/>
  <c r="C59" i="13"/>
  <c r="L59" i="13" s="1"/>
  <c r="P59" i="13" s="1"/>
  <c r="D59" i="13"/>
  <c r="M59" i="13" s="1"/>
  <c r="Q59" i="13" s="1"/>
  <c r="E59" i="13"/>
  <c r="C60" i="13"/>
  <c r="L60" i="13" s="1"/>
  <c r="P60" i="13" s="1"/>
  <c r="D60" i="13"/>
  <c r="M60" i="13" s="1"/>
  <c r="E60" i="13"/>
  <c r="C61" i="13"/>
  <c r="D61" i="13"/>
  <c r="E61" i="13"/>
  <c r="N61" i="13" s="1"/>
  <c r="C62" i="13"/>
  <c r="L62" i="13" s="1"/>
  <c r="P62" i="13" s="1"/>
  <c r="D62" i="13"/>
  <c r="E62" i="13"/>
  <c r="C63" i="13"/>
  <c r="L63" i="13" s="1"/>
  <c r="P63" i="13" s="1"/>
  <c r="D63" i="13"/>
  <c r="E63" i="13"/>
  <c r="C64" i="13"/>
  <c r="D64" i="13"/>
  <c r="M64" i="13" s="1"/>
  <c r="E64" i="13"/>
  <c r="N64" i="13" s="1"/>
  <c r="C65" i="13"/>
  <c r="L65" i="13" s="1"/>
  <c r="P65" i="13" s="1"/>
  <c r="D65" i="13"/>
  <c r="E65" i="13"/>
  <c r="N65" i="13" s="1"/>
  <c r="S16" i="5" l="1"/>
  <c r="R56" i="13"/>
  <c r="F47" i="5"/>
  <c r="M65" i="13"/>
  <c r="N62" i="13"/>
  <c r="M61" i="13"/>
  <c r="R61" i="13" s="1"/>
  <c r="N58" i="13"/>
  <c r="R58" i="13" s="1"/>
  <c r="M57" i="13"/>
  <c r="L56" i="13"/>
  <c r="Q56" i="13" s="1"/>
  <c r="N54" i="13"/>
  <c r="M53" i="13"/>
  <c r="R53" i="13" s="1"/>
  <c r="T62" i="13"/>
  <c r="T58" i="13"/>
  <c r="T54" i="13"/>
  <c r="D60" i="5"/>
  <c r="G47" i="5"/>
  <c r="Q63" i="13"/>
  <c r="N63" i="13"/>
  <c r="R63" i="13" s="1"/>
  <c r="M62" i="13"/>
  <c r="Q62" i="13" s="1"/>
  <c r="N59" i="13"/>
  <c r="M58" i="13"/>
  <c r="Q58" i="13" s="1"/>
  <c r="M54" i="13"/>
  <c r="L53" i="13"/>
  <c r="Q53" i="13" s="1"/>
  <c r="G60" i="5"/>
  <c r="Q64" i="13"/>
  <c r="R64" i="13"/>
  <c r="Q60" i="13"/>
  <c r="R60" i="13"/>
  <c r="P55" i="13"/>
  <c r="Q55" i="13"/>
  <c r="Q65" i="13"/>
  <c r="R65" i="13"/>
  <c r="Q61" i="13"/>
  <c r="Q57" i="13"/>
  <c r="R57" i="13"/>
  <c r="P56" i="13"/>
  <c r="R62" i="13"/>
  <c r="R54" i="13"/>
  <c r="P53" i="13"/>
  <c r="D53" i="5"/>
  <c r="D46" i="5"/>
  <c r="F40" i="5"/>
  <c r="R59" i="13"/>
  <c r="Q54" i="13"/>
  <c r="G74" i="13"/>
  <c r="G75" i="13" s="1"/>
  <c r="G81" i="13"/>
  <c r="G82" i="13" s="1"/>
  <c r="G35" i="15"/>
  <c r="F35" i="15"/>
  <c r="G30" i="15"/>
  <c r="G31" i="15" s="1"/>
  <c r="F30" i="15"/>
  <c r="H30" i="15" s="1"/>
  <c r="H31" i="15" s="1"/>
  <c r="M12" i="15"/>
  <c r="L12" i="15"/>
  <c r="M52" i="13"/>
  <c r="T51" i="13"/>
  <c r="L50" i="13"/>
  <c r="P50" i="13" s="1"/>
  <c r="L49" i="13"/>
  <c r="T48" i="13"/>
  <c r="N48" i="13"/>
  <c r="M48" i="13"/>
  <c r="L47" i="13"/>
  <c r="N46" i="13"/>
  <c r="M46" i="13"/>
  <c r="L46" i="13"/>
  <c r="P46" i="13" s="1"/>
  <c r="M45" i="13"/>
  <c r="N45" i="13"/>
  <c r="L45" i="13"/>
  <c r="P45" i="13" s="1"/>
  <c r="M44" i="13"/>
  <c r="L44" i="13"/>
  <c r="T43" i="13"/>
  <c r="N43" i="13"/>
  <c r="M43" i="13"/>
  <c r="N42" i="13"/>
  <c r="M42" i="13"/>
  <c r="L42" i="13"/>
  <c r="L41" i="13"/>
  <c r="M41" i="13"/>
  <c r="T40" i="13"/>
  <c r="N40" i="13"/>
  <c r="L40" i="13"/>
  <c r="L39" i="13"/>
  <c r="N38" i="13"/>
  <c r="M37" i="13"/>
  <c r="N37" i="13"/>
  <c r="L37" i="13"/>
  <c r="P37" i="13" s="1"/>
  <c r="M36" i="13"/>
  <c r="N36" i="13"/>
  <c r="L36" i="13"/>
  <c r="M35" i="13"/>
  <c r="M34" i="13"/>
  <c r="L34" i="13"/>
  <c r="P34" i="13" s="1"/>
  <c r="D78" i="13"/>
  <c r="N33" i="13"/>
  <c r="N32" i="13"/>
  <c r="L32" i="13"/>
  <c r="P32" i="13" s="1"/>
  <c r="L31" i="13"/>
  <c r="T30" i="13"/>
  <c r="N30" i="13"/>
  <c r="M30" i="13"/>
  <c r="L30" i="13"/>
  <c r="P30" i="13" s="1"/>
  <c r="M29" i="13"/>
  <c r="N29" i="13"/>
  <c r="L29" i="13"/>
  <c r="P29" i="13" s="1"/>
  <c r="M28" i="13"/>
  <c r="N28" i="13"/>
  <c r="L28" i="13"/>
  <c r="T27" i="13"/>
  <c r="M27" i="13"/>
  <c r="L26" i="13"/>
  <c r="N26" i="13"/>
  <c r="M26" i="13"/>
  <c r="M25" i="13"/>
  <c r="T25" i="13"/>
  <c r="L25" i="13"/>
  <c r="T24" i="13"/>
  <c r="N24" i="13"/>
  <c r="L24" i="13"/>
  <c r="L23" i="13"/>
  <c r="N22" i="13"/>
  <c r="M21" i="13"/>
  <c r="N21" i="13"/>
  <c r="L21" i="13"/>
  <c r="P21" i="13" s="1"/>
  <c r="T20" i="13"/>
  <c r="M20" i="13"/>
  <c r="N19" i="13"/>
  <c r="L19" i="13"/>
  <c r="P19" i="13" s="1"/>
  <c r="L18" i="13"/>
  <c r="P18" i="13" s="1"/>
  <c r="N18" i="13"/>
  <c r="M17" i="13"/>
  <c r="T17" i="13"/>
  <c r="N17" i="13"/>
  <c r="T16" i="13"/>
  <c r="N16" i="13"/>
  <c r="L16" i="13"/>
  <c r="P16" i="13" s="1"/>
  <c r="N18" i="5"/>
  <c r="T14" i="13"/>
  <c r="M14" i="13"/>
  <c r="L14" i="13"/>
  <c r="P14" i="13" s="1"/>
  <c r="M13" i="13"/>
  <c r="N13" i="13"/>
  <c r="L13" i="13"/>
  <c r="P13" i="13" s="1"/>
  <c r="M12" i="13"/>
  <c r="L12" i="13"/>
  <c r="T11" i="13"/>
  <c r="M11" i="13"/>
  <c r="L10" i="13"/>
  <c r="P10" i="13" s="1"/>
  <c r="N10" i="13"/>
  <c r="M10" i="13"/>
  <c r="M9" i="13"/>
  <c r="T9" i="13"/>
  <c r="L9" i="13"/>
  <c r="T8" i="13"/>
  <c r="N8" i="13"/>
  <c r="L8" i="13"/>
  <c r="L7" i="13"/>
  <c r="N6" i="13"/>
  <c r="M5" i="13"/>
  <c r="N5" i="13"/>
  <c r="L5" i="13"/>
  <c r="P5" i="13" s="1"/>
  <c r="J4" i="13"/>
  <c r="I4" i="13"/>
  <c r="H4" i="13"/>
  <c r="E4" i="13"/>
  <c r="D4" i="13"/>
  <c r="C4" i="13"/>
  <c r="O14" i="5"/>
  <c r="Q117" i="10"/>
  <c r="P117" i="10"/>
  <c r="O117" i="10"/>
  <c r="Q116" i="10"/>
  <c r="P116" i="10"/>
  <c r="O116" i="10"/>
  <c r="Q115" i="10"/>
  <c r="P115" i="10"/>
  <c r="O115" i="10"/>
  <c r="R115" i="10" s="1"/>
  <c r="Q114" i="10"/>
  <c r="P114" i="10"/>
  <c r="O114" i="10"/>
  <c r="L30" i="15" s="1"/>
  <c r="Q113" i="10"/>
  <c r="P113" i="10"/>
  <c r="O113" i="10"/>
  <c r="Q112" i="10"/>
  <c r="P112" i="10"/>
  <c r="O112" i="10"/>
  <c r="Q111" i="10"/>
  <c r="P111" i="10"/>
  <c r="O111" i="10"/>
  <c r="Q110" i="10"/>
  <c r="P110" i="10"/>
  <c r="O110" i="10"/>
  <c r="Q109" i="10"/>
  <c r="P109" i="10"/>
  <c r="O109" i="10"/>
  <c r="Q108" i="10"/>
  <c r="P108" i="10"/>
  <c r="O108" i="10"/>
  <c r="Q107" i="10"/>
  <c r="P107" i="10"/>
  <c r="O107" i="10"/>
  <c r="Q106" i="10"/>
  <c r="P106" i="10"/>
  <c r="O106" i="10"/>
  <c r="Q105" i="10"/>
  <c r="P105" i="10"/>
  <c r="O105" i="10"/>
  <c r="Q104" i="10"/>
  <c r="P104" i="10"/>
  <c r="O104" i="10"/>
  <c r="Q103" i="10"/>
  <c r="P103" i="10"/>
  <c r="O103" i="10"/>
  <c r="I103" i="10"/>
  <c r="Q102" i="10"/>
  <c r="P102" i="10"/>
  <c r="O102" i="10"/>
  <c r="Q101" i="10"/>
  <c r="P101" i="10"/>
  <c r="O101" i="10"/>
  <c r="Q100" i="10"/>
  <c r="P100" i="10"/>
  <c r="O100" i="10"/>
  <c r="I100" i="10"/>
  <c r="Q99" i="10"/>
  <c r="P99" i="10"/>
  <c r="O99" i="10"/>
  <c r="Q98" i="10"/>
  <c r="P98" i="10"/>
  <c r="O98" i="10"/>
  <c r="Q97" i="10"/>
  <c r="P97" i="10"/>
  <c r="O97" i="10"/>
  <c r="Q96" i="10"/>
  <c r="P96" i="10"/>
  <c r="O96" i="10"/>
  <c r="Q95" i="10"/>
  <c r="I11" i="15" s="1"/>
  <c r="P95" i="10"/>
  <c r="G11" i="15" s="1"/>
  <c r="F11" i="15"/>
  <c r="Q94" i="10"/>
  <c r="P94" i="10"/>
  <c r="O94" i="10"/>
  <c r="Q93" i="10"/>
  <c r="P93" i="10"/>
  <c r="O93" i="10"/>
  <c r="R93" i="10" s="1"/>
  <c r="I93" i="10"/>
  <c r="Q92" i="10"/>
  <c r="P92" i="10"/>
  <c r="O92" i="10"/>
  <c r="Q91" i="10"/>
  <c r="I18" i="15" s="1"/>
  <c r="P91" i="10"/>
  <c r="M74" i="5" s="1"/>
  <c r="O91" i="10"/>
  <c r="M73" i="5" s="1"/>
  <c r="Q90" i="10"/>
  <c r="P90" i="10"/>
  <c r="O90" i="10"/>
  <c r="L76" i="5" s="1"/>
  <c r="AD64" i="5" s="1"/>
  <c r="I90" i="10"/>
  <c r="Q89" i="10"/>
  <c r="P89" i="10"/>
  <c r="J74" i="5" s="1"/>
  <c r="O89" i="10"/>
  <c r="J73" i="5" s="1"/>
  <c r="AB65" i="5" s="1"/>
  <c r="Q88" i="10"/>
  <c r="I17" i="15" s="1"/>
  <c r="P88" i="10"/>
  <c r="G17" i="15" s="1"/>
  <c r="O88" i="10"/>
  <c r="F17" i="15" s="1"/>
  <c r="H88" i="10"/>
  <c r="G88" i="10"/>
  <c r="F88" i="10"/>
  <c r="E88" i="10"/>
  <c r="D88" i="10"/>
  <c r="C88" i="10"/>
  <c r="B88" i="10"/>
  <c r="Q87" i="10"/>
  <c r="P87" i="10"/>
  <c r="O87" i="10"/>
  <c r="L69" i="5" s="1"/>
  <c r="AD63" i="5" s="1"/>
  <c r="Q86" i="10"/>
  <c r="P86" i="10"/>
  <c r="J67" i="5" s="1"/>
  <c r="O86" i="10"/>
  <c r="J66" i="5" s="1"/>
  <c r="AB64" i="5" s="1"/>
  <c r="Q85" i="10"/>
  <c r="I16" i="15" s="1"/>
  <c r="P85" i="10"/>
  <c r="M61" i="5" s="1"/>
  <c r="O85" i="10"/>
  <c r="F16" i="15" s="1"/>
  <c r="Q84" i="10"/>
  <c r="P84" i="10"/>
  <c r="O84" i="10"/>
  <c r="L61" i="5" s="1"/>
  <c r="AD62" i="5" s="1"/>
  <c r="Q83" i="10"/>
  <c r="P83" i="10"/>
  <c r="J60" i="5" s="1"/>
  <c r="O83" i="10"/>
  <c r="J59" i="5" s="1"/>
  <c r="AB63" i="5" s="1"/>
  <c r="Q82" i="10"/>
  <c r="I15" i="15" s="1"/>
  <c r="P82" i="10"/>
  <c r="G15" i="15" s="1"/>
  <c r="O82" i="10"/>
  <c r="M53" i="5" s="1"/>
  <c r="Q81" i="10"/>
  <c r="P81" i="10"/>
  <c r="R81" i="10" s="1"/>
  <c r="L55" i="5" s="1"/>
  <c r="AD83" i="5" s="1"/>
  <c r="O81" i="10"/>
  <c r="L54" i="5" s="1"/>
  <c r="AD61" i="5" s="1"/>
  <c r="Q80" i="10"/>
  <c r="P80" i="10"/>
  <c r="J52" i="5" s="1"/>
  <c r="O80" i="10"/>
  <c r="J51" i="5" s="1"/>
  <c r="AB62" i="5" s="1"/>
  <c r="Q79" i="10"/>
  <c r="I14" i="15" s="1"/>
  <c r="P79" i="10"/>
  <c r="G14" i="15" s="1"/>
  <c r="O79" i="10"/>
  <c r="F14" i="15" s="1"/>
  <c r="Q78" i="10"/>
  <c r="P78" i="10"/>
  <c r="R78" i="10" s="1"/>
  <c r="AD82" i="5" s="1"/>
  <c r="O78" i="10"/>
  <c r="AD60" i="5" s="1"/>
  <c r="Q77" i="10"/>
  <c r="P77" i="10"/>
  <c r="O77" i="10"/>
  <c r="Q76" i="10"/>
  <c r="I13" i="15" s="1"/>
  <c r="P76" i="10"/>
  <c r="G13" i="15" s="1"/>
  <c r="O76" i="10"/>
  <c r="F13" i="15" s="1"/>
  <c r="Q75" i="10"/>
  <c r="P75" i="10"/>
  <c r="O75" i="10"/>
  <c r="L34" i="5" s="1"/>
  <c r="AD59" i="5" s="1"/>
  <c r="Q74" i="10"/>
  <c r="P74" i="10"/>
  <c r="J32" i="5" s="1"/>
  <c r="O74" i="10"/>
  <c r="J31" i="5" s="1"/>
  <c r="AB60" i="5" s="1"/>
  <c r="Q73" i="10"/>
  <c r="I19" i="15" s="1"/>
  <c r="P73" i="10"/>
  <c r="G19" i="15" s="1"/>
  <c r="O73" i="10"/>
  <c r="F19" i="15" s="1"/>
  <c r="Q72" i="10"/>
  <c r="P72" i="10"/>
  <c r="O72" i="10"/>
  <c r="L24" i="5" s="1"/>
  <c r="AD58" i="5" s="1"/>
  <c r="Q71" i="10"/>
  <c r="P71" i="10"/>
  <c r="J22" i="5" s="1"/>
  <c r="O71" i="10"/>
  <c r="J21" i="5" s="1"/>
  <c r="AB59" i="5" s="1"/>
  <c r="Q70" i="10"/>
  <c r="I12" i="15" s="1"/>
  <c r="P70" i="10"/>
  <c r="O70" i="10"/>
  <c r="F12" i="15" s="1"/>
  <c r="Q69" i="10"/>
  <c r="P69" i="10"/>
  <c r="R69" i="10" s="1"/>
  <c r="L13" i="5" s="1"/>
  <c r="AD79" i="5" s="1"/>
  <c r="O69" i="10"/>
  <c r="L12" i="5" s="1"/>
  <c r="AD57" i="5" s="1"/>
  <c r="Q68" i="10"/>
  <c r="P68" i="10"/>
  <c r="J10" i="5" s="1"/>
  <c r="O68" i="10"/>
  <c r="J9" i="5" s="1"/>
  <c r="AB58" i="5" s="1"/>
  <c r="AP2" i="10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AO2" i="10"/>
  <c r="N12" i="15" l="1"/>
  <c r="F31" i="15"/>
  <c r="H11" i="15"/>
  <c r="R77" i="10"/>
  <c r="R104" i="10"/>
  <c r="M4" i="13"/>
  <c r="T4" i="13"/>
  <c r="R73" i="10"/>
  <c r="M25" i="5" s="1"/>
  <c r="G94" i="10"/>
  <c r="D104" i="10"/>
  <c r="R70" i="10"/>
  <c r="M13" i="5" s="1"/>
  <c r="R75" i="10"/>
  <c r="L35" i="5" s="1"/>
  <c r="AD81" i="5" s="1"/>
  <c r="R111" i="10"/>
  <c r="B104" i="10"/>
  <c r="AB57" i="5"/>
  <c r="M23" i="5"/>
  <c r="M60" i="5"/>
  <c r="R42" i="13"/>
  <c r="R71" i="10"/>
  <c r="J23" i="5" s="1"/>
  <c r="AB81" i="5" s="1"/>
  <c r="H19" i="15"/>
  <c r="R79" i="10"/>
  <c r="R84" i="10"/>
  <c r="L62" i="5" s="1"/>
  <c r="AD84" i="5" s="1"/>
  <c r="R87" i="10"/>
  <c r="L70" i="5" s="1"/>
  <c r="AD85" i="5" s="1"/>
  <c r="H17" i="15"/>
  <c r="R90" i="10"/>
  <c r="L77" i="5" s="1"/>
  <c r="AD86" i="5" s="1"/>
  <c r="R108" i="10"/>
  <c r="M33" i="5"/>
  <c r="M67" i="5"/>
  <c r="H14" i="15"/>
  <c r="R85" i="10"/>
  <c r="M62" i="5" s="1"/>
  <c r="G104" i="10"/>
  <c r="T49" i="5"/>
  <c r="R116" i="10"/>
  <c r="M11" i="5"/>
  <c r="G18" i="15"/>
  <c r="R72" i="10"/>
  <c r="L25" i="5" s="1"/>
  <c r="AD80" i="5" s="1"/>
  <c r="R83" i="10"/>
  <c r="J61" i="5" s="1"/>
  <c r="AB85" i="5" s="1"/>
  <c r="R100" i="10"/>
  <c r="R117" i="10"/>
  <c r="R48" i="13"/>
  <c r="R30" i="13"/>
  <c r="R46" i="13"/>
  <c r="R10" i="13"/>
  <c r="R26" i="13"/>
  <c r="Q42" i="13"/>
  <c r="P42" i="13"/>
  <c r="R13" i="13"/>
  <c r="R21" i="13"/>
  <c r="R29" i="13"/>
  <c r="R5" i="13"/>
  <c r="T5" i="13"/>
  <c r="T6" i="13"/>
  <c r="M8" i="13"/>
  <c r="R8" i="13" s="1"/>
  <c r="L17" i="13"/>
  <c r="T21" i="13"/>
  <c r="T22" i="13"/>
  <c r="M24" i="13"/>
  <c r="R24" i="13" s="1"/>
  <c r="N34" i="13"/>
  <c r="R34" i="13" s="1"/>
  <c r="N35" i="13"/>
  <c r="R35" i="13" s="1"/>
  <c r="L38" i="13"/>
  <c r="P38" i="13" s="1"/>
  <c r="T39" i="13"/>
  <c r="T42" i="13"/>
  <c r="T44" i="13"/>
  <c r="M47" i="13"/>
  <c r="Q47" i="13" s="1"/>
  <c r="N49" i="13"/>
  <c r="Q26" i="13"/>
  <c r="P26" i="13"/>
  <c r="E74" i="13"/>
  <c r="E75" i="13" s="1"/>
  <c r="T50" i="13"/>
  <c r="T52" i="13"/>
  <c r="Q8" i="13"/>
  <c r="M7" i="13"/>
  <c r="Q7" i="13" s="1"/>
  <c r="N9" i="13"/>
  <c r="R9" i="13" s="1"/>
  <c r="L11" i="13"/>
  <c r="P11" i="13" s="1"/>
  <c r="N14" i="13"/>
  <c r="R14" i="13" s="1"/>
  <c r="T18" i="13"/>
  <c r="T19" i="13"/>
  <c r="M23" i="13"/>
  <c r="Q23" i="13" s="1"/>
  <c r="N25" i="13"/>
  <c r="R25" i="13" s="1"/>
  <c r="L27" i="13"/>
  <c r="P27" i="13" s="1"/>
  <c r="M31" i="13"/>
  <c r="Q31" i="13" s="1"/>
  <c r="L33" i="13"/>
  <c r="T36" i="13"/>
  <c r="T37" i="13"/>
  <c r="T38" i="13"/>
  <c r="M40" i="13"/>
  <c r="R40" i="13" s="1"/>
  <c r="T41" i="13"/>
  <c r="T49" i="13"/>
  <c r="T32" i="13"/>
  <c r="M33" i="13"/>
  <c r="R33" i="13" s="1"/>
  <c r="T34" i="13"/>
  <c r="T35" i="13"/>
  <c r="R36" i="13"/>
  <c r="R37" i="13"/>
  <c r="R45" i="13"/>
  <c r="R17" i="13"/>
  <c r="L4" i="13"/>
  <c r="Q4" i="13" s="1"/>
  <c r="M6" i="13"/>
  <c r="R6" i="13" s="1"/>
  <c r="N11" i="13"/>
  <c r="T13" i="13"/>
  <c r="T15" i="13"/>
  <c r="L20" i="13"/>
  <c r="Q20" i="13" s="1"/>
  <c r="M22" i="13"/>
  <c r="R22" i="13" s="1"/>
  <c r="N27" i="13"/>
  <c r="R27" i="13" s="1"/>
  <c r="M39" i="13"/>
  <c r="Q39" i="13" s="1"/>
  <c r="N41" i="13"/>
  <c r="R41" i="13" s="1"/>
  <c r="L43" i="13"/>
  <c r="I71" i="13"/>
  <c r="T47" i="13"/>
  <c r="L51" i="13"/>
  <c r="P51" i="13" s="1"/>
  <c r="L52" i="13"/>
  <c r="Q52" i="13" s="1"/>
  <c r="H71" i="13"/>
  <c r="H74" i="13" s="1"/>
  <c r="T33" i="13"/>
  <c r="F74" i="13"/>
  <c r="T46" i="13"/>
  <c r="L48" i="13"/>
  <c r="M50" i="13"/>
  <c r="Q50" i="13" s="1"/>
  <c r="M51" i="13"/>
  <c r="Q51" i="13" s="1"/>
  <c r="R28" i="13"/>
  <c r="L6" i="13"/>
  <c r="T7" i="13"/>
  <c r="T10" i="13"/>
  <c r="T12" i="13"/>
  <c r="M18" i="13"/>
  <c r="R18" i="13" s="1"/>
  <c r="M19" i="13"/>
  <c r="R19" i="13" s="1"/>
  <c r="L22" i="13"/>
  <c r="T23" i="13"/>
  <c r="T26" i="13"/>
  <c r="T28" i="13"/>
  <c r="T29" i="13"/>
  <c r="T31" i="13"/>
  <c r="C81" i="13"/>
  <c r="L35" i="13"/>
  <c r="P35" i="13" s="1"/>
  <c r="M38" i="13"/>
  <c r="R38" i="13" s="1"/>
  <c r="F78" i="13"/>
  <c r="F81" i="13" s="1"/>
  <c r="T45" i="13"/>
  <c r="N50" i="13"/>
  <c r="N51" i="13"/>
  <c r="Q34" i="13"/>
  <c r="H13" i="15"/>
  <c r="P7" i="13"/>
  <c r="P23" i="13"/>
  <c r="P31" i="13"/>
  <c r="P49" i="13"/>
  <c r="P47" i="13"/>
  <c r="Q17" i="13"/>
  <c r="P17" i="13"/>
  <c r="Q33" i="13"/>
  <c r="P33" i="13"/>
  <c r="P39" i="13"/>
  <c r="C94" i="10"/>
  <c r="C104" i="10"/>
  <c r="Q18" i="13"/>
  <c r="P22" i="13"/>
  <c r="Q13" i="13"/>
  <c r="R101" i="10"/>
  <c r="E104" i="10"/>
  <c r="Q14" i="13"/>
  <c r="L15" i="13"/>
  <c r="Q30" i="13"/>
  <c r="Q46" i="13"/>
  <c r="R92" i="10"/>
  <c r="F104" i="10"/>
  <c r="R113" i="10"/>
  <c r="AF79" i="5" s="1"/>
  <c r="N4" i="13"/>
  <c r="R4" i="13" s="1"/>
  <c r="N15" i="13"/>
  <c r="N20" i="13"/>
  <c r="R20" i="13" s="1"/>
  <c r="N31" i="13"/>
  <c r="N47" i="13"/>
  <c r="N52" i="13"/>
  <c r="R52" i="13" s="1"/>
  <c r="F15" i="15"/>
  <c r="H15" i="15" s="1"/>
  <c r="L31" i="15"/>
  <c r="R106" i="10"/>
  <c r="R88" i="10"/>
  <c r="M68" i="5" s="1"/>
  <c r="H104" i="10"/>
  <c r="M30" i="15"/>
  <c r="M31" i="15" s="1"/>
  <c r="R114" i="10"/>
  <c r="Q5" i="13"/>
  <c r="N19" i="5"/>
  <c r="N20" i="5" s="1"/>
  <c r="M15" i="13"/>
  <c r="R15" i="13" s="1"/>
  <c r="Q21" i="13"/>
  <c r="Q37" i="13"/>
  <c r="G16" i="15"/>
  <c r="H16" i="15" s="1"/>
  <c r="Q29" i="13"/>
  <c r="Q45" i="13"/>
  <c r="R94" i="10"/>
  <c r="R98" i="10"/>
  <c r="R103" i="10"/>
  <c r="R68" i="10"/>
  <c r="J11" i="5" s="1"/>
  <c r="AB80" i="5" s="1"/>
  <c r="R74" i="10"/>
  <c r="J33" i="5" s="1"/>
  <c r="AB82" i="5" s="1"/>
  <c r="R76" i="10"/>
  <c r="M35" i="5" s="1"/>
  <c r="R80" i="10"/>
  <c r="J53" i="5" s="1"/>
  <c r="R82" i="10"/>
  <c r="M55" i="5" s="1"/>
  <c r="R86" i="10"/>
  <c r="J68" i="5" s="1"/>
  <c r="AB86" i="5" s="1"/>
  <c r="R107" i="10"/>
  <c r="R112" i="10"/>
  <c r="M34" i="5"/>
  <c r="Q10" i="13"/>
  <c r="M16" i="13"/>
  <c r="R16" i="13" s="1"/>
  <c r="M32" i="13"/>
  <c r="R32" i="13" s="1"/>
  <c r="M49" i="13"/>
  <c r="H34" i="15"/>
  <c r="H35" i="15" s="1"/>
  <c r="Q9" i="13"/>
  <c r="P9" i="13"/>
  <c r="Q41" i="13"/>
  <c r="P41" i="13"/>
  <c r="F94" i="10"/>
  <c r="G12" i="15"/>
  <c r="H12" i="15" s="1"/>
  <c r="M12" i="5"/>
  <c r="R96" i="10"/>
  <c r="P20" i="13"/>
  <c r="P52" i="13"/>
  <c r="R109" i="10"/>
  <c r="H94" i="10"/>
  <c r="R91" i="10"/>
  <c r="M75" i="5" s="1"/>
  <c r="R99" i="10"/>
  <c r="R102" i="10"/>
  <c r="R105" i="10"/>
  <c r="R110" i="10"/>
  <c r="O13" i="5"/>
  <c r="O15" i="5" s="1"/>
  <c r="M66" i="5"/>
  <c r="N7" i="13"/>
  <c r="R7" i="13" s="1"/>
  <c r="N12" i="13"/>
  <c r="R12" i="13" s="1"/>
  <c r="N23" i="13"/>
  <c r="R23" i="13" s="1"/>
  <c r="N39" i="13"/>
  <c r="N44" i="13"/>
  <c r="R44" i="13" s="1"/>
  <c r="Y15" i="5"/>
  <c r="Y33" i="5" s="1"/>
  <c r="Q25" i="13"/>
  <c r="P25" i="13"/>
  <c r="Q36" i="13"/>
  <c r="P36" i="13"/>
  <c r="R89" i="10"/>
  <c r="J75" i="5" s="1"/>
  <c r="AB87" i="5" s="1"/>
  <c r="R95" i="10"/>
  <c r="AB79" i="5" s="1"/>
  <c r="R97" i="10"/>
  <c r="AF57" i="5"/>
  <c r="M24" i="5"/>
  <c r="M54" i="5"/>
  <c r="P8" i="13"/>
  <c r="R11" i="13"/>
  <c r="Q12" i="13"/>
  <c r="P12" i="13"/>
  <c r="P24" i="13"/>
  <c r="Q28" i="13"/>
  <c r="P28" i="13"/>
  <c r="P40" i="13"/>
  <c r="R43" i="13"/>
  <c r="Q44" i="13"/>
  <c r="P44" i="13"/>
  <c r="F18" i="15"/>
  <c r="N11" i="15" l="1"/>
  <c r="H18" i="15"/>
  <c r="P4" i="13"/>
  <c r="R47" i="13"/>
  <c r="J63" i="5"/>
  <c r="R49" i="13"/>
  <c r="B94" i="10"/>
  <c r="R31" i="13"/>
  <c r="Q6" i="13"/>
  <c r="I104" i="10"/>
  <c r="L40" i="15" s="1"/>
  <c r="Q19" i="13"/>
  <c r="I105" i="10"/>
  <c r="C40" i="15" s="1"/>
  <c r="D81" i="13"/>
  <c r="D82" i="13" s="1"/>
  <c r="E81" i="13"/>
  <c r="E82" i="13" s="1"/>
  <c r="Q22" i="13"/>
  <c r="Q40" i="13"/>
  <c r="R50" i="13"/>
  <c r="Q38" i="13"/>
  <c r="R39" i="13"/>
  <c r="Q16" i="13"/>
  <c r="F75" i="13"/>
  <c r="Q24" i="13"/>
  <c r="H78" i="13"/>
  <c r="H81" i="13" s="1"/>
  <c r="F82" i="13"/>
  <c r="R51" i="13"/>
  <c r="H75" i="13"/>
  <c r="C75" i="13"/>
  <c r="I74" i="13"/>
  <c r="I75" i="13" s="1"/>
  <c r="C82" i="13"/>
  <c r="Q48" i="13"/>
  <c r="P48" i="13"/>
  <c r="Q43" i="13"/>
  <c r="P43" i="13"/>
  <c r="P6" i="13"/>
  <c r="I78" i="13"/>
  <c r="Q35" i="13"/>
  <c r="Q27" i="13"/>
  <c r="Q11" i="13"/>
  <c r="N30" i="15"/>
  <c r="N31" i="15" s="1"/>
  <c r="Q49" i="13"/>
  <c r="D94" i="10"/>
  <c r="AB84" i="5"/>
  <c r="J55" i="5"/>
  <c r="Q15" i="13"/>
  <c r="P15" i="13"/>
  <c r="E94" i="10"/>
  <c r="Q32" i="13"/>
  <c r="AF58" i="5"/>
  <c r="AF71" i="5" s="1"/>
  <c r="Y16" i="5"/>
  <c r="I94" i="10" l="1"/>
  <c r="H40" i="15" s="1"/>
  <c r="H82" i="13"/>
  <c r="I81" i="13"/>
  <c r="J81" i="13" s="1"/>
  <c r="D74" i="13"/>
  <c r="J74" i="13" s="1"/>
  <c r="Y17" i="5"/>
  <c r="AF80" i="5" s="1"/>
  <c r="AF93" i="5" s="1"/>
  <c r="AE95" i="5" s="1"/>
  <c r="D75" i="13" l="1"/>
  <c r="J75" i="13" s="1"/>
  <c r="I82" i="13"/>
  <c r="J82" i="13" s="1"/>
</calcChain>
</file>

<file path=xl/sharedStrings.xml><?xml version="1.0" encoding="utf-8"?>
<sst xmlns="http://schemas.openxmlformats.org/spreadsheetml/2006/main" count="377" uniqueCount="151">
  <si>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</si>
  <si>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</si>
  <si>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</si>
  <si>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</si>
  <si>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</si>
  <si>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</si>
  <si>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</si>
  <si>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</si>
  <si>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</si>
  <si>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</si>
  <si>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</si>
  <si>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</si>
  <si>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</si>
  <si>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</si>
  <si>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</si>
  <si>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</si>
  <si>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</si>
  <si>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</si>
  <si>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</si>
  <si>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</si>
  <si>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</si>
  <si>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</si>
  <si>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</si>
  <si>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</si>
  <si>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</si>
  <si>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</si>
  <si>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</si>
  <si>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</si>
  <si>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</si>
  <si>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</si>
  <si>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</si>
  <si>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</si>
  <si>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</si>
  <si>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</si>
  <si>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</si>
  <si>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</si>
  <si>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</si>
  <si>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</si>
  <si>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</si>
  <si>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</si>
  <si>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</si>
  <si>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</si>
  <si>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</si>
  <si>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</si>
  <si>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</si>
  <si>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</si>
  <si>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</si>
  <si>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</si>
  <si>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</si>
  <si>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</si>
  <si>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</si>
  <si>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</si>
  <si>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</si>
  <si>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</si>
  <si>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</si>
  <si>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</si>
  <si>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</si>
  <si>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</si>
  <si>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</si>
  <si>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</si>
  <si>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</si>
  <si>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</si>
  <si>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</si>
  <si>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</si>
  <si>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</si>
  <si>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</si>
  <si>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</si>
  <si>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</si>
  <si>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</si>
  <si>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</si>
  <si>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</si>
  <si>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</si>
  <si>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</si>
  <si>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</si>
  <si>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</si>
  <si>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</si>
  <si>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</si>
  <si>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</si>
  <si>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</si>
  <si>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</si>
  <si>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</si>
  <si>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</si>
  <si>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</si>
  <si>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</si>
  <si>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</si>
  <si>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</si>
  <si>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</si>
  <si>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</si>
  <si>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</si>
  <si>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</si>
  <si>
    <t>Recepción Repulpeo</t>
  </si>
  <si>
    <t>Recepción Hnos araya</t>
  </si>
  <si>
    <t>Delta Stock Repulpeo</t>
  </si>
  <si>
    <t>Delta Stock Hnos Araya</t>
  </si>
  <si>
    <t>Delta Invent Cancha/Repulpeo</t>
  </si>
  <si>
    <t>Flujos</t>
  </si>
  <si>
    <t>Ley FeT</t>
  </si>
  <si>
    <t>Ley FeMag</t>
  </si>
  <si>
    <t>Mediciones</t>
  </si>
  <si>
    <t>Balance</t>
  </si>
  <si>
    <t>Max Var Ton</t>
  </si>
  <si>
    <t>TMSD</t>
  </si>
  <si>
    <t>%Fe T</t>
  </si>
  <si>
    <t>Max Var  FeT</t>
  </si>
  <si>
    <t>Max Var  FeMag</t>
  </si>
  <si>
    <t>% Cambio relativo</t>
  </si>
  <si>
    <t>Alim Repulpeo</t>
  </si>
  <si>
    <t>Alim Hnos Araya</t>
  </si>
  <si>
    <t>FeMag &lt; FeT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</si>
  <si>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</si>
  <si>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%Fe M</t>
  </si>
  <si>
    <t>Alim Ferro</t>
  </si>
  <si>
    <t xml:space="preserve">Alimentación </t>
  </si>
  <si>
    <t xml:space="preserve">Concentrado </t>
  </si>
  <si>
    <t>R1</t>
  </si>
  <si>
    <t>R2</t>
  </si>
  <si>
    <t>Hidro</t>
  </si>
  <si>
    <t>Finisher</t>
  </si>
  <si>
    <t>Esp. Concentrado</t>
  </si>
  <si>
    <t>Rp</t>
  </si>
  <si>
    <t>Rm</t>
  </si>
  <si>
    <t>Rmm</t>
  </si>
  <si>
    <t>Fe total (%)</t>
  </si>
  <si>
    <t>Total (Planta)</t>
  </si>
  <si>
    <t>Fe Magnético (%)</t>
  </si>
  <si>
    <t>Flot Neumática</t>
  </si>
  <si>
    <t>Flot. Magnética</t>
  </si>
  <si>
    <t>Recepción 1</t>
  </si>
  <si>
    <t>Delta Stock 1</t>
  </si>
  <si>
    <t>Alim 1</t>
  </si>
  <si>
    <t>Recepción 2</t>
  </si>
  <si>
    <t>Delta Stock 2</t>
  </si>
  <si>
    <t>Alim 2</t>
  </si>
  <si>
    <t>Recepción 3</t>
  </si>
  <si>
    <t>Delta Stock 3</t>
  </si>
  <si>
    <t>Alim 3</t>
  </si>
  <si>
    <t>Recepción 4</t>
  </si>
  <si>
    <t>Delta Stock 4</t>
  </si>
  <si>
    <t>Alim 4</t>
  </si>
  <si>
    <t>T2</t>
  </si>
  <si>
    <t>T3</t>
  </si>
  <si>
    <t>T4</t>
  </si>
  <si>
    <t>T1</t>
  </si>
  <si>
    <t>Delta T1</t>
  </si>
  <si>
    <t>Delta T2</t>
  </si>
  <si>
    <t>Delta T3</t>
  </si>
  <si>
    <t>Delta T4</t>
  </si>
  <si>
    <t>Alim Terceros 1</t>
  </si>
  <si>
    <t>Alim Terceros 2</t>
  </si>
  <si>
    <t>Alim Terceros 3</t>
  </si>
  <si>
    <t>Alim Terceros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</si>
</sst>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</numFmts>
  <fonts count="4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  <font>
      <sz val="11"/>
      <color theme="1" tint="0.499984740745262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E7E6E6"/>
      <name val="Calibri"/>
      <family val="2"/>
      <scheme val="minor"/>
    </font>
    <font>
      <sz val="11"/>
      <color theme="2" tint="-9.9978637043366805E-2"/>
      <name val="Calibri (Body)"/>
    </font>
    <font>
      <sz val="11"/>
      <color theme="2" tint="-9.9978637043366805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19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2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10" fontId="2" fillId="0" borderId="0" xfId="0" applyNumberFormat="1" applyFont="1"/>
    <xf numFmtId="3" fontId="4" fillId="0" borderId="0" xfId="0" applyNumberFormat="1" applyFont="1"/>
    <xf numFmtId="9" fontId="4" fillId="0" borderId="0" xfId="0" applyNumberFormat="1" applyFont="1"/>
    <xf numFmtId="0" fontId="13" fillId="0" borderId="0" xfId="0" applyFont="1"/>
    <xf numFmtId="0" fontId="0" fillId="0" borderId="0" xfId="0" applyAlignment="1">
      <alignment wrapText="1"/>
    </xf>
    <xf numFmtId="10" fontId="4" fillId="0" borderId="0" xfId="0" applyNumberFormat="1" applyFont="1"/>
    <xf numFmtId="0" fontId="0" fillId="0" borderId="0" xfId="0" quotePrefix="1"/>
    <xf numFmtId="0" fontId="13" fillId="0" borderId="0" xfId="0" applyFont="1" applyAlignment="1">
      <alignment wrapText="1"/>
    </xf>
    <xf numFmtId="0" fontId="0" fillId="0" borderId="0" xfId="1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166" fontId="14" fillId="0" borderId="49" xfId="2" applyNumberFormat="1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15" fillId="4" borderId="8" xfId="3" applyFont="1" applyFill="1" applyBorder="1" applyAlignment="1">
      <alignment horizontal="center" vertical="center"/>
    </xf>
    <xf numFmtId="168" fontId="15" fillId="6" borderId="8" xfId="2" applyNumberFormat="1" applyFont="1" applyFill="1" applyBorder="1" applyAlignment="1">
      <alignment horizontal="center"/>
    </xf>
    <xf numFmtId="0" fontId="15" fillId="4" borderId="0" xfId="3" applyFont="1" applyFill="1"/>
    <xf numFmtId="14" fontId="15" fillId="4" borderId="0" xfId="3" applyNumberFormat="1" applyFont="1" applyFill="1"/>
    <xf numFmtId="0" fontId="15" fillId="4" borderId="0" xfId="3" applyFont="1" applyFill="1" applyAlignment="1">
      <alignment horizontal="center" vertical="center"/>
    </xf>
    <xf numFmtId="0" fontId="15" fillId="0" borderId="0" xfId="3" applyFont="1"/>
    <xf numFmtId="0" fontId="19" fillId="4" borderId="14" xfId="3" applyFont="1" applyFill="1" applyBorder="1" applyAlignment="1">
      <alignment horizontal="center" vertical="center"/>
    </xf>
    <xf numFmtId="0" fontId="19" fillId="4" borderId="15" xfId="3" applyFont="1" applyFill="1" applyBorder="1" applyAlignment="1">
      <alignment horizontal="center" vertical="center"/>
    </xf>
    <xf numFmtId="0" fontId="19" fillId="4" borderId="19" xfId="3" applyFont="1" applyFill="1" applyBorder="1" applyAlignment="1">
      <alignment horizontal="center" vertical="center"/>
    </xf>
    <xf numFmtId="0" fontId="19" fillId="4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6" borderId="14" xfId="2" applyNumberFormat="1" applyFont="1" applyFill="1" applyBorder="1" applyAlignment="1">
      <alignment horizontal="center" vertical="center"/>
    </xf>
    <xf numFmtId="10" fontId="18" fillId="6" borderId="14" xfId="4" applyNumberFormat="1" applyFont="1" applyFill="1" applyBorder="1" applyAlignment="1">
      <alignment horizontal="center" vertical="center"/>
    </xf>
    <xf numFmtId="168" fontId="18" fillId="6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18" fillId="0" borderId="31" xfId="0" applyFont="1" applyBorder="1" applyAlignment="1">
      <alignment horizontal="left" vertical="center"/>
    </xf>
    <xf numFmtId="3" fontId="18" fillId="6" borderId="1" xfId="2" applyNumberFormat="1" applyFont="1" applyFill="1" applyBorder="1" applyAlignment="1">
      <alignment horizontal="center" vertical="center"/>
    </xf>
    <xf numFmtId="10" fontId="18" fillId="6" borderId="1" xfId="4" applyNumberFormat="1" applyFont="1" applyFill="1" applyBorder="1" applyAlignment="1">
      <alignment horizontal="center" vertical="center"/>
    </xf>
    <xf numFmtId="168" fontId="18" fillId="6" borderId="17" xfId="2" applyNumberFormat="1" applyFont="1" applyFill="1" applyBorder="1" applyAlignment="1">
      <alignment horizontal="center" vertical="center"/>
    </xf>
    <xf numFmtId="168" fontId="19" fillId="8" borderId="38" xfId="3" applyNumberFormat="1" applyFont="1" applyFill="1" applyBorder="1" applyAlignment="1">
      <alignment horizontal="center" vertical="center" wrapText="1"/>
    </xf>
    <xf numFmtId="10" fontId="19" fillId="8" borderId="38" xfId="4" applyNumberFormat="1" applyFont="1" applyFill="1" applyBorder="1" applyAlignment="1">
      <alignment horizontal="center" vertical="center"/>
    </xf>
    <xf numFmtId="168" fontId="19" fillId="8" borderId="39" xfId="3" applyNumberFormat="1" applyFont="1" applyFill="1" applyBorder="1" applyAlignment="1">
      <alignment horizontal="center" vertical="center" wrapText="1"/>
    </xf>
    <xf numFmtId="1" fontId="19" fillId="8" borderId="40" xfId="3" applyNumberFormat="1" applyFont="1" applyFill="1" applyBorder="1" applyAlignment="1">
      <alignment horizontal="center" vertical="center" wrapText="1"/>
    </xf>
    <xf numFmtId="168" fontId="21" fillId="8" borderId="43" xfId="3" applyNumberFormat="1" applyFont="1" applyFill="1" applyBorder="1" applyAlignment="1">
      <alignment horizontal="center" vertical="center" wrapText="1"/>
    </xf>
    <xf numFmtId="10" fontId="21" fillId="8" borderId="43" xfId="4" applyNumberFormat="1" applyFont="1" applyFill="1" applyBorder="1" applyAlignment="1">
      <alignment horizontal="center" vertical="center" wrapText="1"/>
    </xf>
    <xf numFmtId="168" fontId="21" fillId="8" borderId="44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6" borderId="1" xfId="2" applyNumberFormat="1" applyFont="1" applyFill="1" applyBorder="1" applyAlignment="1">
      <alignment horizontal="center" vertical="center"/>
    </xf>
    <xf numFmtId="168" fontId="22" fillId="8" borderId="38" xfId="3" applyNumberFormat="1" applyFont="1" applyFill="1" applyBorder="1" applyAlignment="1">
      <alignment horizontal="center" vertical="center" wrapText="1"/>
    </xf>
    <xf numFmtId="10" fontId="22" fillId="8" borderId="38" xfId="3" applyNumberFormat="1" applyFont="1" applyFill="1" applyBorder="1" applyAlignment="1">
      <alignment horizontal="center" vertical="center" wrapText="1"/>
    </xf>
    <xf numFmtId="168" fontId="19" fillId="8" borderId="38" xfId="2" applyNumberFormat="1" applyFont="1" applyFill="1" applyBorder="1" applyAlignment="1">
      <alignment horizontal="center" vertical="center"/>
    </xf>
    <xf numFmtId="168" fontId="19" fillId="8" borderId="47" xfId="2" applyNumberFormat="1" applyFont="1" applyFill="1" applyBorder="1" applyAlignment="1">
      <alignment horizontal="center" vertical="center"/>
    </xf>
    <xf numFmtId="0" fontId="19" fillId="0" borderId="50" xfId="3" applyFont="1" applyBorder="1" applyAlignment="1">
      <alignment horizontal="left" vertical="center"/>
    </xf>
    <xf numFmtId="168" fontId="20" fillId="0" borderId="50" xfId="2" applyNumberFormat="1" applyFont="1" applyFill="1" applyBorder="1" applyAlignment="1">
      <alignment horizontal="center" vertical="center"/>
    </xf>
    <xf numFmtId="169" fontId="21" fillId="0" borderId="50" xfId="2" applyNumberFormat="1" applyFont="1" applyFill="1" applyBorder="1" applyAlignment="1">
      <alignment horizontal="center" vertical="center"/>
    </xf>
    <xf numFmtId="168" fontId="21" fillId="0" borderId="51" xfId="2" applyNumberFormat="1" applyFont="1" applyFill="1" applyBorder="1" applyAlignment="1">
      <alignment horizontal="center" vertical="center"/>
    </xf>
    <xf numFmtId="0" fontId="20" fillId="7" borderId="47" xfId="3" applyFont="1" applyFill="1" applyBorder="1" applyAlignment="1">
      <alignment horizontal="center" vertical="center"/>
    </xf>
    <xf numFmtId="0" fontId="20" fillId="7" borderId="46" xfId="3" applyFont="1" applyFill="1" applyBorder="1" applyAlignment="1">
      <alignment horizontal="center" vertical="center"/>
    </xf>
    <xf numFmtId="0" fontId="20" fillId="7" borderId="40" xfId="3" applyFont="1" applyFill="1" applyBorder="1" applyAlignment="1">
      <alignment horizontal="center" vertical="center"/>
    </xf>
    <xf numFmtId="0" fontId="20" fillId="0" borderId="52" xfId="3" applyFont="1" applyBorder="1" applyAlignment="1">
      <alignment horizontal="center" vertical="center"/>
    </xf>
    <xf numFmtId="0" fontId="21" fillId="0" borderId="49" xfId="3" applyFont="1" applyBorder="1" applyAlignment="1">
      <alignment vertical="center"/>
    </xf>
    <xf numFmtId="0" fontId="20" fillId="0" borderId="49" xfId="3" applyFont="1" applyBorder="1" applyAlignment="1">
      <alignment vertical="center"/>
    </xf>
    <xf numFmtId="0" fontId="21" fillId="0" borderId="53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6" borderId="48" xfId="0" applyNumberFormat="1" applyFont="1" applyFill="1" applyBorder="1" applyAlignment="1">
      <alignment horizontal="center" vertical="center"/>
    </xf>
    <xf numFmtId="168" fontId="18" fillId="0" borderId="52" xfId="2" applyNumberFormat="1" applyFont="1" applyFill="1" applyBorder="1" applyAlignment="1">
      <alignment horizontal="center" vertical="center"/>
    </xf>
    <xf numFmtId="170" fontId="14" fillId="0" borderId="49" xfId="0" applyNumberFormat="1" applyFont="1" applyBorder="1" applyAlignment="1">
      <alignment horizontal="center" vertical="center"/>
    </xf>
    <xf numFmtId="166" fontId="23" fillId="0" borderId="49" xfId="2" applyNumberFormat="1" applyFont="1" applyFill="1" applyBorder="1" applyAlignment="1">
      <alignment horizontal="center" vertical="center"/>
    </xf>
    <xf numFmtId="168" fontId="14" fillId="0" borderId="53" xfId="2" applyNumberFormat="1" applyFont="1" applyFill="1" applyBorder="1" applyAlignment="1">
      <alignment horizontal="center" vertical="center"/>
    </xf>
    <xf numFmtId="168" fontId="22" fillId="8" borderId="47" xfId="2" applyNumberFormat="1" applyFont="1" applyFill="1" applyBorder="1" applyAlignment="1">
      <alignment horizontal="center" vertical="center"/>
    </xf>
    <xf numFmtId="168" fontId="22" fillId="8" borderId="37" xfId="2" applyNumberFormat="1" applyFont="1" applyFill="1" applyBorder="1" applyAlignment="1">
      <alignment horizontal="center" vertical="center"/>
    </xf>
    <xf numFmtId="168" fontId="19" fillId="0" borderId="52" xfId="2" applyNumberFormat="1" applyFont="1" applyFill="1" applyBorder="1" applyAlignment="1">
      <alignment horizontal="center" vertical="center"/>
    </xf>
    <xf numFmtId="168" fontId="21" fillId="0" borderId="49" xfId="2" applyNumberFormat="1" applyFont="1" applyFill="1" applyBorder="1" applyAlignment="1">
      <alignment horizontal="center" vertical="center"/>
    </xf>
    <xf numFmtId="169" fontId="21" fillId="0" borderId="49" xfId="2" applyNumberFormat="1" applyFont="1" applyFill="1" applyBorder="1" applyAlignment="1">
      <alignment horizontal="center" vertical="center"/>
    </xf>
    <xf numFmtId="168" fontId="21" fillId="0" borderId="53" xfId="2" applyNumberFormat="1" applyFont="1" applyFill="1" applyBorder="1" applyAlignment="1">
      <alignment horizontal="center" vertical="center"/>
    </xf>
    <xf numFmtId="3" fontId="24" fillId="0" borderId="54" xfId="3" applyNumberFormat="1" applyFont="1" applyBorder="1" applyAlignment="1">
      <alignment horizontal="right" vertical="center"/>
    </xf>
    <xf numFmtId="0" fontId="15" fillId="0" borderId="54" xfId="3" applyFont="1" applyBorder="1"/>
    <xf numFmtId="171" fontId="24" fillId="0" borderId="54" xfId="3" applyNumberFormat="1" applyFont="1" applyBorder="1" applyAlignment="1">
      <alignment horizontal="center" vertical="center"/>
    </xf>
    <xf numFmtId="0" fontId="15" fillId="0" borderId="55" xfId="3" applyFont="1" applyBorder="1"/>
    <xf numFmtId="168" fontId="15" fillId="6" borderId="0" xfId="2" applyNumberFormat="1" applyFont="1" applyFill="1" applyBorder="1" applyAlignment="1">
      <alignment horizontal="center"/>
    </xf>
    <xf numFmtId="168" fontId="15" fillId="6" borderId="10" xfId="2" applyNumberFormat="1" applyFont="1" applyFill="1" applyBorder="1" applyAlignment="1">
      <alignment horizontal="center"/>
    </xf>
    <xf numFmtId="168" fontId="15" fillId="6" borderId="11" xfId="2" applyNumberFormat="1" applyFont="1" applyFill="1" applyBorder="1" applyAlignment="1">
      <alignment horizontal="center"/>
    </xf>
    <xf numFmtId="168" fontId="15" fillId="6" borderId="12" xfId="2" applyNumberFormat="1" applyFont="1" applyFill="1" applyBorder="1" applyAlignment="1">
      <alignment horizontal="center"/>
    </xf>
    <xf numFmtId="168" fontId="15" fillId="6" borderId="9" xfId="2" applyNumberFormat="1" applyFont="1" applyFill="1" applyBorder="1" applyAlignment="1">
      <alignment horizontal="center"/>
    </xf>
    <xf numFmtId="168" fontId="15" fillId="6" borderId="7" xfId="2" applyNumberFormat="1" applyFont="1" applyFill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7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9" fillId="0" borderId="0" xfId="0" applyFont="1"/>
    <xf numFmtId="0" fontId="27" fillId="0" borderId="0" xfId="0" quotePrefix="1" applyFont="1"/>
    <xf numFmtId="0" fontId="29" fillId="0" borderId="0" xfId="0" applyFont="1" applyAlignment="1">
      <alignment wrapText="1"/>
    </xf>
    <xf numFmtId="0" fontId="27" fillId="0" borderId="0" xfId="0" applyFont="1" applyAlignment="1">
      <alignment horizontal="center"/>
    </xf>
    <xf numFmtId="0" fontId="28" fillId="0" borderId="0" xfId="1" applyFont="1" applyAlignment="1">
      <alignment horizontal="center"/>
    </xf>
    <xf numFmtId="3" fontId="27" fillId="0" borderId="0" xfId="0" applyNumberFormat="1" applyFont="1"/>
    <xf numFmtId="10" fontId="27" fillId="0" borderId="0" xfId="0" applyNumberFormat="1" applyFont="1"/>
    <xf numFmtId="0" fontId="33" fillId="0" borderId="0" xfId="0" applyFont="1"/>
    <xf numFmtId="164" fontId="28" fillId="0" borderId="0" xfId="0" applyNumberFormat="1" applyFont="1"/>
    <xf numFmtId="10" fontId="27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0" fontId="27" fillId="0" borderId="1" xfId="0" applyFont="1" applyBorder="1" applyAlignment="1">
      <alignment horizontal="center"/>
    </xf>
    <xf numFmtId="10" fontId="27" fillId="0" borderId="1" xfId="0" applyNumberFormat="1" applyFont="1" applyBorder="1" applyAlignment="1">
      <alignment horizontal="center"/>
    </xf>
    <xf numFmtId="0" fontId="27" fillId="0" borderId="1" xfId="0" applyFont="1" applyBorder="1"/>
    <xf numFmtId="3" fontId="27" fillId="0" borderId="1" xfId="0" applyNumberFormat="1" applyFont="1" applyBorder="1"/>
    <xf numFmtId="10" fontId="27" fillId="0" borderId="1" xfId="0" applyNumberFormat="1" applyFont="1" applyBorder="1"/>
    <xf numFmtId="0" fontId="32" fillId="0" borderId="1" xfId="0" applyFont="1" applyBorder="1"/>
    <xf numFmtId="10" fontId="27" fillId="9" borderId="1" xfId="0" applyNumberFormat="1" applyFont="1" applyFill="1" applyBorder="1"/>
    <xf numFmtId="3" fontId="29" fillId="0" borderId="0" xfId="0" applyNumberFormat="1" applyFont="1"/>
    <xf numFmtId="10" fontId="29" fillId="0" borderId="0" xfId="0" applyNumberFormat="1" applyFont="1"/>
    <xf numFmtId="0" fontId="27" fillId="0" borderId="0" xfId="0" applyFont="1" applyAlignment="1">
      <alignment horizontal="right"/>
    </xf>
    <xf numFmtId="0" fontId="32" fillId="0" borderId="1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8" fillId="10" borderId="37" xfId="0" applyFont="1" applyFill="1" applyBorder="1"/>
    <xf numFmtId="10" fontId="28" fillId="10" borderId="38" xfId="0" applyNumberFormat="1" applyFont="1" applyFill="1" applyBorder="1"/>
    <xf numFmtId="0" fontId="34" fillId="0" borderId="0" xfId="0" applyFont="1"/>
    <xf numFmtId="1" fontId="27" fillId="0" borderId="0" xfId="0" applyNumberFormat="1" applyFont="1"/>
    <xf numFmtId="0" fontId="35" fillId="11" borderId="3" xfId="0" applyFont="1" applyFill="1" applyBorder="1" applyAlignment="1">
      <alignment vertical="center" wrapText="1"/>
    </xf>
    <xf numFmtId="0" fontId="35" fillId="11" borderId="1" xfId="0" applyFont="1" applyFill="1" applyBorder="1" applyAlignment="1">
      <alignment vertical="center"/>
    </xf>
    <xf numFmtId="0" fontId="5" fillId="12" borderId="1" xfId="0" applyFont="1" applyFill="1" applyBorder="1"/>
    <xf numFmtId="3" fontId="7" fillId="0" borderId="1" xfId="0" applyNumberFormat="1" applyFont="1" applyBorder="1"/>
    <xf numFmtId="10" fontId="7" fillId="0" borderId="1" xfId="0" applyNumberFormat="1" applyFont="1" applyBorder="1"/>
    <xf numFmtId="164" fontId="0" fillId="0" borderId="0" xfId="0" applyNumberFormat="1"/>
    <xf numFmtId="10" fontId="0" fillId="0" borderId="34" xfId="0" applyNumberFormat="1" applyBorder="1"/>
    <xf numFmtId="0" fontId="7" fillId="9" borderId="1" xfId="1" applyFont="1" applyFill="1" applyBorder="1" applyAlignment="1">
      <alignment horizontal="center"/>
    </xf>
    <xf numFmtId="10" fontId="5" fillId="2" borderId="1" xfId="0" applyNumberFormat="1" applyFont="1" applyFill="1" applyBorder="1"/>
    <xf numFmtId="164" fontId="7" fillId="0" borderId="1" xfId="0" applyNumberFormat="1" applyFont="1" applyBorder="1"/>
    <xf numFmtId="0" fontId="5" fillId="13" borderId="1" xfId="0" applyFont="1" applyFill="1" applyBorder="1"/>
    <xf numFmtId="0" fontId="5" fillId="10" borderId="1" xfId="0" applyFont="1" applyFill="1" applyBorder="1" applyAlignment="1">
      <alignment wrapText="1"/>
    </xf>
    <xf numFmtId="10" fontId="18" fillId="6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1" fontId="36" fillId="0" borderId="23" xfId="2" applyNumberFormat="1" applyFont="1" applyFill="1" applyBorder="1" applyAlignment="1">
      <alignment horizontal="right" vertical="center"/>
    </xf>
    <xf numFmtId="10" fontId="36" fillId="0" borderId="23" xfId="2" applyNumberFormat="1" applyFont="1" applyFill="1" applyBorder="1" applyAlignment="1">
      <alignment horizontal="right" vertical="center"/>
    </xf>
    <xf numFmtId="1" fontId="7" fillId="0" borderId="1" xfId="0" applyNumberFormat="1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2" fillId="0" borderId="0" xfId="0" applyFont="1" applyAlignment="1">
      <alignment horizontal="center"/>
    </xf>
    <xf numFmtId="10" fontId="0" fillId="0" borderId="1" xfId="0" applyNumberFormat="1" applyBorder="1"/>
    <xf numFmtId="0" fontId="37" fillId="10" borderId="1" xfId="0" applyFont="1" applyFill="1" applyBorder="1" applyAlignment="1">
      <alignment wrapText="1"/>
    </xf>
    <xf numFmtId="0" fontId="38" fillId="0" borderId="1" xfId="0" applyFont="1" applyBorder="1" applyAlignment="1">
      <alignment horizontal="center"/>
    </xf>
    <xf numFmtId="0" fontId="39" fillId="0" borderId="0" xfId="0" applyFont="1"/>
    <xf numFmtId="10" fontId="0" fillId="0" borderId="56" xfId="0" applyNumberFormat="1" applyBorder="1" applyAlignment="1">
      <alignment horizontal="center"/>
    </xf>
    <xf numFmtId="10" fontId="0" fillId="0" borderId="57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0" fontId="0" fillId="2" borderId="40" xfId="0" applyFill="1" applyBorder="1" applyAlignment="1">
      <alignment horizontal="center"/>
    </xf>
    <xf numFmtId="10" fontId="0" fillId="2" borderId="40" xfId="0" applyNumberFormat="1" applyFill="1" applyBorder="1" applyAlignment="1">
      <alignment horizontal="center"/>
    </xf>
    <xf numFmtId="0" fontId="0" fillId="2" borderId="56" xfId="0" applyFill="1" applyBorder="1"/>
    <xf numFmtId="0" fontId="0" fillId="2" borderId="57" xfId="0" applyFill="1" applyBorder="1"/>
    <xf numFmtId="0" fontId="0" fillId="2" borderId="40" xfId="0" applyFill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58" xfId="0" applyBorder="1"/>
    <xf numFmtId="0" fontId="0" fillId="0" borderId="56" xfId="0" applyBorder="1"/>
    <xf numFmtId="0" fontId="0" fillId="0" borderId="57" xfId="0" applyBorder="1"/>
    <xf numFmtId="0" fontId="25" fillId="7" borderId="46" xfId="3" applyFont="1" applyFill="1" applyBorder="1" applyAlignment="1">
      <alignment horizontal="center" vertical="center"/>
    </xf>
    <xf numFmtId="0" fontId="25" fillId="7" borderId="41" xfId="3" applyFont="1" applyFill="1" applyBorder="1" applyAlignment="1">
      <alignment horizontal="center" vertical="center"/>
    </xf>
    <xf numFmtId="0" fontId="25" fillId="7" borderId="45" xfId="3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1" applyFont="1" applyAlignment="1">
      <alignment horizontal="center"/>
    </xf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1" fillId="0" borderId="0" xfId="1" applyFont="1" applyAlignment="1">
      <alignment horizontal="center" wrapText="1"/>
    </xf>
    <xf numFmtId="0" fontId="5" fillId="12" borderId="1" xfId="0" applyFont="1" applyFill="1" applyBorder="1" applyAlignment="1">
      <alignment horizontal="center"/>
    </xf>
    <xf numFmtId="0" fontId="5" fillId="9" borderId="3" xfId="1" applyFont="1" applyFill="1" applyBorder="1" applyAlignment="1">
      <alignment horizontal="center" wrapText="1"/>
    </xf>
    <xf numFmtId="0" fontId="5" fillId="9" borderId="31" xfId="1" applyFont="1" applyFill="1" applyBorder="1" applyAlignment="1">
      <alignment horizontal="center" wrapText="1"/>
    </xf>
    <xf numFmtId="0" fontId="5" fillId="9" borderId="4" xfId="1" applyFont="1" applyFill="1" applyBorder="1" applyAlignment="1">
      <alignment horizontal="center" wrapText="1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5" borderId="13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5" borderId="18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49" fontId="17" fillId="5" borderId="14" xfId="0" applyNumberFormat="1" applyFont="1" applyFill="1" applyBorder="1" applyAlignment="1">
      <alignment horizontal="center" vertical="center" wrapText="1"/>
    </xf>
    <xf numFmtId="49" fontId="17" fillId="5" borderId="15" xfId="0" applyNumberFormat="1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 wrapText="1"/>
    </xf>
    <xf numFmtId="49" fontId="17" fillId="5" borderId="17" xfId="0" applyNumberFormat="1" applyFont="1" applyFill="1" applyBorder="1" applyAlignment="1">
      <alignment horizontal="center" vertical="center" wrapText="1"/>
    </xf>
    <xf numFmtId="49" fontId="17" fillId="5" borderId="19" xfId="0" applyNumberFormat="1" applyFont="1" applyFill="1" applyBorder="1" applyAlignment="1">
      <alignment horizontal="center" vertical="center" wrapText="1"/>
    </xf>
    <xf numFmtId="167" fontId="17" fillId="5" borderId="1" xfId="0" applyNumberFormat="1" applyFont="1" applyFill="1" applyBorder="1" applyAlignment="1">
      <alignment horizontal="center" vertical="center" wrapText="1"/>
    </xf>
    <xf numFmtId="167" fontId="17" fillId="5" borderId="17" xfId="0" applyNumberFormat="1" applyFont="1" applyFill="1" applyBorder="1" applyAlignment="1">
      <alignment horizontal="center" vertical="center" wrapText="1"/>
    </xf>
    <xf numFmtId="167" fontId="17" fillId="5" borderId="19" xfId="0" applyNumberFormat="1" applyFont="1" applyFill="1" applyBorder="1" applyAlignment="1">
      <alignment horizontal="center" vertical="center" wrapText="1"/>
    </xf>
    <xf numFmtId="167" fontId="17" fillId="5" borderId="20" xfId="0" applyNumberFormat="1" applyFont="1" applyFill="1" applyBorder="1" applyAlignment="1">
      <alignment horizontal="center" vertical="center" wrapText="1"/>
    </xf>
    <xf numFmtId="0" fontId="20" fillId="7" borderId="25" xfId="3" applyFont="1" applyFill="1" applyBorder="1" applyAlignment="1">
      <alignment horizontal="center" vertical="center"/>
    </xf>
    <xf numFmtId="0" fontId="20" fillId="7" borderId="26" xfId="3" applyFont="1" applyFill="1" applyBorder="1" applyAlignment="1">
      <alignment horizontal="center" vertical="center"/>
    </xf>
    <xf numFmtId="0" fontId="20" fillId="7" borderId="21" xfId="3" applyFont="1" applyFill="1" applyBorder="1" applyAlignment="1">
      <alignment horizontal="center" vertical="center"/>
    </xf>
    <xf numFmtId="0" fontId="20" fillId="7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168" fontId="18" fillId="0" borderId="33" xfId="2" applyNumberFormat="1" applyFont="1" applyFill="1" applyBorder="1" applyAlignment="1">
      <alignment horizontal="center" vertical="center"/>
    </xf>
    <xf numFmtId="168" fontId="18" fillId="0" borderId="34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9" fillId="8" borderId="37" xfId="3" applyFont="1" applyFill="1" applyBorder="1" applyAlignment="1">
      <alignment horizontal="left" vertical="center" wrapText="1"/>
    </xf>
    <xf numFmtId="0" fontId="19" fillId="8" borderId="38" xfId="3" applyFont="1" applyFill="1" applyBorder="1" applyAlignment="1">
      <alignment horizontal="left" vertical="center" wrapText="1"/>
    </xf>
    <xf numFmtId="0" fontId="21" fillId="8" borderId="41" xfId="3" applyFont="1" applyFill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0" fillId="7" borderId="13" xfId="3" applyFont="1" applyFill="1" applyBorder="1" applyAlignment="1">
      <alignment horizontal="center" vertical="center"/>
    </xf>
    <xf numFmtId="0" fontId="20" fillId="7" borderId="14" xfId="3" applyFont="1" applyFill="1" applyBorder="1" applyAlignment="1">
      <alignment horizontal="center" vertical="center"/>
    </xf>
    <xf numFmtId="0" fontId="20" fillId="7" borderId="39" xfId="3" applyFont="1" applyFill="1" applyBorder="1" applyAlignment="1">
      <alignment horizontal="center" vertical="center"/>
    </xf>
    <xf numFmtId="0" fontId="20" fillId="7" borderId="41" xfId="3" applyFont="1" applyFill="1" applyBorder="1" applyAlignment="1">
      <alignment horizontal="center" vertical="center"/>
    </xf>
    <xf numFmtId="0" fontId="20" fillId="7" borderId="45" xfId="3" applyFont="1" applyFill="1" applyBorder="1" applyAlignment="1">
      <alignment horizontal="center" vertical="center"/>
    </xf>
    <xf numFmtId="0" fontId="18" fillId="0" borderId="46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26" fillId="7" borderId="46" xfId="3" applyFont="1" applyFill="1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19" fillId="8" borderId="39" xfId="3" applyFont="1" applyFill="1" applyBorder="1" applyAlignment="1">
      <alignment horizontal="left" vertical="center" wrapText="1"/>
    </xf>
    <xf numFmtId="0" fontId="19" fillId="8" borderId="41" xfId="3" applyFont="1" applyFill="1" applyBorder="1" applyAlignment="1">
      <alignment horizontal="left" vertical="center" wrapText="1"/>
    </xf>
    <xf numFmtId="0" fontId="19" fillId="8" borderId="42" xfId="3" applyFont="1" applyFill="1" applyBorder="1" applyAlignment="1">
      <alignment horizontal="left" vertical="center" wrapText="1"/>
    </xf>
    <xf numFmtId="0" fontId="20" fillId="7" borderId="46" xfId="3" applyFont="1" applyFill="1" applyBorder="1" applyAlignment="1">
      <alignment horizontal="center" vertical="center"/>
    </xf>
    <xf numFmtId="0" fontId="20" fillId="7" borderId="42" xfId="3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/>
    </xf>
    <xf numFmtId="0" fontId="18" fillId="0" borderId="31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8" borderId="37" xfId="3" applyFont="1" applyFill="1" applyBorder="1" applyAlignment="1">
      <alignment horizontal="left" vertical="center"/>
    </xf>
    <xf numFmtId="0" fontId="19" fillId="8" borderId="38" xfId="3" applyFont="1" applyFill="1" applyBorder="1" applyAlignment="1">
      <alignment horizontal="left" vertical="center"/>
    </xf>
    <xf numFmtId="0" fontId="26" fillId="7" borderId="41" xfId="3" applyFont="1" applyFill="1" applyBorder="1" applyAlignment="1">
      <alignment horizontal="center"/>
    </xf>
    <xf numFmtId="0" fontId="26" fillId="7" borderId="45" xfId="3" applyFont="1" applyFill="1" applyBorder="1" applyAlignment="1">
      <alignment horizontal="center"/>
    </xf>
    <xf numFmtId="0" fontId="0" fillId="12" borderId="1" xfId="0" applyFill="1" applyBorder="1"/>
    <xf numFmtId="3" fontId="0" fillId="0" borderId="9" xfId="0" applyNumberFormat="1" applyBorder="1"/>
    <xf numFmtId="10" fontId="15" fillId="0" borderId="6" xfId="4" applyNumberFormat="1" applyFont="1" applyBorder="1" applyAlignment="1">
      <alignment horizontal="center" vertical="center" wrapText="1"/>
    </xf>
    <xf numFmtId="10" fontId="15" fillId="0" borderId="7" xfId="4" applyNumberFormat="1" applyFont="1" applyBorder="1" applyAlignment="1">
      <alignment horizontal="center" vertical="center" wrapText="1"/>
    </xf>
    <xf numFmtId="10" fontId="15" fillId="0" borderId="10" xfId="4" applyNumberFormat="1" applyFont="1" applyBorder="1" applyAlignment="1">
      <alignment horizontal="center" vertical="center" wrapText="1"/>
    </xf>
    <xf numFmtId="10" fontId="15" fillId="0" borderId="11" xfId="4" applyNumberFormat="1" applyFont="1" applyBorder="1" applyAlignment="1">
      <alignment horizontal="center" vertical="center" wrapText="1"/>
    </xf>
    <xf numFmtId="10" fontId="15" fillId="0" borderId="12" xfId="4" applyNumberFormat="1" applyFont="1" applyBorder="1" applyAlignment="1">
      <alignment horizontal="center" vertical="center" wrapText="1"/>
    </xf>
    <xf numFmtId="10" fontId="15" fillId="0" borderId="6" xfId="4" applyNumberFormat="1" applyFont="1" applyFill="1" applyBorder="1" applyAlignment="1">
      <alignment horizontal="center" vertical="center"/>
    </xf>
    <xf numFmtId="10" fontId="15" fillId="0" borderId="7" xfId="4" applyNumberFormat="1" applyFont="1" applyFill="1" applyBorder="1" applyAlignment="1">
      <alignment horizontal="center" vertical="center"/>
    </xf>
    <xf numFmtId="10" fontId="15" fillId="0" borderId="10" xfId="4" applyNumberFormat="1" applyFont="1" applyFill="1" applyBorder="1" applyAlignment="1">
      <alignment horizontal="center" vertical="center"/>
    </xf>
    <xf numFmtId="10" fontId="15" fillId="0" borderId="11" xfId="4" applyNumberFormat="1" applyFont="1" applyFill="1" applyBorder="1" applyAlignment="1">
      <alignment horizontal="center" vertical="center"/>
    </xf>
    <xf numFmtId="10" fontId="15" fillId="0" borderId="12" xfId="4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3" fontId="18" fillId="0" borderId="1" xfId="4" applyNumberFormat="1" applyFont="1" applyFill="1" applyBorder="1" applyAlignment="1">
      <alignment horizontal="center" vertical="center"/>
    </xf>
    <xf numFmtId="168" fontId="15" fillId="6" borderId="59" xfId="2" applyNumberFormat="1" applyFont="1" applyFill="1" applyBorder="1" applyAlignment="1">
      <alignment horizontal="center"/>
    </xf>
    <xf numFmtId="0" fontId="18" fillId="0" borderId="3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8" fontId="18" fillId="0" borderId="32" xfId="2" applyNumberFormat="1" applyFont="1" applyFill="1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2" xfId="2" applyNumberFormat="1" applyFont="1" applyFill="1" applyBorder="1" applyAlignment="1">
      <alignment horizontal="center" vertical="center"/>
    </xf>
    <xf numFmtId="168" fontId="18" fillId="0" borderId="60" xfId="2" applyNumberFormat="1" applyFont="1" applyFill="1" applyBorder="1" applyAlignment="1">
      <alignment horizontal="center" vertical="center"/>
    </xf>
    <xf numFmtId="168" fontId="18" fillId="0" borderId="61" xfId="2" applyNumberFormat="1" applyFont="1" applyFill="1" applyBorder="1" applyAlignment="1">
      <alignment horizontal="center" vertical="center"/>
    </xf>
    <xf numFmtId="0" fontId="40" fillId="0" borderId="0" xfId="0" applyFont="1" applyFill="1"/>
    <xf numFmtId="0" fontId="41" fillId="0" borderId="0" xfId="0" applyFont="1" applyFill="1"/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523829</xdr:colOff>
      <xdr:row>12</xdr:row>
      <xdr:rowOff>928</xdr:rowOff>
    </xdr:from>
    <xdr:to>
      <xdr:col>23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13</xdr:col>
      <xdr:colOff>423165</xdr:colOff>
      <xdr:row>26</xdr:row>
      <xdr:rowOff>103966</xdr:rowOff>
    </xdr:from>
    <xdr:to>
      <xdr:col>13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16</xdr:col>
      <xdr:colOff>612635</xdr:colOff>
      <xdr:row>3</xdr:row>
      <xdr:rowOff>61856</xdr:rowOff>
    </xdr:from>
    <xdr:to>
      <xdr:col>16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751089</xdr:colOff>
      <xdr:row>8</xdr:row>
      <xdr:rowOff>8283</xdr:rowOff>
    </xdr:from>
    <xdr:to>
      <xdr:col>11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10</xdr:col>
      <xdr:colOff>282074</xdr:colOff>
      <xdr:row>6</xdr:row>
      <xdr:rowOff>174873</xdr:rowOff>
    </xdr:from>
    <xdr:to>
      <xdr:col>11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10</xdr:col>
      <xdr:colOff>751089</xdr:colOff>
      <xdr:row>19</xdr:row>
      <xdr:rowOff>165944</xdr:rowOff>
    </xdr:from>
    <xdr:to>
      <xdr:col>11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10</xdr:col>
      <xdr:colOff>243725</xdr:colOff>
      <xdr:row>18</xdr:row>
      <xdr:rowOff>173796</xdr:rowOff>
    </xdr:from>
    <xdr:to>
      <xdr:col>11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10</xdr:col>
      <xdr:colOff>743235</xdr:colOff>
      <xdr:row>30</xdr:row>
      <xdr:rowOff>1613</xdr:rowOff>
    </xdr:from>
    <xdr:to>
      <xdr:col>11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10</xdr:col>
      <xdr:colOff>224326</xdr:colOff>
      <xdr:row>29</xdr:row>
      <xdr:rowOff>90283</xdr:rowOff>
    </xdr:from>
    <xdr:to>
      <xdr:col>11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11</xdr:col>
      <xdr:colOff>9895</xdr:colOff>
      <xdr:row>50</xdr:row>
      <xdr:rowOff>37334</xdr:rowOff>
    </xdr:from>
    <xdr:to>
      <xdr:col>11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10</xdr:col>
      <xdr:colOff>282074</xdr:colOff>
      <xdr:row>50</xdr:row>
      <xdr:rowOff>42730</xdr:rowOff>
    </xdr:from>
    <xdr:to>
      <xdr:col>11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16</xdr:col>
      <xdr:colOff>19035</xdr:colOff>
      <xdr:row>7</xdr:row>
      <xdr:rowOff>38801</xdr:rowOff>
    </xdr:from>
    <xdr:to>
      <xdr:col>17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16</xdr:col>
      <xdr:colOff>9512</xdr:colOff>
      <xdr:row>12</xdr:row>
      <xdr:rowOff>163438</xdr:rowOff>
    </xdr:from>
    <xdr:to>
      <xdr:col>17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15</xdr:col>
      <xdr:colOff>710901</xdr:colOff>
      <xdr:row>26</xdr:row>
      <xdr:rowOff>113988</xdr:rowOff>
    </xdr:from>
    <xdr:to>
      <xdr:col>17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15</xdr:col>
      <xdr:colOff>709072</xdr:colOff>
      <xdr:row>33</xdr:row>
      <xdr:rowOff>110981</xdr:rowOff>
    </xdr:from>
    <xdr:to>
      <xdr:col>17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15</xdr:col>
      <xdr:colOff>716933</xdr:colOff>
      <xdr:row>39</xdr:row>
      <xdr:rowOff>192163</xdr:rowOff>
    </xdr:from>
    <xdr:to>
      <xdr:col>17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15</xdr:col>
      <xdr:colOff>640127</xdr:colOff>
      <xdr:row>49</xdr:row>
      <xdr:rowOff>64297</xdr:rowOff>
    </xdr:from>
    <xdr:to>
      <xdr:col>17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13</xdr:col>
      <xdr:colOff>14111</xdr:colOff>
      <xdr:row>56</xdr:row>
      <xdr:rowOff>114415</xdr:rowOff>
    </xdr:from>
    <xdr:to>
      <xdr:col>14</xdr:col>
      <xdr:colOff>64982</xdr:colOff>
      <xdr:row>57</xdr:row>
      <xdr:rowOff>268111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11218333" y="11219859"/>
          <a:ext cx="883427" cy="562919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702298</xdr:colOff>
      <xdr:row>57</xdr:row>
      <xdr:rowOff>91324</xdr:rowOff>
    </xdr:from>
    <xdr:to>
      <xdr:col>14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16</xdr:col>
      <xdr:colOff>122645</xdr:colOff>
      <xdr:row>1</xdr:row>
      <xdr:rowOff>83911</xdr:rowOff>
    </xdr:from>
    <xdr:to>
      <xdr:col>17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10</xdr:col>
      <xdr:colOff>194235</xdr:colOff>
      <xdr:row>9</xdr:row>
      <xdr:rowOff>74706</xdr:rowOff>
    </xdr:from>
    <xdr:to>
      <xdr:col>11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117929</xdr:colOff>
      <xdr:row>21</xdr:row>
      <xdr:rowOff>54429</xdr:rowOff>
    </xdr:from>
    <xdr:to>
      <xdr:col>11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11545</xdr:colOff>
      <xdr:row>31</xdr:row>
      <xdr:rowOff>77748</xdr:rowOff>
    </xdr:from>
    <xdr:to>
      <xdr:col>11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422953</xdr:colOff>
      <xdr:row>21</xdr:row>
      <xdr:rowOff>59290</xdr:rowOff>
    </xdr:from>
    <xdr:to>
      <xdr:col>13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415099</xdr:colOff>
      <xdr:row>27</xdr:row>
      <xdr:rowOff>19694</xdr:rowOff>
    </xdr:from>
    <xdr:to>
      <xdr:col>13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443759</xdr:colOff>
      <xdr:row>27</xdr:row>
      <xdr:rowOff>19694</xdr:rowOff>
    </xdr:from>
    <xdr:to>
      <xdr:col>13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422953</xdr:colOff>
      <xdr:row>9</xdr:row>
      <xdr:rowOff>84419</xdr:rowOff>
    </xdr:from>
    <xdr:to>
      <xdr:col>13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95262</xdr:colOff>
      <xdr:row>51</xdr:row>
      <xdr:rowOff>113469</xdr:rowOff>
    </xdr:from>
    <xdr:to>
      <xdr:col>11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455825</xdr:colOff>
      <xdr:row>27</xdr:row>
      <xdr:rowOff>116849</xdr:rowOff>
    </xdr:from>
    <xdr:to>
      <xdr:col>13</xdr:col>
      <xdr:colOff>534412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V="1">
          <a:off x="11660047" y="5450849"/>
          <a:ext cx="78587" cy="57690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600253</xdr:colOff>
      <xdr:row>23</xdr:row>
      <xdr:rowOff>36285</xdr:rowOff>
    </xdr:from>
    <xdr:to>
      <xdr:col>16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646502</xdr:colOff>
      <xdr:row>9</xdr:row>
      <xdr:rowOff>164796</xdr:rowOff>
    </xdr:from>
    <xdr:to>
      <xdr:col>16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636977</xdr:colOff>
      <xdr:row>15</xdr:row>
      <xdr:rowOff>88349</xdr:rowOff>
    </xdr:from>
    <xdr:to>
      <xdr:col>16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598424</xdr:colOff>
      <xdr:row>29</xdr:row>
      <xdr:rowOff>58554</xdr:rowOff>
    </xdr:from>
    <xdr:to>
      <xdr:col>16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598424</xdr:colOff>
      <xdr:row>36</xdr:row>
      <xdr:rowOff>55547</xdr:rowOff>
    </xdr:from>
    <xdr:to>
      <xdr:col>16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589351</xdr:colOff>
      <xdr:row>42</xdr:row>
      <xdr:rowOff>126146</xdr:rowOff>
    </xdr:from>
    <xdr:to>
      <xdr:col>16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640126</xdr:colOff>
      <xdr:row>46</xdr:row>
      <xdr:rowOff>87190</xdr:rowOff>
    </xdr:from>
    <xdr:to>
      <xdr:col>15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676682</xdr:colOff>
      <xdr:row>52</xdr:row>
      <xdr:rowOff>8862</xdr:rowOff>
    </xdr:from>
    <xdr:to>
      <xdr:col>16</xdr:col>
      <xdr:colOff>529479</xdr:colOff>
      <xdr:row>56</xdr:row>
      <xdr:rowOff>395874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12446352" y="9716303"/>
          <a:ext cx="1219567" cy="235046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418830</xdr:colOff>
      <xdr:row>50</xdr:row>
      <xdr:rowOff>128656</xdr:rowOff>
    </xdr:from>
    <xdr:to>
      <xdr:col>17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495636</xdr:colOff>
      <xdr:row>13</xdr:row>
      <xdr:rowOff>63926</xdr:rowOff>
    </xdr:from>
    <xdr:to>
      <xdr:col>21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487775</xdr:colOff>
      <xdr:row>13</xdr:row>
      <xdr:rowOff>63926</xdr:rowOff>
    </xdr:from>
    <xdr:to>
      <xdr:col>21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489604</xdr:colOff>
      <xdr:row>13</xdr:row>
      <xdr:rowOff>63926</xdr:rowOff>
    </xdr:from>
    <xdr:to>
      <xdr:col>21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434712</xdr:colOff>
      <xdr:row>13</xdr:row>
      <xdr:rowOff>63926</xdr:rowOff>
    </xdr:from>
    <xdr:to>
      <xdr:col>21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444235</xdr:colOff>
      <xdr:row>8</xdr:row>
      <xdr:rowOff>101799</xdr:rowOff>
    </xdr:from>
    <xdr:to>
      <xdr:col>21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559813</xdr:colOff>
      <xdr:row>22</xdr:row>
      <xdr:rowOff>36665</xdr:rowOff>
    </xdr:from>
    <xdr:to>
      <xdr:col>16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63474</xdr:colOff>
      <xdr:row>21</xdr:row>
      <xdr:rowOff>37044</xdr:rowOff>
    </xdr:from>
    <xdr:to>
      <xdr:col>17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17</xdr:col>
      <xdr:colOff>380747</xdr:colOff>
      <xdr:row>13</xdr:row>
      <xdr:rowOff>63925</xdr:rowOff>
    </xdr:from>
    <xdr:to>
      <xdr:col>21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578555</xdr:colOff>
      <xdr:row>57</xdr:row>
      <xdr:rowOff>28263</xdr:rowOff>
    </xdr:from>
    <xdr:to>
      <xdr:col>11</xdr:col>
      <xdr:colOff>579309</xdr:colOff>
      <xdr:row>59</xdr:row>
      <xdr:rowOff>155223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8777111" y="11542930"/>
          <a:ext cx="988531" cy="945404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10</xdr:col>
      <xdr:colOff>706581</xdr:colOff>
      <xdr:row>64</xdr:row>
      <xdr:rowOff>135305</xdr:rowOff>
    </xdr:from>
    <xdr:to>
      <xdr:col>11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10</xdr:col>
      <xdr:colOff>676728</xdr:colOff>
      <xdr:row>71</xdr:row>
      <xdr:rowOff>87309</xdr:rowOff>
    </xdr:from>
    <xdr:to>
      <xdr:col>11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381000</xdr:colOff>
      <xdr:row>59</xdr:row>
      <xdr:rowOff>32254</xdr:rowOff>
    </xdr:from>
    <xdr:to>
      <xdr:col>10</xdr:col>
      <xdr:colOff>595475</xdr:colOff>
      <xdr:row>59</xdr:row>
      <xdr:rowOff>32254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7747000" y="12365365"/>
          <a:ext cx="10470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760185</xdr:colOff>
      <xdr:row>66</xdr:row>
      <xdr:rowOff>97971</xdr:rowOff>
    </xdr:from>
    <xdr:to>
      <xdr:col>11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12864</xdr:colOff>
      <xdr:row>73</xdr:row>
      <xdr:rowOff>23585</xdr:rowOff>
    </xdr:from>
    <xdr:to>
      <xdr:col>11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332176</xdr:colOff>
      <xdr:row>27</xdr:row>
      <xdr:rowOff>174626</xdr:rowOff>
    </xdr:from>
    <xdr:to>
      <xdr:col>12</xdr:col>
      <xdr:colOff>492125</xdr:colOff>
      <xdr:row>58</xdr:row>
      <xdr:rowOff>91743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9518509" y="5508626"/>
          <a:ext cx="1147727" cy="65070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378445</xdr:colOff>
      <xdr:row>28</xdr:row>
      <xdr:rowOff>79375</xdr:rowOff>
    </xdr:from>
    <xdr:to>
      <xdr:col>12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348592</xdr:colOff>
      <xdr:row>28</xdr:row>
      <xdr:rowOff>183369</xdr:rowOff>
    </xdr:from>
    <xdr:to>
      <xdr:col>12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29309</xdr:colOff>
      <xdr:row>14</xdr:row>
      <xdr:rowOff>171027</xdr:rowOff>
    </xdr:from>
    <xdr:to>
      <xdr:col>15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14</xdr:col>
      <xdr:colOff>542551</xdr:colOff>
      <xdr:row>18</xdr:row>
      <xdr:rowOff>56727</xdr:rowOff>
    </xdr:from>
    <xdr:to>
      <xdr:col>15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795867</xdr:colOff>
      <xdr:row>12</xdr:row>
      <xdr:rowOff>76200</xdr:rowOff>
    </xdr:from>
    <xdr:to>
      <xdr:col>13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85876</xdr:colOff>
      <xdr:row>8</xdr:row>
      <xdr:rowOff>182638</xdr:rowOff>
    </xdr:from>
    <xdr:to>
      <xdr:col>13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85876</xdr:colOff>
      <xdr:row>12</xdr:row>
      <xdr:rowOff>41124</xdr:rowOff>
    </xdr:from>
    <xdr:to>
      <xdr:col>13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699999</xdr:colOff>
      <xdr:row>45</xdr:row>
      <xdr:rowOff>82097</xdr:rowOff>
    </xdr:from>
    <xdr:to>
      <xdr:col>17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16</xdr:col>
      <xdr:colOff>530086</xdr:colOff>
      <xdr:row>48</xdr:row>
      <xdr:rowOff>16079</xdr:rowOff>
    </xdr:from>
    <xdr:to>
      <xdr:col>16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478702</xdr:colOff>
      <xdr:row>14</xdr:row>
      <xdr:rowOff>126923</xdr:rowOff>
    </xdr:from>
    <xdr:to>
      <xdr:col>22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499365</xdr:colOff>
      <xdr:row>17</xdr:row>
      <xdr:rowOff>96709</xdr:rowOff>
    </xdr:from>
    <xdr:to>
      <xdr:col>16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15</xdr:col>
      <xdr:colOff>76200</xdr:colOff>
      <xdr:row>18</xdr:row>
      <xdr:rowOff>5784</xdr:rowOff>
    </xdr:from>
    <xdr:to>
      <xdr:col>16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9895</xdr:colOff>
      <xdr:row>35</xdr:row>
      <xdr:rowOff>37334</xdr:rowOff>
    </xdr:from>
    <xdr:to>
      <xdr:col>5</xdr:col>
      <xdr:colOff>588380</xdr:colOff>
      <xdr:row>38</xdr:row>
      <xdr:rowOff>5454</xdr:rowOff>
    </xdr:to>
    <xdr:sp macro="" textlink="">
      <xdr:nvSpPr>
        <xdr:cNvPr id="106" name="Triángulo isósceles 12">
          <a:extLst>
            <a:ext uri="{FF2B5EF4-FFF2-40B4-BE49-F238E27FC236}">
              <a16:creationId xmlns:a16="http://schemas.microsoft.com/office/drawing/2014/main" id="{39563C3B-C103-8E40-971E-7DD5A07E9516}"/>
            </a:ext>
          </a:extLst>
        </xdr:cNvPr>
        <xdr:cNvSpPr/>
      </xdr:nvSpPr>
      <xdr:spPr>
        <a:xfrm>
          <a:off x="9255495" y="10197334"/>
          <a:ext cx="578485" cy="5777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282074</xdr:colOff>
      <xdr:row>35</xdr:row>
      <xdr:rowOff>42730</xdr:rowOff>
    </xdr:from>
    <xdr:to>
      <xdr:col>5</xdr:col>
      <xdr:colOff>98559</xdr:colOff>
      <xdr:row>36</xdr:row>
      <xdr:rowOff>132200</xdr:rowOff>
    </xdr:to>
    <xdr:sp macro="" textlink="">
      <xdr:nvSpPr>
        <xdr:cNvPr id="107" name="Rectángulo 13">
          <a:extLst>
            <a:ext uri="{FF2B5EF4-FFF2-40B4-BE49-F238E27FC236}">
              <a16:creationId xmlns:a16="http://schemas.microsoft.com/office/drawing/2014/main" id="{3CDAC56D-997A-6C41-8274-241F7F697EE4}"/>
            </a:ext>
          </a:extLst>
        </xdr:cNvPr>
        <xdr:cNvSpPr/>
      </xdr:nvSpPr>
      <xdr:spPr>
        <a:xfrm>
          <a:off x="8537074" y="10202730"/>
          <a:ext cx="807085" cy="2926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T1</a:t>
          </a:r>
        </a:p>
      </xdr:txBody>
    </xdr:sp>
    <xdr:clientData/>
  </xdr:twoCellAnchor>
  <xdr:twoCellAnchor>
    <xdr:from>
      <xdr:col>4</xdr:col>
      <xdr:colOff>95262</xdr:colOff>
      <xdr:row>37</xdr:row>
      <xdr:rowOff>99357</xdr:rowOff>
    </xdr:from>
    <xdr:to>
      <xdr:col>5</xdr:col>
      <xdr:colOff>154516</xdr:colOff>
      <xdr:row>37</xdr:row>
      <xdr:rowOff>99357</xdr:rowOff>
    </xdr:to>
    <xdr:cxnSp macro="">
      <xdr:nvCxnSpPr>
        <xdr:cNvPr id="108" name="Conector recto de flecha 32">
          <a:extLst>
            <a:ext uri="{FF2B5EF4-FFF2-40B4-BE49-F238E27FC236}">
              <a16:creationId xmlns:a16="http://schemas.microsoft.com/office/drawing/2014/main" id="{00E19FFD-897E-1E4B-AD37-8269851A062F}"/>
            </a:ext>
          </a:extLst>
        </xdr:cNvPr>
        <xdr:cNvCxnSpPr>
          <a:cxnSpLocks/>
        </xdr:cNvCxnSpPr>
      </xdr:nvCxnSpPr>
      <xdr:spPr>
        <a:xfrm>
          <a:off x="2889262" y="7408913"/>
          <a:ext cx="891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824</xdr:colOff>
      <xdr:row>42</xdr:row>
      <xdr:rowOff>28262</xdr:rowOff>
    </xdr:from>
    <xdr:to>
      <xdr:col>5</xdr:col>
      <xdr:colOff>579309</xdr:colOff>
      <xdr:row>44</xdr:row>
      <xdr:rowOff>177811</xdr:rowOff>
    </xdr:to>
    <xdr:sp macro="" textlink="">
      <xdr:nvSpPr>
        <xdr:cNvPr id="109" name="Triángulo isósceles 79">
          <a:extLst>
            <a:ext uri="{FF2B5EF4-FFF2-40B4-BE49-F238E27FC236}">
              <a16:creationId xmlns:a16="http://schemas.microsoft.com/office/drawing/2014/main" id="{70C8A0F9-0096-714E-A756-F93B519D9E2E}"/>
            </a:ext>
          </a:extLst>
        </xdr:cNvPr>
        <xdr:cNvSpPr/>
      </xdr:nvSpPr>
      <xdr:spPr>
        <a:xfrm>
          <a:off x="9246424" y="11636062"/>
          <a:ext cx="578485" cy="733749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706581</xdr:colOff>
      <xdr:row>49</xdr:row>
      <xdr:rowOff>135305</xdr:rowOff>
    </xdr:from>
    <xdr:to>
      <xdr:col>5</xdr:col>
      <xdr:colOff>523066</xdr:colOff>
      <xdr:row>52</xdr:row>
      <xdr:rowOff>103425</xdr:rowOff>
    </xdr:to>
    <xdr:sp macro="" textlink="">
      <xdr:nvSpPr>
        <xdr:cNvPr id="110" name="Triángulo isósceles 80">
          <a:extLst>
            <a:ext uri="{FF2B5EF4-FFF2-40B4-BE49-F238E27FC236}">
              <a16:creationId xmlns:a16="http://schemas.microsoft.com/office/drawing/2014/main" id="{52898534-87E2-5F45-8046-541115703511}"/>
            </a:ext>
          </a:extLst>
        </xdr:cNvPr>
        <xdr:cNvSpPr/>
      </xdr:nvSpPr>
      <xdr:spPr>
        <a:xfrm>
          <a:off x="8961581" y="13267105"/>
          <a:ext cx="807085" cy="8317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522112</xdr:colOff>
      <xdr:row>56</xdr:row>
      <xdr:rowOff>87309</xdr:rowOff>
    </xdr:from>
    <xdr:to>
      <xdr:col>5</xdr:col>
      <xdr:colOff>493214</xdr:colOff>
      <xdr:row>58</xdr:row>
      <xdr:rowOff>141111</xdr:rowOff>
    </xdr:to>
    <xdr:sp macro="" textlink="">
      <xdr:nvSpPr>
        <xdr:cNvPr id="111" name="Triángulo isósceles 81">
          <a:extLst>
            <a:ext uri="{FF2B5EF4-FFF2-40B4-BE49-F238E27FC236}">
              <a16:creationId xmlns:a16="http://schemas.microsoft.com/office/drawing/2014/main" id="{9602DBF4-21EF-FE46-ADBF-B313B7F5924A}"/>
            </a:ext>
          </a:extLst>
        </xdr:cNvPr>
        <xdr:cNvSpPr/>
      </xdr:nvSpPr>
      <xdr:spPr>
        <a:xfrm>
          <a:off x="3316112" y="11192753"/>
          <a:ext cx="803658" cy="872247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0</xdr:colOff>
      <xdr:row>44</xdr:row>
      <xdr:rowOff>18143</xdr:rowOff>
    </xdr:from>
    <xdr:to>
      <xdr:col>5</xdr:col>
      <xdr:colOff>59254</xdr:colOff>
      <xdr:row>44</xdr:row>
      <xdr:rowOff>18143</xdr:rowOff>
    </xdr:to>
    <xdr:cxnSp macro="">
      <xdr:nvCxnSpPr>
        <xdr:cNvPr id="112" name="Conector recto de flecha 55">
          <a:extLst>
            <a:ext uri="{FF2B5EF4-FFF2-40B4-BE49-F238E27FC236}">
              <a16:creationId xmlns:a16="http://schemas.microsoft.com/office/drawing/2014/main" id="{8F6BB9E0-8C35-EE43-9BA4-1597EFF7BCF7}"/>
            </a:ext>
          </a:extLst>
        </xdr:cNvPr>
        <xdr:cNvCxnSpPr>
          <a:cxnSpLocks/>
        </xdr:cNvCxnSpPr>
      </xdr:nvCxnSpPr>
      <xdr:spPr>
        <a:xfrm>
          <a:off x="8255000" y="12210143"/>
          <a:ext cx="10498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760185</xdr:colOff>
      <xdr:row>51</xdr:row>
      <xdr:rowOff>97971</xdr:rowOff>
    </xdr:from>
    <xdr:to>
      <xdr:col>5</xdr:col>
      <xdr:colOff>57439</xdr:colOff>
      <xdr:row>51</xdr:row>
      <xdr:rowOff>97971</xdr:rowOff>
    </xdr:to>
    <xdr:cxnSp macro="">
      <xdr:nvCxnSpPr>
        <xdr:cNvPr id="113" name="Conector recto de flecha 57">
          <a:extLst>
            <a:ext uri="{FF2B5EF4-FFF2-40B4-BE49-F238E27FC236}">
              <a16:creationId xmlns:a16="http://schemas.microsoft.com/office/drawing/2014/main" id="{1CCA0194-E59B-EA4B-9E31-B2ED9CCF502A}"/>
            </a:ext>
          </a:extLst>
        </xdr:cNvPr>
        <xdr:cNvCxnSpPr>
          <a:cxnSpLocks/>
        </xdr:cNvCxnSpPr>
      </xdr:nvCxnSpPr>
      <xdr:spPr>
        <a:xfrm>
          <a:off x="8176985" y="13890171"/>
          <a:ext cx="11260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520864</xdr:colOff>
      <xdr:row>57</xdr:row>
      <xdr:rowOff>178807</xdr:rowOff>
    </xdr:from>
    <xdr:to>
      <xdr:col>4</xdr:col>
      <xdr:colOff>580118</xdr:colOff>
      <xdr:row>57</xdr:row>
      <xdr:rowOff>178807</xdr:rowOff>
    </xdr:to>
    <xdr:cxnSp macro="">
      <xdr:nvCxnSpPr>
        <xdr:cNvPr id="114" name="Conector recto de flecha 58">
          <a:extLst>
            <a:ext uri="{FF2B5EF4-FFF2-40B4-BE49-F238E27FC236}">
              <a16:creationId xmlns:a16="http://schemas.microsoft.com/office/drawing/2014/main" id="{1A414066-B1C9-E74C-8F62-AEF275D9958C}"/>
            </a:ext>
          </a:extLst>
        </xdr:cNvPr>
        <xdr:cNvCxnSpPr>
          <a:cxnSpLocks/>
        </xdr:cNvCxnSpPr>
      </xdr:nvCxnSpPr>
      <xdr:spPr>
        <a:xfrm>
          <a:off x="2482308" y="11693474"/>
          <a:ext cx="891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445217</xdr:colOff>
      <xdr:row>36</xdr:row>
      <xdr:rowOff>124757</xdr:rowOff>
    </xdr:from>
    <xdr:to>
      <xdr:col>12</xdr:col>
      <xdr:colOff>451556</xdr:colOff>
      <xdr:row>36</xdr:row>
      <xdr:rowOff>141111</xdr:rowOff>
    </xdr:to>
    <xdr:cxnSp macro="">
      <xdr:nvCxnSpPr>
        <xdr:cNvPr id="115" name="Conector recto de flecha 32">
          <a:extLst>
            <a:ext uri="{FF2B5EF4-FFF2-40B4-BE49-F238E27FC236}">
              <a16:creationId xmlns:a16="http://schemas.microsoft.com/office/drawing/2014/main" id="{4E812F92-038B-C548-A3CC-4352B687A979}"/>
            </a:ext>
          </a:extLst>
        </xdr:cNvPr>
        <xdr:cNvCxnSpPr>
          <a:cxnSpLocks/>
        </xdr:cNvCxnSpPr>
      </xdr:nvCxnSpPr>
      <xdr:spPr>
        <a:xfrm>
          <a:off x="4071773" y="7236757"/>
          <a:ext cx="6553894" cy="163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484728</xdr:colOff>
      <xdr:row>43</xdr:row>
      <xdr:rowOff>192490</xdr:rowOff>
    </xdr:from>
    <xdr:to>
      <xdr:col>12</xdr:col>
      <xdr:colOff>491067</xdr:colOff>
      <xdr:row>44</xdr:row>
      <xdr:rowOff>11289</xdr:rowOff>
    </xdr:to>
    <xdr:cxnSp macro="">
      <xdr:nvCxnSpPr>
        <xdr:cNvPr id="116" name="Conector recto de flecha 32">
          <a:extLst>
            <a:ext uri="{FF2B5EF4-FFF2-40B4-BE49-F238E27FC236}">
              <a16:creationId xmlns:a16="http://schemas.microsoft.com/office/drawing/2014/main" id="{C1916184-C64E-114B-8CEC-4FF33A056926}"/>
            </a:ext>
          </a:extLst>
        </xdr:cNvPr>
        <xdr:cNvCxnSpPr>
          <a:cxnSpLocks/>
        </xdr:cNvCxnSpPr>
      </xdr:nvCxnSpPr>
      <xdr:spPr>
        <a:xfrm>
          <a:off x="4111284" y="8687379"/>
          <a:ext cx="6553894" cy="163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360806</xdr:colOff>
      <xdr:row>46</xdr:row>
      <xdr:rowOff>42333</xdr:rowOff>
    </xdr:from>
    <xdr:to>
      <xdr:col>12</xdr:col>
      <xdr:colOff>479778</xdr:colOff>
      <xdr:row>51</xdr:row>
      <xdr:rowOff>20588</xdr:rowOff>
    </xdr:to>
    <xdr:cxnSp macro="">
      <xdr:nvCxnSpPr>
        <xdr:cNvPr id="119" name="Conector: angular 42">
          <a:extLst>
            <a:ext uri="{FF2B5EF4-FFF2-40B4-BE49-F238E27FC236}">
              <a16:creationId xmlns:a16="http://schemas.microsoft.com/office/drawing/2014/main" id="{F6AD83D8-E802-DF4E-8FF5-780A41A026EA}"/>
            </a:ext>
          </a:extLst>
        </xdr:cNvPr>
        <xdr:cNvCxnSpPr>
          <a:cxnSpLocks/>
          <a:stCxn id="110" idx="5"/>
        </xdr:cNvCxnSpPr>
      </xdr:nvCxnSpPr>
      <xdr:spPr>
        <a:xfrm flipV="1">
          <a:off x="3987362" y="9129889"/>
          <a:ext cx="6666527" cy="9660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292300</xdr:colOff>
      <xdr:row>49</xdr:row>
      <xdr:rowOff>127001</xdr:rowOff>
    </xdr:from>
    <xdr:to>
      <xdr:col>12</xdr:col>
      <xdr:colOff>465667</xdr:colOff>
      <xdr:row>57</xdr:row>
      <xdr:rowOff>114210</xdr:rowOff>
    </xdr:to>
    <xdr:cxnSp macro="">
      <xdr:nvCxnSpPr>
        <xdr:cNvPr id="121" name="Conector: angular 42">
          <a:extLst>
            <a:ext uri="{FF2B5EF4-FFF2-40B4-BE49-F238E27FC236}">
              <a16:creationId xmlns:a16="http://schemas.microsoft.com/office/drawing/2014/main" id="{712FA286-BEB8-6A49-8D8C-71C9D33D24E4}"/>
            </a:ext>
          </a:extLst>
        </xdr:cNvPr>
        <xdr:cNvCxnSpPr>
          <a:cxnSpLocks/>
          <a:stCxn id="111" idx="5"/>
        </xdr:cNvCxnSpPr>
      </xdr:nvCxnSpPr>
      <xdr:spPr>
        <a:xfrm flipV="1">
          <a:off x="3918856" y="9807223"/>
          <a:ext cx="6720922" cy="182165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589346</xdr:colOff>
      <xdr:row>7</xdr:row>
      <xdr:rowOff>185935</xdr:rowOff>
    </xdr:from>
    <xdr:to>
      <xdr:col>3</xdr:col>
      <xdr:colOff>684043</xdr:colOff>
      <xdr:row>7</xdr:row>
      <xdr:rowOff>195647</xdr:rowOff>
    </xdr:to>
    <xdr:cxnSp macro="">
      <xdr:nvCxnSpPr>
        <xdr:cNvPr id="122" name="Conector recto de flecha 23">
          <a:extLst>
            <a:ext uri="{FF2B5EF4-FFF2-40B4-BE49-F238E27FC236}">
              <a16:creationId xmlns:a16="http://schemas.microsoft.com/office/drawing/2014/main" id="{E1115AA1-5034-B444-A514-BE57AD95832D}"/>
            </a:ext>
          </a:extLst>
        </xdr:cNvPr>
        <xdr:cNvCxnSpPr>
          <a:cxnSpLocks/>
        </xdr:cNvCxnSpPr>
      </xdr:nvCxnSpPr>
      <xdr:spPr>
        <a:xfrm>
          <a:off x="1718235" y="1568824"/>
          <a:ext cx="927252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14112</xdr:colOff>
      <xdr:row>13</xdr:row>
      <xdr:rowOff>28222</xdr:rowOff>
    </xdr:from>
    <xdr:to>
      <xdr:col>24</xdr:col>
      <xdr:colOff>451555</xdr:colOff>
      <xdr:row>13</xdr:row>
      <xdr:rowOff>28223</xdr:rowOff>
    </xdr:to>
    <xdr:cxnSp macro="">
      <xdr:nvCxnSpPr>
        <xdr:cNvPr id="123" name="Conector recto de flecha 23">
          <a:extLst>
            <a:ext uri="{FF2B5EF4-FFF2-40B4-BE49-F238E27FC236}">
              <a16:creationId xmlns:a16="http://schemas.microsoft.com/office/drawing/2014/main" id="{5A74EE6A-B1A6-714E-A719-C8C8B217D87B}"/>
            </a:ext>
          </a:extLst>
        </xdr:cNvPr>
        <xdr:cNvCxnSpPr>
          <a:cxnSpLocks/>
        </xdr:cNvCxnSpPr>
      </xdr:nvCxnSpPr>
      <xdr:spPr>
        <a:xfrm flipV="1">
          <a:off x="22083890" y="2596444"/>
          <a:ext cx="172155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mineria-my.sharepoint.com/personal/lbravo_cmp_cl/Documents/BALANCES%20MAGNETITA/Balances%20METALURGICOS%20mensuales/2022/12.%20Diciembre%202022/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</sheetData>
      <sheetData sheetId="1">
        <row r="12">
          <cell r="E12">
            <v>2097.3996419743307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178"/>
  <sheetViews>
    <sheetView topLeftCell="A91" zoomScale="130" zoomScaleNormal="130" workbookViewId="0">
      <selection activeCell="H106" sqref="H106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92">
      <c r="A1" s="196">
        <v>7094</v>
      </c>
      <c r="B1" s="196">
        <v>7094</v>
      </c>
      <c r="C1" s="196">
        <v>59.53</v>
      </c>
      <c r="D1" s="196">
        <v>58.686003720000002</v>
      </c>
      <c r="E1" s="196">
        <v>58.6</v>
      </c>
      <c r="F1" s="196">
        <v>57.769188952999997</v>
      </c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41"/>
    </row>
    <row r="2" spans="1:92">
      <c r="A2" s="196">
        <v>1710</v>
      </c>
      <c r="B2" s="196">
        <v>1763.84</v>
      </c>
      <c r="C2" s="196">
        <v>59.53</v>
      </c>
      <c r="D2" s="196">
        <v>59.733407839000002</v>
      </c>
      <c r="E2" s="196">
        <v>58.6</v>
      </c>
      <c r="F2" s="196">
        <v>58.800230151999997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41"/>
      <c r="AN2">
        <v>1</v>
      </c>
      <c r="AO2">
        <f>AN2+1</f>
        <v>2</v>
      </c>
      <c r="AP2">
        <f t="shared" ref="AP2:CE2" si="0">AO2+1</f>
        <v>3</v>
      </c>
      <c r="AQ2">
        <f t="shared" si="0"/>
        <v>4</v>
      </c>
      <c r="AR2">
        <f t="shared" si="0"/>
        <v>5</v>
      </c>
      <c r="AS2">
        <f t="shared" si="0"/>
        <v>6</v>
      </c>
      <c r="AT2">
        <f t="shared" si="0"/>
        <v>7</v>
      </c>
      <c r="AU2">
        <f t="shared" si="0"/>
        <v>8</v>
      </c>
      <c r="AV2">
        <f t="shared" si="0"/>
        <v>9</v>
      </c>
      <c r="AW2">
        <f t="shared" si="0"/>
        <v>10</v>
      </c>
      <c r="AX2">
        <f t="shared" si="0"/>
        <v>11</v>
      </c>
      <c r="AY2">
        <f t="shared" si="0"/>
        <v>12</v>
      </c>
      <c r="AZ2">
        <f t="shared" si="0"/>
        <v>13</v>
      </c>
      <c r="BA2">
        <f t="shared" si="0"/>
        <v>14</v>
      </c>
      <c r="BB2">
        <f t="shared" si="0"/>
        <v>15</v>
      </c>
      <c r="BC2">
        <f t="shared" si="0"/>
        <v>16</v>
      </c>
      <c r="BD2">
        <f t="shared" si="0"/>
        <v>17</v>
      </c>
      <c r="BE2">
        <f t="shared" si="0"/>
        <v>18</v>
      </c>
      <c r="BF2">
        <f t="shared" si="0"/>
        <v>19</v>
      </c>
      <c r="BG2">
        <f t="shared" si="0"/>
        <v>20</v>
      </c>
      <c r="BH2">
        <f t="shared" si="0"/>
        <v>21</v>
      </c>
      <c r="BI2">
        <f t="shared" si="0"/>
        <v>22</v>
      </c>
      <c r="BJ2">
        <f t="shared" si="0"/>
        <v>23</v>
      </c>
      <c r="BK2">
        <f t="shared" si="0"/>
        <v>24</v>
      </c>
      <c r="BL2">
        <f t="shared" si="0"/>
        <v>25</v>
      </c>
      <c r="BM2">
        <f t="shared" si="0"/>
        <v>26</v>
      </c>
      <c r="BN2">
        <f t="shared" si="0"/>
        <v>27</v>
      </c>
      <c r="BO2">
        <f t="shared" si="0"/>
        <v>28</v>
      </c>
      <c r="BP2">
        <f t="shared" si="0"/>
        <v>29</v>
      </c>
      <c r="BQ2">
        <f t="shared" si="0"/>
        <v>30</v>
      </c>
      <c r="BR2">
        <f t="shared" si="0"/>
        <v>31</v>
      </c>
      <c r="BS2">
        <f t="shared" si="0"/>
        <v>32</v>
      </c>
      <c r="BT2">
        <f t="shared" si="0"/>
        <v>33</v>
      </c>
      <c r="BU2">
        <f t="shared" si="0"/>
        <v>34</v>
      </c>
      <c r="BV2">
        <f t="shared" si="0"/>
        <v>35</v>
      </c>
      <c r="BW2">
        <f t="shared" si="0"/>
        <v>36</v>
      </c>
      <c r="BX2">
        <f t="shared" si="0"/>
        <v>37</v>
      </c>
      <c r="BY2">
        <f t="shared" si="0"/>
        <v>38</v>
      </c>
      <c r="BZ2">
        <f t="shared" si="0"/>
        <v>39</v>
      </c>
      <c r="CA2">
        <f t="shared" si="0"/>
        <v>40</v>
      </c>
      <c r="CB2">
        <f t="shared" si="0"/>
        <v>41</v>
      </c>
      <c r="CC2">
        <f t="shared" si="0"/>
        <v>42</v>
      </c>
      <c r="CD2">
        <f t="shared" si="0"/>
        <v>43</v>
      </c>
      <c r="CE2">
        <f t="shared" si="0"/>
        <v>44</v>
      </c>
    </row>
    <row r="3" spans="1:92" s="1" customFormat="1" ht="45" customHeight="1">
      <c r="A3" s="196">
        <v>5384</v>
      </c>
      <c r="B3" s="196">
        <v>5330.16</v>
      </c>
      <c r="C3" s="196">
        <v>59.53</v>
      </c>
      <c r="D3" s="196">
        <v>58.339399999999998</v>
      </c>
      <c r="E3" s="196">
        <v>58.6</v>
      </c>
      <c r="F3" s="196">
        <v>57.427999999999997</v>
      </c>
      <c r="G3" s="140"/>
      <c r="H3" s="142"/>
      <c r="I3" s="142"/>
      <c r="J3" s="142"/>
      <c r="K3" s="143"/>
      <c r="L3" s="144"/>
      <c r="M3" s="144"/>
      <c r="N3" s="144"/>
      <c r="O3" s="144"/>
      <c r="P3" s="144"/>
      <c r="Q3" s="144"/>
      <c r="R3" s="144"/>
      <c r="S3" s="145"/>
      <c r="T3" s="145"/>
      <c r="U3" s="48"/>
      <c r="V3" s="48"/>
      <c r="W3" s="48"/>
      <c r="X3" s="48"/>
      <c r="Y3" s="48"/>
      <c r="Z3" s="48"/>
      <c r="AA3" s="48"/>
      <c r="AB3" s="48"/>
      <c r="AC3" s="48"/>
      <c r="AD3" s="48"/>
      <c r="AE3" s="49"/>
      <c r="AF3" s="49"/>
      <c r="AG3" s="49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 s="55"/>
      <c r="BV3" s="55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</row>
    <row r="4" spans="1:92" ht="18.5" customHeight="1">
      <c r="A4" s="196">
        <v>8329</v>
      </c>
      <c r="B4" s="196">
        <v>8329</v>
      </c>
      <c r="C4" s="196">
        <v>43.13</v>
      </c>
      <c r="D4" s="196">
        <v>42.611354513000002</v>
      </c>
      <c r="E4" s="196">
        <v>40.81</v>
      </c>
      <c r="F4" s="196">
        <v>40.319905360999996</v>
      </c>
      <c r="G4" s="140"/>
      <c r="H4" s="140"/>
      <c r="I4" s="140"/>
      <c r="J4" s="140"/>
      <c r="K4" s="146"/>
      <c r="L4" s="140"/>
      <c r="M4" s="140"/>
      <c r="N4" s="140"/>
      <c r="O4" s="140"/>
      <c r="P4" s="140"/>
      <c r="Q4" s="140"/>
      <c r="R4" s="140"/>
      <c r="S4" s="141"/>
      <c r="T4" s="141"/>
      <c r="AL4" s="1"/>
      <c r="AM4" s="48"/>
      <c r="AS4" s="57"/>
    </row>
    <row r="5" spans="1:92" ht="18.5" customHeight="1">
      <c r="A5" s="196">
        <v>2720</v>
      </c>
      <c r="B5" s="196">
        <v>2776.09</v>
      </c>
      <c r="C5" s="196">
        <v>43.13</v>
      </c>
      <c r="D5" s="196">
        <v>43.299353986</v>
      </c>
      <c r="E5" s="196">
        <v>40.81</v>
      </c>
      <c r="F5" s="196">
        <v>40.972201837</v>
      </c>
      <c r="G5" s="140"/>
      <c r="H5" s="140"/>
      <c r="I5" s="140"/>
      <c r="J5" s="140"/>
      <c r="K5" s="146"/>
      <c r="L5" s="140"/>
      <c r="M5" s="140"/>
      <c r="N5" s="140"/>
      <c r="O5" s="140"/>
      <c r="P5" s="140"/>
      <c r="Q5" s="140"/>
      <c r="R5" s="140"/>
      <c r="S5" s="141"/>
      <c r="T5" s="141"/>
      <c r="AL5" s="1"/>
      <c r="AM5" s="48"/>
    </row>
    <row r="6" spans="1:92" ht="18.5" customHeight="1">
      <c r="A6" s="196">
        <v>5609</v>
      </c>
      <c r="B6" s="196">
        <v>5552.91</v>
      </c>
      <c r="C6" s="196">
        <v>43.13</v>
      </c>
      <c r="D6" s="196">
        <v>42.267400000000002</v>
      </c>
      <c r="E6" s="196">
        <v>40.81</v>
      </c>
      <c r="F6" s="196">
        <v>39.9938</v>
      </c>
      <c r="G6" s="140"/>
      <c r="H6" s="140"/>
      <c r="I6" s="140"/>
      <c r="J6" s="140"/>
      <c r="K6" s="146"/>
      <c r="L6" s="140"/>
      <c r="M6" s="140"/>
      <c r="N6" s="140"/>
      <c r="O6" s="140"/>
      <c r="P6" s="140"/>
      <c r="Q6" s="140"/>
      <c r="R6" s="140"/>
      <c r="S6" s="141"/>
      <c r="T6" s="141"/>
      <c r="AL6" s="1"/>
      <c r="AM6" s="48"/>
    </row>
    <row r="7" spans="1:92" ht="18.5" customHeight="1">
      <c r="A7" s="196">
        <v>9517</v>
      </c>
      <c r="B7" s="196">
        <v>9517</v>
      </c>
      <c r="C7" s="196">
        <v>49</v>
      </c>
      <c r="D7" s="196">
        <v>48.923527985</v>
      </c>
      <c r="E7" s="196">
        <v>47.35</v>
      </c>
      <c r="F7" s="196">
        <v>47.276103063999997</v>
      </c>
      <c r="G7" s="140"/>
      <c r="H7" s="140"/>
      <c r="I7" s="140"/>
      <c r="J7" s="140"/>
      <c r="K7" s="146"/>
      <c r="L7" s="140"/>
      <c r="M7" s="140"/>
      <c r="N7" s="140"/>
      <c r="O7" s="140"/>
      <c r="P7" s="140"/>
      <c r="Q7" s="140"/>
      <c r="R7" s="140"/>
      <c r="S7" s="141"/>
      <c r="T7" s="141"/>
      <c r="AL7" s="1"/>
      <c r="AM7" s="48"/>
    </row>
    <row r="8" spans="1:92" ht="18.5" customHeight="1">
      <c r="A8" s="196">
        <v>8208</v>
      </c>
      <c r="B8" s="196">
        <v>8221.09</v>
      </c>
      <c r="C8" s="196">
        <v>49</v>
      </c>
      <c r="D8" s="196">
        <v>49.065953254</v>
      </c>
      <c r="E8" s="196">
        <v>47.35</v>
      </c>
      <c r="F8" s="196">
        <v>47.413732379999999</v>
      </c>
      <c r="G8" s="140"/>
      <c r="H8" s="140"/>
      <c r="I8" s="140"/>
      <c r="J8" s="140"/>
      <c r="K8" s="146"/>
      <c r="L8" s="140"/>
      <c r="M8" s="140"/>
      <c r="N8" s="140"/>
      <c r="O8" s="140"/>
      <c r="P8" s="140"/>
      <c r="Q8" s="140"/>
      <c r="R8" s="140"/>
      <c r="S8" s="141"/>
      <c r="T8" s="141"/>
      <c r="AL8" s="1"/>
      <c r="AM8" s="48"/>
    </row>
    <row r="9" spans="1:92" ht="18.5" customHeight="1">
      <c r="A9" s="196">
        <v>1309</v>
      </c>
      <c r="B9" s="196">
        <v>1295.9100000000001</v>
      </c>
      <c r="C9" s="196">
        <v>49</v>
      </c>
      <c r="D9" s="196">
        <v>48.02</v>
      </c>
      <c r="E9" s="196">
        <v>47.35</v>
      </c>
      <c r="F9" s="196">
        <v>46.402999999999999</v>
      </c>
      <c r="G9" s="140"/>
      <c r="H9" s="140"/>
      <c r="I9" s="140"/>
      <c r="J9" s="140"/>
      <c r="K9" s="146"/>
      <c r="L9" s="147"/>
      <c r="M9" s="140"/>
      <c r="N9" s="140"/>
      <c r="O9" s="140"/>
      <c r="P9" s="140"/>
      <c r="Q9" s="140"/>
      <c r="R9" s="140"/>
      <c r="S9" s="141"/>
      <c r="T9" s="141"/>
      <c r="AL9" s="1"/>
      <c r="AM9" s="48"/>
    </row>
    <row r="10" spans="1:92" ht="18.5" customHeight="1">
      <c r="A10" s="196">
        <v>18376</v>
      </c>
      <c r="B10" s="196">
        <v>18376</v>
      </c>
      <c r="C10" s="196">
        <v>37</v>
      </c>
      <c r="D10" s="196">
        <v>36.7928</v>
      </c>
      <c r="E10" s="196">
        <v>35.25</v>
      </c>
      <c r="F10" s="196">
        <v>35.954999999999998</v>
      </c>
      <c r="G10" s="140"/>
      <c r="H10" s="140"/>
      <c r="I10" s="140"/>
      <c r="J10" s="140"/>
      <c r="K10" s="146"/>
      <c r="L10" s="140"/>
      <c r="M10" s="140"/>
      <c r="N10" s="140"/>
      <c r="O10" s="140"/>
      <c r="P10" s="140"/>
      <c r="Q10" s="140"/>
      <c r="R10" s="140"/>
      <c r="S10" s="141"/>
      <c r="T10" s="141"/>
      <c r="AL10" s="1"/>
      <c r="AM10" s="48"/>
    </row>
    <row r="11" spans="1:92" ht="18.5" customHeight="1">
      <c r="A11" s="196">
        <v>14271</v>
      </c>
      <c r="B11" s="196">
        <v>14312.05</v>
      </c>
      <c r="C11" s="196">
        <v>37</v>
      </c>
      <c r="D11" s="196">
        <v>37.194536751000001</v>
      </c>
      <c r="E11" s="196">
        <v>35.25</v>
      </c>
      <c r="F11" s="196">
        <v>36.647561445999997</v>
      </c>
      <c r="G11" s="140"/>
      <c r="H11" s="140"/>
      <c r="I11" s="140"/>
      <c r="J11" s="140"/>
      <c r="K11" s="146"/>
      <c r="L11" s="140"/>
      <c r="M11" s="140"/>
      <c r="N11" s="140"/>
      <c r="O11" s="140"/>
      <c r="P11" s="140"/>
      <c r="Q11" s="140"/>
      <c r="R11" s="140"/>
      <c r="S11" s="141"/>
      <c r="T11" s="141"/>
      <c r="AL11" s="1"/>
      <c r="AM11" s="48"/>
    </row>
    <row r="12" spans="1:92" ht="18.5" customHeight="1">
      <c r="A12" s="196">
        <v>4105</v>
      </c>
      <c r="B12" s="196">
        <v>4063.95</v>
      </c>
      <c r="C12" s="196">
        <v>36.1</v>
      </c>
      <c r="D12" s="196">
        <v>35.378</v>
      </c>
      <c r="E12" s="196">
        <v>34.200000000000003</v>
      </c>
      <c r="F12" s="196">
        <v>33.515999999999998</v>
      </c>
      <c r="G12" s="140"/>
      <c r="H12" s="140"/>
      <c r="I12" s="140"/>
      <c r="J12" s="140"/>
      <c r="K12" s="146"/>
      <c r="L12" s="140"/>
      <c r="M12" s="140"/>
      <c r="N12" s="140"/>
      <c r="O12" s="140"/>
      <c r="P12" s="140"/>
      <c r="Q12" s="140"/>
      <c r="R12" s="140"/>
      <c r="S12" s="141"/>
      <c r="T12" s="141"/>
      <c r="AL12" s="1"/>
      <c r="AM12" s="48"/>
    </row>
    <row r="13" spans="1:92" ht="18.5" customHeight="1">
      <c r="A13" s="196">
        <v>3933</v>
      </c>
      <c r="B13" s="196">
        <v>3933</v>
      </c>
      <c r="C13" s="196">
        <v>49.59</v>
      </c>
      <c r="D13" s="196">
        <v>49.429762728</v>
      </c>
      <c r="E13" s="196">
        <v>45.13</v>
      </c>
      <c r="F13" s="196">
        <v>44.984174072999998</v>
      </c>
      <c r="G13" s="140"/>
      <c r="H13" s="140"/>
      <c r="I13" s="140"/>
      <c r="J13" s="140"/>
      <c r="K13" s="146"/>
      <c r="L13" s="140"/>
      <c r="M13" s="140"/>
      <c r="N13" s="140"/>
      <c r="O13" s="140"/>
      <c r="P13" s="140"/>
      <c r="Q13" s="140"/>
      <c r="R13" s="140"/>
      <c r="S13" s="141"/>
      <c r="T13" s="141"/>
      <c r="AL13" s="1"/>
      <c r="AM13" s="48"/>
    </row>
    <row r="14" spans="1:92" ht="18.5" customHeight="1">
      <c r="A14" s="196">
        <v>2933</v>
      </c>
      <c r="B14" s="196">
        <v>2943</v>
      </c>
      <c r="C14" s="196">
        <v>49.59</v>
      </c>
      <c r="D14" s="196">
        <v>49.709493309999999</v>
      </c>
      <c r="E14" s="196">
        <v>45.13</v>
      </c>
      <c r="F14" s="196">
        <v>45.238746392000003</v>
      </c>
      <c r="G14" s="140"/>
      <c r="H14" s="140"/>
      <c r="I14" s="140"/>
      <c r="J14" s="140"/>
      <c r="K14" s="146"/>
      <c r="L14" s="140"/>
      <c r="M14" s="140"/>
      <c r="N14" s="140"/>
      <c r="O14" s="140"/>
      <c r="P14" s="140"/>
      <c r="Q14" s="140"/>
      <c r="R14" s="140"/>
      <c r="S14" s="141"/>
      <c r="T14" s="141"/>
      <c r="AL14" s="1"/>
      <c r="AM14" s="48"/>
    </row>
    <row r="15" spans="1:92" ht="18.5" customHeight="1">
      <c r="A15" s="196">
        <v>1000</v>
      </c>
      <c r="B15" s="196">
        <v>990</v>
      </c>
      <c r="C15" s="196">
        <v>49.59</v>
      </c>
      <c r="D15" s="196">
        <v>48.598199999999999</v>
      </c>
      <c r="E15" s="196">
        <v>45.13</v>
      </c>
      <c r="F15" s="196">
        <v>44.227400000000003</v>
      </c>
      <c r="G15" s="140"/>
      <c r="H15" s="140"/>
      <c r="I15" s="140"/>
      <c r="J15" s="140"/>
      <c r="K15" s="146"/>
      <c r="L15" s="140"/>
      <c r="M15" s="140"/>
      <c r="N15" s="140"/>
      <c r="O15" s="140"/>
      <c r="P15" s="140"/>
      <c r="Q15" s="140"/>
      <c r="R15" s="140"/>
      <c r="S15" s="141"/>
      <c r="T15" s="141"/>
      <c r="AL15" s="1"/>
      <c r="AM15" s="48"/>
    </row>
    <row r="16" spans="1:92" ht="18.5" customHeight="1">
      <c r="A16" s="196">
        <v>750</v>
      </c>
      <c r="B16" s="196">
        <v>750</v>
      </c>
      <c r="C16" s="196">
        <v>42.31</v>
      </c>
      <c r="D16" s="196">
        <v>41.463799999999999</v>
      </c>
      <c r="E16" s="196">
        <v>37.96</v>
      </c>
      <c r="F16" s="196">
        <v>37.200800000000001</v>
      </c>
      <c r="G16" s="140"/>
      <c r="H16" s="140"/>
      <c r="I16" s="140"/>
      <c r="J16" s="140"/>
      <c r="K16" s="146"/>
      <c r="L16" s="140"/>
      <c r="M16" s="140"/>
      <c r="N16" s="140"/>
      <c r="O16" s="140"/>
      <c r="P16" s="140"/>
      <c r="Q16" s="140"/>
      <c r="R16" s="140"/>
      <c r="S16" s="141"/>
      <c r="T16" s="141"/>
      <c r="AL16" s="1"/>
      <c r="AM16" s="48"/>
    </row>
    <row r="17" spans="1:39" ht="18.5" customHeight="1">
      <c r="A17" s="196">
        <v>-250</v>
      </c>
      <c r="B17" s="196">
        <v>-240</v>
      </c>
      <c r="C17" s="196">
        <v>42.31</v>
      </c>
      <c r="D17" s="196">
        <v>41.463799999999999</v>
      </c>
      <c r="E17" s="196">
        <v>37.96</v>
      </c>
      <c r="F17" s="196">
        <v>37.200800000000001</v>
      </c>
      <c r="G17" s="140"/>
      <c r="H17" s="140"/>
      <c r="I17" s="140"/>
      <c r="J17" s="140"/>
      <c r="K17" s="146"/>
      <c r="L17" s="140"/>
      <c r="M17" s="140"/>
      <c r="N17" s="140"/>
      <c r="O17" s="140"/>
      <c r="P17" s="140"/>
      <c r="Q17" s="140"/>
      <c r="R17" s="140"/>
      <c r="S17" s="141"/>
      <c r="T17" s="141"/>
      <c r="AL17" s="1"/>
      <c r="AM17" s="48"/>
    </row>
    <row r="18" spans="1:39" ht="18.5" customHeight="1">
      <c r="A18" s="196">
        <v>1000</v>
      </c>
      <c r="B18" s="196">
        <v>990</v>
      </c>
      <c r="C18" s="196">
        <v>42.31</v>
      </c>
      <c r="D18" s="196">
        <v>41.463799999999999</v>
      </c>
      <c r="E18" s="196">
        <v>37.96</v>
      </c>
      <c r="F18" s="196">
        <v>37.200800000000001</v>
      </c>
      <c r="G18" s="140"/>
      <c r="H18" s="140"/>
      <c r="I18" s="140"/>
      <c r="J18" s="140"/>
      <c r="K18" s="146"/>
      <c r="L18" s="140"/>
      <c r="M18" s="140"/>
      <c r="N18" s="140"/>
      <c r="O18" s="140"/>
      <c r="P18" s="140"/>
      <c r="Q18" s="140"/>
      <c r="R18" s="140"/>
      <c r="S18" s="141"/>
      <c r="T18" s="141"/>
      <c r="AL18" s="1"/>
      <c r="AM18" s="48"/>
    </row>
    <row r="19" spans="1:39" ht="18.5" customHeight="1">
      <c r="A19" s="196">
        <v>0</v>
      </c>
      <c r="B19" s="196">
        <v>0</v>
      </c>
      <c r="C19" s="196">
        <v>0</v>
      </c>
      <c r="D19" s="196">
        <v>0</v>
      </c>
      <c r="E19" s="196">
        <v>0</v>
      </c>
      <c r="F19" s="196">
        <v>0</v>
      </c>
      <c r="G19" s="140"/>
      <c r="H19" s="140"/>
      <c r="I19" s="140"/>
      <c r="J19" s="140"/>
      <c r="K19" s="146"/>
      <c r="L19" s="140"/>
      <c r="M19" s="140"/>
      <c r="N19" s="140"/>
      <c r="O19" s="140"/>
      <c r="P19" s="140"/>
      <c r="Q19" s="140"/>
      <c r="R19" s="140"/>
      <c r="S19" s="141"/>
      <c r="T19" s="141"/>
      <c r="AL19" s="1"/>
      <c r="AM19" s="48"/>
    </row>
    <row r="20" spans="1:39" ht="18.5" customHeight="1">
      <c r="A20" s="196">
        <v>0</v>
      </c>
      <c r="B20" s="196">
        <v>0</v>
      </c>
      <c r="C20" s="196">
        <v>0</v>
      </c>
      <c r="D20" s="196">
        <v>0</v>
      </c>
      <c r="E20" s="196">
        <v>0</v>
      </c>
      <c r="F20" s="196">
        <v>0</v>
      </c>
      <c r="G20" s="140"/>
      <c r="H20" s="140"/>
      <c r="I20" s="140"/>
      <c r="J20" s="140"/>
      <c r="K20" s="146"/>
      <c r="L20" s="140"/>
      <c r="M20" s="140"/>
      <c r="N20" s="140"/>
      <c r="O20" s="140"/>
      <c r="P20" s="140"/>
      <c r="Q20" s="140"/>
      <c r="R20" s="140"/>
      <c r="S20" s="141"/>
      <c r="T20" s="141"/>
      <c r="AL20" s="1"/>
      <c r="AM20" s="48"/>
    </row>
    <row r="21" spans="1:39" ht="18.5" customHeight="1">
      <c r="A21" s="196">
        <v>0</v>
      </c>
      <c r="B21" s="196">
        <v>0</v>
      </c>
      <c r="C21" s="196">
        <v>0</v>
      </c>
      <c r="D21" s="196">
        <v>0</v>
      </c>
      <c r="E21" s="196">
        <v>0</v>
      </c>
      <c r="F21" s="196">
        <v>0</v>
      </c>
      <c r="G21" s="140"/>
      <c r="H21" s="140"/>
      <c r="I21" s="140"/>
      <c r="J21" s="140"/>
      <c r="K21" s="146"/>
      <c r="L21" s="140"/>
      <c r="M21" s="140"/>
      <c r="N21" s="140"/>
      <c r="O21" s="140"/>
      <c r="P21" s="140"/>
      <c r="Q21" s="140"/>
      <c r="R21" s="140"/>
      <c r="S21" s="141"/>
      <c r="T21" s="141"/>
      <c r="AL21" s="1"/>
      <c r="AM21" s="48"/>
    </row>
    <row r="22" spans="1:39" ht="18.5" customHeight="1">
      <c r="A22" s="196">
        <v>2413</v>
      </c>
      <c r="B22" s="196">
        <v>2413</v>
      </c>
      <c r="C22" s="196">
        <v>54.69</v>
      </c>
      <c r="D22" s="196">
        <v>54.69</v>
      </c>
      <c r="E22" s="196">
        <v>52.14</v>
      </c>
      <c r="F22" s="196">
        <v>52.14</v>
      </c>
      <c r="G22" s="140"/>
      <c r="H22" s="140"/>
      <c r="I22" s="140"/>
      <c r="J22" s="140"/>
      <c r="K22" s="146"/>
      <c r="L22" s="140"/>
      <c r="M22" s="140"/>
      <c r="N22" s="140"/>
      <c r="O22" s="140"/>
      <c r="P22" s="140"/>
      <c r="Q22" s="140"/>
      <c r="R22" s="140"/>
      <c r="S22" s="141"/>
      <c r="T22" s="141"/>
      <c r="AL22" s="1"/>
      <c r="AM22" s="48"/>
    </row>
    <row r="23" spans="1:39" ht="18.5" customHeight="1">
      <c r="A23" s="196">
        <v>2413</v>
      </c>
      <c r="B23" s="196">
        <v>2413</v>
      </c>
      <c r="C23" s="196">
        <v>54.69</v>
      </c>
      <c r="D23" s="196">
        <v>54.69</v>
      </c>
      <c r="E23" s="196">
        <v>52.14</v>
      </c>
      <c r="F23" s="196">
        <v>52.14</v>
      </c>
      <c r="G23" s="140"/>
      <c r="H23" s="140"/>
      <c r="I23" s="140"/>
      <c r="J23" s="140"/>
      <c r="K23" s="146"/>
      <c r="L23" s="140"/>
      <c r="M23" s="140"/>
      <c r="N23" s="140"/>
      <c r="O23" s="140"/>
      <c r="P23" s="140"/>
      <c r="Q23" s="140"/>
      <c r="R23" s="140"/>
      <c r="S23" s="141"/>
      <c r="T23" s="141"/>
      <c r="AL23" s="1"/>
      <c r="AM23" s="49"/>
    </row>
    <row r="24" spans="1:39" ht="18.5" customHeight="1">
      <c r="A24" s="196">
        <v>0</v>
      </c>
      <c r="B24" s="196">
        <v>0</v>
      </c>
      <c r="C24" s="196">
        <v>0</v>
      </c>
      <c r="D24" s="196">
        <v>0</v>
      </c>
      <c r="E24" s="196">
        <v>0</v>
      </c>
      <c r="F24" s="196">
        <v>0</v>
      </c>
      <c r="G24" s="140"/>
      <c r="H24" s="140"/>
      <c r="I24" s="140"/>
      <c r="J24" s="140"/>
      <c r="K24" s="146"/>
      <c r="L24" s="140"/>
      <c r="M24" s="140"/>
      <c r="N24" s="140"/>
      <c r="O24" s="140"/>
      <c r="P24" s="140"/>
      <c r="Q24" s="140"/>
      <c r="R24" s="140"/>
      <c r="S24" s="141"/>
      <c r="T24" s="141"/>
      <c r="AL24" s="1"/>
      <c r="AM24" s="49"/>
    </row>
    <row r="25" spans="1:39" ht="18.5" customHeight="1">
      <c r="A25" s="196">
        <v>3933</v>
      </c>
      <c r="B25" s="196">
        <v>3933</v>
      </c>
      <c r="C25" s="196">
        <v>49.59</v>
      </c>
      <c r="D25" s="196">
        <v>49.429762728</v>
      </c>
      <c r="E25" s="196">
        <v>45.13</v>
      </c>
      <c r="F25" s="196">
        <v>44.984174072999998</v>
      </c>
      <c r="G25" s="140"/>
      <c r="H25" s="140"/>
      <c r="I25" s="140"/>
      <c r="J25" s="140"/>
      <c r="K25" s="146"/>
      <c r="L25" s="140"/>
      <c r="M25" s="140"/>
      <c r="N25" s="140"/>
      <c r="O25" s="140"/>
      <c r="P25" s="140"/>
      <c r="Q25" s="140"/>
      <c r="R25" s="140"/>
      <c r="S25" s="141"/>
      <c r="T25" s="141"/>
      <c r="AL25" s="1"/>
      <c r="AM25" s="49"/>
    </row>
    <row r="26" spans="1:39" ht="18.5" customHeight="1">
      <c r="A26" s="196">
        <v>2933</v>
      </c>
      <c r="B26" s="196">
        <v>2943</v>
      </c>
      <c r="C26" s="196">
        <v>49.59</v>
      </c>
      <c r="D26" s="196">
        <v>49.709493309999999</v>
      </c>
      <c r="E26" s="196">
        <v>45.13</v>
      </c>
      <c r="F26" s="196">
        <v>45.238746392000003</v>
      </c>
      <c r="G26" s="140"/>
      <c r="H26" s="140"/>
      <c r="I26" s="140"/>
      <c r="J26" s="140"/>
      <c r="K26" s="146"/>
      <c r="L26" s="140"/>
      <c r="M26" s="140"/>
      <c r="N26" s="140"/>
      <c r="O26" s="140"/>
      <c r="P26" s="140"/>
      <c r="Q26" s="140"/>
      <c r="R26" s="140"/>
      <c r="S26" s="141"/>
      <c r="T26" s="141"/>
    </row>
    <row r="27" spans="1:39" ht="18.5" customHeight="1">
      <c r="A27" s="196">
        <v>1000</v>
      </c>
      <c r="B27" s="196">
        <v>990</v>
      </c>
      <c r="C27" s="196">
        <v>49.59</v>
      </c>
      <c r="D27" s="196">
        <v>48.598199999999999</v>
      </c>
      <c r="E27" s="196">
        <v>45.13</v>
      </c>
      <c r="F27" s="196">
        <v>44.227400000000003</v>
      </c>
      <c r="G27" s="140"/>
      <c r="H27" s="140"/>
      <c r="I27" s="140"/>
      <c r="J27" s="140"/>
      <c r="K27" s="146"/>
      <c r="L27" s="140"/>
      <c r="M27" s="140"/>
      <c r="N27" s="140"/>
      <c r="O27" s="140"/>
      <c r="P27" s="140"/>
      <c r="Q27" s="140"/>
      <c r="R27" s="140"/>
      <c r="S27" s="141"/>
      <c r="T27" s="141"/>
    </row>
    <row r="28" spans="1:39" ht="18.5" customHeight="1">
      <c r="A28" s="196">
        <v>750</v>
      </c>
      <c r="B28" s="196">
        <v>750</v>
      </c>
      <c r="C28" s="196">
        <v>42.31</v>
      </c>
      <c r="D28" s="196">
        <v>41.463799999999999</v>
      </c>
      <c r="E28" s="196">
        <v>37.96</v>
      </c>
      <c r="F28" s="196">
        <v>37.200800000000001</v>
      </c>
      <c r="G28" s="146"/>
      <c r="H28" s="140"/>
      <c r="I28" s="140"/>
      <c r="J28" s="140"/>
      <c r="K28" s="146"/>
      <c r="L28" s="140"/>
      <c r="M28" s="140"/>
      <c r="N28" s="140"/>
      <c r="O28" s="140"/>
      <c r="P28" s="140"/>
      <c r="Q28" s="140"/>
      <c r="R28" s="140"/>
      <c r="S28" s="141"/>
      <c r="T28" s="141"/>
    </row>
    <row r="29" spans="1:39" ht="18.5" customHeight="1">
      <c r="A29" s="196">
        <v>-250</v>
      </c>
      <c r="B29" s="196">
        <v>-240</v>
      </c>
      <c r="C29" s="196">
        <v>42.31</v>
      </c>
      <c r="D29" s="196">
        <v>41.463799999999999</v>
      </c>
      <c r="E29" s="196">
        <v>37.96</v>
      </c>
      <c r="F29" s="196">
        <v>37.200800000000001</v>
      </c>
      <c r="G29" s="140"/>
      <c r="H29" s="140"/>
      <c r="I29" s="140"/>
      <c r="J29" s="140"/>
      <c r="K29" s="146"/>
      <c r="L29" s="140"/>
      <c r="M29" s="140"/>
      <c r="N29" s="140"/>
      <c r="O29" s="140"/>
      <c r="P29" s="140"/>
      <c r="Q29" s="140"/>
      <c r="R29" s="140"/>
      <c r="S29" s="141"/>
      <c r="T29" s="141"/>
    </row>
    <row r="30" spans="1:39" ht="18.5" customHeight="1">
      <c r="A30" s="196">
        <v>1000</v>
      </c>
      <c r="B30" s="196">
        <v>990</v>
      </c>
      <c r="C30" s="196">
        <v>42.31</v>
      </c>
      <c r="D30" s="196">
        <v>41.463799999999999</v>
      </c>
      <c r="E30" s="196">
        <v>37.96</v>
      </c>
      <c r="F30" s="196">
        <v>37.200800000000001</v>
      </c>
      <c r="G30" s="140"/>
      <c r="H30" s="140"/>
      <c r="I30" s="140"/>
      <c r="J30" s="140"/>
      <c r="K30" s="146"/>
      <c r="L30" s="140"/>
      <c r="M30" s="140"/>
      <c r="N30" s="140"/>
      <c r="O30" s="140"/>
      <c r="P30" s="140"/>
      <c r="Q30" s="140"/>
      <c r="R30" s="140"/>
      <c r="S30" s="141"/>
      <c r="T30" s="141"/>
    </row>
    <row r="31" spans="1:39" ht="18.5" customHeight="1">
      <c r="A31" s="196">
        <v>3933</v>
      </c>
      <c r="B31" s="196">
        <v>3933</v>
      </c>
      <c r="C31" s="196">
        <v>49.59</v>
      </c>
      <c r="D31" s="196">
        <v>49.429762728</v>
      </c>
      <c r="E31" s="196">
        <v>45.13</v>
      </c>
      <c r="F31" s="196">
        <v>44.984174072999998</v>
      </c>
      <c r="G31" s="140"/>
      <c r="H31" s="140"/>
      <c r="I31" s="140"/>
      <c r="J31" s="140"/>
      <c r="K31" s="146"/>
      <c r="L31" s="140"/>
      <c r="M31" s="140"/>
      <c r="N31" s="140"/>
      <c r="O31" s="140"/>
      <c r="P31" s="140"/>
      <c r="Q31" s="140"/>
      <c r="R31" s="140"/>
      <c r="S31" s="141"/>
      <c r="T31" s="141"/>
    </row>
    <row r="32" spans="1:39" ht="18.5" customHeight="1">
      <c r="A32" s="196">
        <v>2933</v>
      </c>
      <c r="B32" s="196">
        <v>2943</v>
      </c>
      <c r="C32" s="196">
        <v>49.59</v>
      </c>
      <c r="D32" s="196">
        <v>49.709493309999999</v>
      </c>
      <c r="E32" s="196">
        <v>45.13</v>
      </c>
      <c r="F32" s="196">
        <v>45.238746392000003</v>
      </c>
      <c r="G32" s="140"/>
      <c r="H32" s="140"/>
      <c r="I32" s="140"/>
      <c r="J32" s="140"/>
      <c r="K32" s="146"/>
      <c r="L32" s="140"/>
      <c r="M32" s="140"/>
      <c r="N32" s="140"/>
      <c r="O32" s="140"/>
      <c r="P32" s="140"/>
      <c r="Q32" s="140"/>
      <c r="R32" s="140"/>
      <c r="S32" s="141"/>
      <c r="T32" s="141"/>
    </row>
    <row r="33" spans="1:41" ht="18.5" customHeight="1">
      <c r="A33" s="196">
        <v>1000</v>
      </c>
      <c r="B33" s="196">
        <v>990</v>
      </c>
      <c r="C33" s="196">
        <v>49.59</v>
      </c>
      <c r="D33" s="196">
        <v>48.598199999999999</v>
      </c>
      <c r="E33" s="196">
        <v>45.13</v>
      </c>
      <c r="F33" s="196">
        <v>44.227400000000003</v>
      </c>
      <c r="G33" s="140"/>
      <c r="H33" s="140"/>
      <c r="I33" s="140"/>
      <c r="J33" s="140"/>
      <c r="K33" s="146"/>
      <c r="L33" s="140"/>
      <c r="M33" s="140"/>
      <c r="N33" s="140"/>
      <c r="O33" s="140"/>
      <c r="P33" s="140"/>
      <c r="Q33" s="140"/>
      <c r="R33" s="140"/>
      <c r="S33" s="141"/>
      <c r="T33" s="141"/>
      <c r="AN33" s="2"/>
      <c r="AO33" s="2"/>
    </row>
    <row r="34" spans="1:41" ht="18.5" customHeight="1">
      <c r="A34" s="196">
        <v>2413</v>
      </c>
      <c r="B34" s="196">
        <v>2413</v>
      </c>
      <c r="C34" s="196">
        <v>54.69</v>
      </c>
      <c r="D34" s="196">
        <v>54.69</v>
      </c>
      <c r="E34" s="196">
        <v>52.14</v>
      </c>
      <c r="F34" s="196">
        <v>52.14</v>
      </c>
      <c r="G34" s="140"/>
      <c r="H34" s="140"/>
      <c r="I34" s="140"/>
      <c r="J34" s="140"/>
      <c r="K34" s="146"/>
      <c r="L34" s="140"/>
      <c r="M34" s="140"/>
      <c r="N34" s="140"/>
      <c r="O34" s="140"/>
      <c r="P34" s="140"/>
      <c r="Q34" s="140"/>
      <c r="R34" s="140"/>
      <c r="S34" s="141"/>
      <c r="T34" s="141"/>
      <c r="AN34" s="2"/>
      <c r="AO34" s="2"/>
    </row>
    <row r="35" spans="1:41" ht="18.5" customHeight="1">
      <c r="A35" s="196">
        <v>2413</v>
      </c>
      <c r="B35" s="196">
        <v>2413</v>
      </c>
      <c r="C35" s="196">
        <v>54.69</v>
      </c>
      <c r="D35" s="196">
        <v>54.69</v>
      </c>
      <c r="E35" s="196">
        <v>52.14</v>
      </c>
      <c r="F35" s="196">
        <v>52.14</v>
      </c>
      <c r="G35" s="140"/>
      <c r="H35" s="140"/>
      <c r="I35" s="140"/>
      <c r="J35" s="140"/>
      <c r="K35" s="146"/>
      <c r="L35" s="140"/>
      <c r="M35" s="140"/>
      <c r="N35" s="140"/>
      <c r="O35" s="140"/>
      <c r="P35" s="140"/>
      <c r="Q35" s="140"/>
      <c r="R35" s="140"/>
      <c r="S35" s="141"/>
      <c r="T35" s="141"/>
      <c r="AN35" s="2"/>
      <c r="AO35" s="2"/>
    </row>
    <row r="36" spans="1:41" ht="18.5" customHeight="1">
      <c r="A36" s="196">
        <v>0</v>
      </c>
      <c r="B36" s="196">
        <v>0</v>
      </c>
      <c r="C36" s="196">
        <v>0</v>
      </c>
      <c r="D36" s="196">
        <v>0</v>
      </c>
      <c r="E36" s="196">
        <v>0</v>
      </c>
      <c r="F36" s="196">
        <v>0</v>
      </c>
      <c r="G36" s="140"/>
      <c r="H36" s="140"/>
      <c r="I36" s="140"/>
      <c r="J36" s="140"/>
      <c r="K36" s="146"/>
      <c r="L36" s="140"/>
      <c r="M36" s="140"/>
      <c r="N36" s="140"/>
      <c r="O36" s="140"/>
      <c r="P36" s="140"/>
      <c r="Q36" s="140"/>
      <c r="R36" s="140"/>
      <c r="S36" s="141"/>
      <c r="T36" s="141"/>
      <c r="AN36" s="2"/>
      <c r="AO36" s="2"/>
    </row>
    <row r="37" spans="1:41" ht="18.5" customHeight="1">
      <c r="A37" s="196">
        <v>0</v>
      </c>
      <c r="B37" s="196">
        <v>0</v>
      </c>
      <c r="C37" s="196">
        <v>0</v>
      </c>
      <c r="D37" s="196">
        <v>0</v>
      </c>
      <c r="E37" s="196">
        <v>0</v>
      </c>
      <c r="F37" s="196">
        <v>0</v>
      </c>
      <c r="G37" s="140"/>
      <c r="H37" s="140"/>
      <c r="I37" s="140"/>
      <c r="J37" s="140"/>
      <c r="K37" s="148"/>
      <c r="L37" s="140"/>
      <c r="M37" s="140"/>
      <c r="N37" s="140"/>
      <c r="O37" s="140"/>
      <c r="P37" s="140"/>
      <c r="Q37" s="140"/>
      <c r="R37" s="140"/>
      <c r="S37" s="141"/>
      <c r="T37" s="141"/>
      <c r="AN37" s="2"/>
      <c r="AO37" s="2"/>
    </row>
    <row r="38" spans="1:41" ht="18.5" customHeight="1">
      <c r="A38" s="196">
        <v>0</v>
      </c>
      <c r="B38" s="196">
        <v>0</v>
      </c>
      <c r="C38" s="196">
        <v>0</v>
      </c>
      <c r="D38" s="196">
        <v>0</v>
      </c>
      <c r="E38" s="196">
        <v>0</v>
      </c>
      <c r="F38" s="196">
        <v>0</v>
      </c>
      <c r="G38" s="140"/>
      <c r="H38" s="140"/>
      <c r="I38" s="140"/>
      <c r="J38" s="140"/>
      <c r="K38" s="148"/>
      <c r="L38" s="140"/>
      <c r="M38" s="140"/>
      <c r="N38" s="140"/>
      <c r="O38" s="140"/>
      <c r="P38" s="140"/>
      <c r="Q38" s="140"/>
      <c r="R38" s="140"/>
      <c r="S38" s="141"/>
      <c r="T38" s="141"/>
      <c r="AN38" s="2"/>
      <c r="AO38" s="2"/>
    </row>
    <row r="39" spans="1:41" ht="18.5" customHeight="1">
      <c r="A39" s="196">
        <v>0</v>
      </c>
      <c r="B39" s="196">
        <v>0</v>
      </c>
      <c r="C39" s="196">
        <v>0</v>
      </c>
      <c r="D39" s="196">
        <v>0</v>
      </c>
      <c r="E39" s="196">
        <v>0</v>
      </c>
      <c r="F39" s="196">
        <v>0</v>
      </c>
      <c r="G39" s="140"/>
      <c r="H39" s="140"/>
      <c r="I39" s="140"/>
      <c r="J39" s="140"/>
      <c r="K39" s="146"/>
      <c r="L39" s="140"/>
      <c r="M39" s="140"/>
      <c r="N39" s="140"/>
      <c r="O39" s="140"/>
      <c r="P39" s="140"/>
      <c r="Q39" s="140"/>
      <c r="R39" s="140"/>
      <c r="S39" s="141"/>
      <c r="T39" s="141"/>
      <c r="AN39" s="2"/>
      <c r="AO39" s="2"/>
    </row>
    <row r="40" spans="1:41" ht="18.5" customHeight="1">
      <c r="A40" s="196">
        <v>1834605</v>
      </c>
      <c r="B40" s="196">
        <v>1834605</v>
      </c>
      <c r="C40" s="196">
        <v>15.97</v>
      </c>
      <c r="D40" s="196">
        <v>16.027230537000001</v>
      </c>
      <c r="E40" s="196">
        <v>11.87</v>
      </c>
      <c r="F40" s="196">
        <v>11.5139</v>
      </c>
      <c r="G40" s="140"/>
      <c r="H40" s="140"/>
      <c r="I40" s="140"/>
      <c r="J40" s="140"/>
      <c r="K40" s="146"/>
      <c r="L40" s="140"/>
      <c r="M40" s="140"/>
      <c r="N40" s="140"/>
      <c r="O40" s="140"/>
      <c r="P40" s="140"/>
      <c r="Q40" s="140"/>
      <c r="R40" s="140"/>
      <c r="S40" s="141"/>
      <c r="T40" s="141"/>
      <c r="AN40" s="2"/>
      <c r="AO40" s="2"/>
    </row>
    <row r="41" spans="1:41" ht="18.5" customHeight="1">
      <c r="A41" s="196">
        <v>1061403.5231729627</v>
      </c>
      <c r="B41" s="196">
        <v>1072808.2402999999</v>
      </c>
      <c r="C41" s="196">
        <v>5.2832999999999997</v>
      </c>
      <c r="D41" s="196">
        <v>5.8116300000000001</v>
      </c>
      <c r="E41" s="196">
        <v>0.33329999999999999</v>
      </c>
      <c r="F41" s="196">
        <v>0.29997000000000001</v>
      </c>
      <c r="G41" s="140"/>
      <c r="H41" s="140"/>
      <c r="I41" s="140"/>
      <c r="J41" s="140"/>
      <c r="K41" s="146"/>
      <c r="L41" s="140"/>
      <c r="M41" s="140"/>
      <c r="N41" s="140"/>
      <c r="O41" s="140"/>
      <c r="P41" s="140"/>
      <c r="Q41" s="140"/>
      <c r="R41" s="140"/>
      <c r="S41" s="141"/>
      <c r="T41" s="141"/>
      <c r="AN41" s="2"/>
      <c r="AO41" s="2"/>
    </row>
    <row r="42" spans="1:41" ht="18.5" customHeight="1">
      <c r="A42" s="196">
        <v>773201.47682703729</v>
      </c>
      <c r="B42" s="196">
        <v>761796.75971000001</v>
      </c>
      <c r="C42" s="196">
        <v>30.64</v>
      </c>
      <c r="D42" s="196">
        <v>30.413456647</v>
      </c>
      <c r="E42" s="196">
        <v>27.863299999999999</v>
      </c>
      <c r="F42" s="196">
        <v>27.306034</v>
      </c>
      <c r="G42" s="140"/>
      <c r="H42" s="140"/>
      <c r="I42" s="140"/>
      <c r="J42" s="140"/>
      <c r="K42" s="146"/>
      <c r="L42" s="140"/>
      <c r="M42" s="140"/>
      <c r="N42" s="140"/>
      <c r="O42" s="140"/>
      <c r="P42" s="140"/>
      <c r="Q42" s="140"/>
      <c r="R42" s="140"/>
      <c r="S42" s="141"/>
      <c r="T42" s="141"/>
      <c r="AN42" s="2"/>
      <c r="AO42" s="2"/>
    </row>
    <row r="43" spans="1:41" ht="18.5" customHeight="1">
      <c r="A43" s="196">
        <v>211423.4722726765</v>
      </c>
      <c r="B43" s="196">
        <v>203770.97003</v>
      </c>
      <c r="C43" s="196">
        <v>5.8282999999999996</v>
      </c>
      <c r="D43" s="196">
        <v>6.41113</v>
      </c>
      <c r="E43" s="196">
        <v>0.28499999999999998</v>
      </c>
      <c r="F43" s="196">
        <v>0.25650000000000001</v>
      </c>
      <c r="G43" s="140"/>
      <c r="H43" s="140"/>
      <c r="I43" s="140"/>
      <c r="J43" s="140"/>
      <c r="K43" s="146"/>
      <c r="L43" s="140"/>
      <c r="M43" s="140"/>
      <c r="N43" s="140"/>
      <c r="O43" s="140"/>
      <c r="P43" s="140"/>
      <c r="Q43" s="140"/>
      <c r="R43" s="140"/>
      <c r="S43" s="141"/>
      <c r="T43" s="141"/>
      <c r="AN43" s="2"/>
      <c r="AO43" s="2"/>
    </row>
    <row r="44" spans="1:41" ht="18.5" customHeight="1">
      <c r="A44" s="196">
        <v>561778.00455436076</v>
      </c>
      <c r="B44" s="196">
        <v>558025.78968000005</v>
      </c>
      <c r="C44" s="196">
        <v>39.977800000000002</v>
      </c>
      <c r="D44" s="196">
        <v>39.178243999999999</v>
      </c>
      <c r="E44" s="196">
        <v>37.942399999999999</v>
      </c>
      <c r="F44" s="196">
        <v>37.183551999999999</v>
      </c>
      <c r="G44" s="146"/>
      <c r="H44" s="140"/>
      <c r="I44" s="140"/>
      <c r="J44" s="140"/>
      <c r="K44" s="146"/>
      <c r="L44" s="140"/>
      <c r="M44" s="140"/>
      <c r="N44" s="140"/>
      <c r="O44" s="140"/>
      <c r="P44" s="140"/>
      <c r="Q44" s="140"/>
      <c r="R44" s="140"/>
      <c r="S44" s="141"/>
      <c r="T44" s="141"/>
      <c r="AN44" s="2"/>
      <c r="AO44" s="2"/>
    </row>
    <row r="45" spans="1:41" ht="18.5" customHeight="1">
      <c r="A45" s="196">
        <v>0</v>
      </c>
      <c r="B45" s="196">
        <v>0</v>
      </c>
      <c r="C45" s="196">
        <v>0</v>
      </c>
      <c r="D45" s="196">
        <v>0</v>
      </c>
      <c r="E45" s="196">
        <v>0</v>
      </c>
      <c r="F45" s="196">
        <v>0</v>
      </c>
      <c r="G45" s="140"/>
      <c r="H45" s="140"/>
      <c r="I45" s="140"/>
      <c r="J45" s="140"/>
      <c r="K45" s="146"/>
      <c r="L45" s="140"/>
      <c r="M45" s="140"/>
      <c r="N45" s="140"/>
      <c r="O45" s="140"/>
      <c r="P45" s="140"/>
      <c r="Q45" s="140"/>
      <c r="R45" s="140"/>
      <c r="S45" s="141"/>
      <c r="T45" s="141"/>
      <c r="AN45" s="2"/>
      <c r="AO45" s="2"/>
    </row>
    <row r="46" spans="1:41" ht="18.5" customHeight="1">
      <c r="A46" s="196">
        <v>18407</v>
      </c>
      <c r="B46" s="196">
        <v>21192.93</v>
      </c>
      <c r="C46" s="196">
        <v>47.082999999999998</v>
      </c>
      <c r="D46" s="196">
        <v>46.152391563999998</v>
      </c>
      <c r="E46" s="196">
        <v>45.084400000000002</v>
      </c>
      <c r="F46" s="196">
        <v>43.860703657999998</v>
      </c>
      <c r="G46" s="140"/>
      <c r="H46" s="140"/>
      <c r="I46" s="140"/>
      <c r="J46" s="140"/>
      <c r="K46" s="146"/>
      <c r="L46" s="140"/>
      <c r="M46" s="140"/>
      <c r="N46" s="140"/>
      <c r="O46" s="140"/>
      <c r="P46" s="140"/>
      <c r="Q46" s="140"/>
      <c r="R46" s="140"/>
      <c r="S46" s="141"/>
      <c r="T46" s="141"/>
      <c r="AN46" s="2"/>
      <c r="AO46" s="2"/>
    </row>
    <row r="47" spans="1:41" ht="18.5" customHeight="1">
      <c r="A47" s="196">
        <v>565914.00455436076</v>
      </c>
      <c r="B47" s="196">
        <v>554962.39968000003</v>
      </c>
      <c r="C47" s="196">
        <v>36.314999999999998</v>
      </c>
      <c r="D47" s="196">
        <v>39.507435901999997</v>
      </c>
      <c r="E47" s="196">
        <v>34.268300000000004</v>
      </c>
      <c r="F47" s="196">
        <v>37.492236982000001</v>
      </c>
      <c r="G47" s="140"/>
      <c r="H47" s="140"/>
      <c r="I47" s="140"/>
      <c r="J47" s="140"/>
      <c r="K47" s="146"/>
      <c r="L47" s="140"/>
      <c r="M47" s="140"/>
      <c r="N47" s="140"/>
      <c r="O47" s="140"/>
      <c r="P47" s="140"/>
      <c r="Q47" s="140"/>
      <c r="R47" s="140"/>
      <c r="S47" s="141"/>
      <c r="T47" s="141"/>
      <c r="AN47" s="2"/>
      <c r="AO47" s="2"/>
    </row>
    <row r="48" spans="1:41" ht="18.5" customHeight="1">
      <c r="A48" s="196">
        <v>139295.21216821871</v>
      </c>
      <c r="B48" s="196">
        <v>85400.163704000006</v>
      </c>
      <c r="C48" s="196">
        <v>5.2949999999999999</v>
      </c>
      <c r="D48" s="196">
        <v>4.6596000000000002</v>
      </c>
      <c r="E48" s="196">
        <v>0.6</v>
      </c>
      <c r="F48" s="196">
        <v>0.67200000000000004</v>
      </c>
      <c r="G48" s="140"/>
      <c r="H48" s="140"/>
      <c r="I48" s="140"/>
      <c r="J48" s="140"/>
      <c r="K48" s="146"/>
      <c r="L48" s="140"/>
      <c r="M48" s="140"/>
      <c r="N48" s="140"/>
      <c r="O48" s="140"/>
      <c r="P48" s="140"/>
      <c r="Q48" s="140"/>
      <c r="R48" s="140"/>
      <c r="S48" s="141"/>
      <c r="T48" s="141"/>
      <c r="AN48" s="2"/>
      <c r="AO48" s="2"/>
    </row>
    <row r="49" spans="1:41" ht="18.5" customHeight="1">
      <c r="A49" s="196">
        <v>426618.79238614207</v>
      </c>
      <c r="B49" s="196">
        <v>475442.55596999999</v>
      </c>
      <c r="C49" s="196">
        <v>46.443300000000001</v>
      </c>
      <c r="D49" s="196">
        <v>45.781639824000003</v>
      </c>
      <c r="E49" s="196">
        <v>44.986699999999999</v>
      </c>
      <c r="F49" s="196">
        <v>44.086965999999997</v>
      </c>
      <c r="G49" s="140"/>
      <c r="H49" s="140"/>
      <c r="I49" s="140"/>
      <c r="J49" s="140"/>
      <c r="K49" s="146"/>
      <c r="L49" s="140"/>
      <c r="M49" s="140"/>
      <c r="N49" s="140"/>
      <c r="O49" s="140"/>
      <c r="P49" s="140"/>
      <c r="Q49" s="140"/>
      <c r="R49" s="140"/>
      <c r="S49" s="141"/>
      <c r="T49" s="141"/>
      <c r="AN49" s="2"/>
      <c r="AO49" s="2"/>
    </row>
    <row r="50" spans="1:41" ht="18.5" customHeight="1">
      <c r="A50" s="196">
        <v>104563.4262430596</v>
      </c>
      <c r="B50" s="196">
        <v>117510.73964</v>
      </c>
      <c r="C50" s="196">
        <v>9.6117000000000008</v>
      </c>
      <c r="D50" s="196">
        <v>8.9365182361999995</v>
      </c>
      <c r="E50" s="196">
        <v>5.9016999999999999</v>
      </c>
      <c r="F50" s="196">
        <v>6.6099040000000002</v>
      </c>
      <c r="G50" s="140"/>
      <c r="H50" s="140"/>
      <c r="I50" s="140"/>
      <c r="J50" s="140"/>
      <c r="K50" s="146"/>
      <c r="L50" s="140"/>
      <c r="M50" s="140"/>
      <c r="N50" s="140"/>
      <c r="O50" s="140"/>
      <c r="P50" s="140"/>
      <c r="Q50" s="140"/>
      <c r="R50" s="140"/>
      <c r="S50" s="141"/>
      <c r="T50" s="141"/>
      <c r="AN50" s="2"/>
      <c r="AO50" s="2"/>
    </row>
    <row r="51" spans="1:41" ht="18.5" customHeight="1">
      <c r="A51" s="196">
        <v>322055.36614308238</v>
      </c>
      <c r="B51" s="196">
        <v>357931.81634000002</v>
      </c>
      <c r="C51" s="196">
        <v>58.401699999999998</v>
      </c>
      <c r="D51" s="196">
        <v>57.878070741999998</v>
      </c>
      <c r="E51" s="196">
        <v>57.541699999999999</v>
      </c>
      <c r="F51" s="196">
        <v>56.390866000000003</v>
      </c>
      <c r="G51" s="140"/>
      <c r="H51" s="140"/>
      <c r="I51" s="140"/>
      <c r="J51" s="140"/>
      <c r="K51" s="146"/>
      <c r="L51" s="140"/>
      <c r="M51" s="140"/>
      <c r="N51" s="140"/>
      <c r="O51" s="140"/>
      <c r="P51" s="140"/>
      <c r="Q51" s="140"/>
      <c r="R51" s="140"/>
      <c r="S51" s="141"/>
      <c r="T51" s="141"/>
      <c r="AN51" s="2"/>
      <c r="AO51" s="2"/>
    </row>
    <row r="52" spans="1:41" ht="18.5" customHeight="1">
      <c r="A52" s="196">
        <v>0</v>
      </c>
      <c r="B52" s="196">
        <v>0</v>
      </c>
      <c r="C52" s="196">
        <v>0</v>
      </c>
      <c r="D52" s="196">
        <v>0</v>
      </c>
      <c r="E52" s="196">
        <v>0</v>
      </c>
      <c r="F52" s="196">
        <v>0</v>
      </c>
      <c r="G52" s="140"/>
      <c r="H52" s="140"/>
      <c r="I52" s="140"/>
      <c r="J52" s="140"/>
      <c r="K52" s="146"/>
      <c r="L52" s="140"/>
      <c r="M52" s="140"/>
      <c r="N52" s="140"/>
      <c r="O52" s="140"/>
      <c r="P52" s="140"/>
      <c r="Q52" s="140"/>
      <c r="R52" s="140"/>
      <c r="S52" s="141"/>
      <c r="T52" s="141"/>
      <c r="AN52" s="2"/>
      <c r="AO52" s="2"/>
    </row>
    <row r="53" spans="1:41" ht="18.5" customHeight="1">
      <c r="A53" s="196">
        <v>322055.36614308238</v>
      </c>
      <c r="B53" s="196">
        <v>357931.81634000002</v>
      </c>
      <c r="C53" s="196">
        <v>58.401699999999998</v>
      </c>
      <c r="D53" s="196">
        <v>57.878070741999998</v>
      </c>
      <c r="E53" s="196">
        <v>57.541699999999999</v>
      </c>
      <c r="F53" s="196">
        <v>56.390866000000003</v>
      </c>
      <c r="G53" s="140"/>
      <c r="H53" s="140"/>
      <c r="I53" s="140"/>
      <c r="J53" s="140"/>
      <c r="K53" s="146"/>
      <c r="L53" s="140"/>
      <c r="M53" s="140"/>
      <c r="N53" s="140"/>
      <c r="O53" s="140"/>
      <c r="P53" s="140"/>
      <c r="Q53" s="140"/>
      <c r="R53" s="140"/>
      <c r="S53" s="141"/>
      <c r="T53" s="141"/>
      <c r="AN53" s="2"/>
      <c r="AO53" s="2"/>
    </row>
    <row r="54" spans="1:41" ht="18.5" customHeight="1">
      <c r="A54" s="140">
        <v>110227.2116941225</v>
      </c>
      <c r="B54" s="140">
        <v>188804.81633999999</v>
      </c>
      <c r="C54" s="140">
        <v>46.076700000000002</v>
      </c>
      <c r="D54" s="140">
        <v>51.605904000000002</v>
      </c>
      <c r="E54" s="140">
        <v>44.454999999999998</v>
      </c>
      <c r="F54" s="140">
        <v>49.476243791999998</v>
      </c>
      <c r="G54" s="140"/>
      <c r="H54" s="140"/>
      <c r="I54" s="140"/>
      <c r="J54" s="140"/>
      <c r="K54" s="146"/>
      <c r="L54" s="140"/>
      <c r="M54" s="140"/>
      <c r="N54" s="140"/>
      <c r="O54" s="140"/>
      <c r="P54" s="140"/>
      <c r="Q54" s="140"/>
      <c r="R54" s="140"/>
      <c r="S54" s="141"/>
      <c r="T54" s="141"/>
      <c r="AN54" s="2"/>
      <c r="AO54" s="2"/>
    </row>
    <row r="55" spans="1:41" ht="18.5" customHeight="1">
      <c r="A55" s="140">
        <v>211828.15444896001</v>
      </c>
      <c r="B55" s="140">
        <v>170313.66046000001</v>
      </c>
      <c r="C55" s="140">
        <v>64.815100000000001</v>
      </c>
      <c r="D55" s="140">
        <v>64.744696724999997</v>
      </c>
      <c r="E55" s="140">
        <v>64.045900000000003</v>
      </c>
      <c r="F55" s="140">
        <v>63.973870124000001</v>
      </c>
      <c r="G55" s="140"/>
      <c r="H55" s="140"/>
      <c r="I55" s="140"/>
      <c r="J55" s="140"/>
      <c r="K55" s="146"/>
      <c r="L55" s="140"/>
      <c r="M55" s="140"/>
      <c r="N55" s="140"/>
      <c r="O55" s="140"/>
      <c r="P55" s="140"/>
      <c r="Q55" s="140"/>
      <c r="R55" s="140"/>
      <c r="S55" s="141"/>
      <c r="T55" s="141"/>
      <c r="AN55" s="2"/>
      <c r="AO55" s="2"/>
    </row>
    <row r="56" spans="1:41" ht="18.5" customHeight="1">
      <c r="A56" s="140">
        <v>595.16665027320005</v>
      </c>
      <c r="B56" s="140">
        <v>1186.6604602</v>
      </c>
      <c r="C56" s="140">
        <v>46.378300000000003</v>
      </c>
      <c r="D56" s="140">
        <v>45.460800603000003</v>
      </c>
      <c r="E56" s="140">
        <v>44.57</v>
      </c>
      <c r="F56" s="140">
        <v>44.572163932999999</v>
      </c>
      <c r="G56" s="140"/>
      <c r="H56" s="140"/>
      <c r="I56" s="140"/>
      <c r="J56" s="140"/>
      <c r="K56" s="146"/>
      <c r="L56" s="140"/>
      <c r="M56" s="140"/>
      <c r="N56" s="140"/>
      <c r="O56" s="140"/>
      <c r="P56" s="140"/>
      <c r="Q56" s="140"/>
      <c r="R56" s="140"/>
      <c r="S56" s="141"/>
      <c r="T56" s="141"/>
      <c r="AN56" s="2"/>
      <c r="AO56" s="2"/>
    </row>
    <row r="57" spans="1:41">
      <c r="A57" s="140">
        <v>0</v>
      </c>
      <c r="B57" s="140">
        <v>0</v>
      </c>
      <c r="C57" s="140">
        <v>0</v>
      </c>
      <c r="D57" s="140">
        <v>0</v>
      </c>
      <c r="E57" s="140">
        <v>0</v>
      </c>
      <c r="F57" s="140">
        <v>0</v>
      </c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1"/>
      <c r="T57" s="141"/>
      <c r="AN57" s="2"/>
      <c r="AO57" s="2"/>
    </row>
    <row r="58" spans="1:41">
      <c r="A58" s="140">
        <v>169127</v>
      </c>
      <c r="B58" s="140">
        <v>169127</v>
      </c>
      <c r="C58" s="140">
        <v>64.88</v>
      </c>
      <c r="D58" s="140">
        <v>64.88</v>
      </c>
      <c r="E58" s="140">
        <v>64.11</v>
      </c>
      <c r="F58" s="140">
        <v>64.11</v>
      </c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1"/>
      <c r="T58" s="141"/>
      <c r="AN58" s="2"/>
      <c r="AO58" s="2"/>
    </row>
    <row r="59" spans="1:41">
      <c r="A59" s="140">
        <v>1626912.84555104</v>
      </c>
      <c r="B59" s="140">
        <v>1668294.93</v>
      </c>
      <c r="C59" s="140">
        <v>8.3971999999999998</v>
      </c>
      <c r="D59" s="140">
        <v>11.228636551999999</v>
      </c>
      <c r="E59" s="140">
        <v>3.6970999999999998</v>
      </c>
      <c r="F59" s="140">
        <v>6.3235547216999999</v>
      </c>
      <c r="G59" s="54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1"/>
      <c r="T59" s="141"/>
      <c r="AN59" s="2"/>
      <c r="AO59" s="2"/>
    </row>
    <row r="60" spans="1:41">
      <c r="A60" s="140">
        <v>6125.3333333333003</v>
      </c>
      <c r="B60" s="140">
        <v>5880.32</v>
      </c>
      <c r="C60" s="140">
        <v>37</v>
      </c>
      <c r="D60" s="140">
        <v>40.700000000000003</v>
      </c>
      <c r="E60" s="140">
        <v>35.25</v>
      </c>
      <c r="F60" s="140">
        <v>35.954999999999998</v>
      </c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1"/>
      <c r="T60" s="141"/>
      <c r="AN60" s="2"/>
      <c r="AO60" s="2"/>
    </row>
    <row r="61" spans="1:41">
      <c r="A61" s="140">
        <v>24501.333333333299</v>
      </c>
      <c r="B61" s="140">
        <v>24256.32</v>
      </c>
      <c r="C61" s="140">
        <v>37</v>
      </c>
      <c r="D61" s="140">
        <v>37.74</v>
      </c>
      <c r="E61" s="140">
        <v>35.25</v>
      </c>
      <c r="F61" s="140">
        <v>35.954999999999998</v>
      </c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1"/>
      <c r="T61" s="141"/>
      <c r="AN61" s="2"/>
      <c r="AO61" s="2"/>
    </row>
    <row r="62" spans="1:41">
      <c r="A62" s="140">
        <v>537276.67122102738</v>
      </c>
      <c r="B62" s="140">
        <v>533769.46967999998</v>
      </c>
      <c r="C62" s="140">
        <v>39.977800000000002</v>
      </c>
      <c r="D62" s="140">
        <v>39.243602752999998</v>
      </c>
      <c r="E62" s="140">
        <v>37.942399999999999</v>
      </c>
      <c r="F62" s="140">
        <v>37.239381627</v>
      </c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1"/>
      <c r="T62" s="141"/>
      <c r="AN62" s="2"/>
      <c r="AO62" s="2"/>
    </row>
    <row r="63" spans="1:4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1"/>
      <c r="T63" s="141"/>
      <c r="AN63" s="2"/>
      <c r="AO63" s="2"/>
    </row>
    <row r="64" spans="1:4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1"/>
      <c r="T64" s="141"/>
      <c r="AN64" s="2"/>
      <c r="AO64" s="2"/>
    </row>
    <row r="65" spans="1:4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1"/>
      <c r="T65" s="141"/>
      <c r="AN65" s="2"/>
      <c r="AO65" s="2"/>
    </row>
    <row r="66" spans="1:41" ht="24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217"/>
      <c r="M66" s="217"/>
      <c r="N66" s="140"/>
      <c r="O66" s="218" t="s">
        <v>29</v>
      </c>
      <c r="P66" s="218"/>
      <c r="Q66" s="218"/>
      <c r="R66" s="140"/>
      <c r="S66" s="219"/>
      <c r="T66" s="219"/>
      <c r="W66" s="55"/>
      <c r="AB66" s="213"/>
      <c r="AC66" s="213"/>
      <c r="AD66" s="213"/>
      <c r="AE66" s="213"/>
      <c r="AN66" s="2"/>
      <c r="AO66" s="2"/>
    </row>
    <row r="67" spans="1:4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9"/>
      <c r="M67" s="149"/>
      <c r="N67" s="140"/>
      <c r="O67" s="149" t="s">
        <v>22</v>
      </c>
      <c r="P67" s="149" t="s">
        <v>23</v>
      </c>
      <c r="Q67" s="149" t="s">
        <v>24</v>
      </c>
      <c r="R67" s="140"/>
      <c r="S67" s="150"/>
      <c r="T67" s="150"/>
      <c r="U67" s="51"/>
      <c r="W67" s="51"/>
      <c r="AN67" s="2"/>
      <c r="AO67" s="2"/>
    </row>
    <row r="68" spans="1:41" ht="15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51"/>
      <c r="M68" s="152"/>
      <c r="N68" s="140" t="s">
        <v>0</v>
      </c>
      <c r="O68" s="151">
        <f>B1</f>
        <v>7094</v>
      </c>
      <c r="P68" s="152">
        <f>IF(D$1&gt;1,D1/100,D1)</f>
        <v>0.58686003720000002</v>
      </c>
      <c r="Q68" s="152">
        <f>IF(F$1&gt;1,F1/100,F1)</f>
        <v>0.57769188952999995</v>
      </c>
      <c r="R68" s="153">
        <f>P68*O68</f>
        <v>4163.1851038967998</v>
      </c>
      <c r="S68" s="154"/>
      <c r="T68" s="154"/>
      <c r="U68" s="3"/>
      <c r="V68" s="56"/>
      <c r="W68" s="3"/>
      <c r="X68" s="56"/>
      <c r="AB68" s="48"/>
      <c r="AN68" s="2"/>
      <c r="AO68" s="2"/>
    </row>
    <row r="69" spans="1:41" ht="15.5" customHeight="1">
      <c r="A69" s="140"/>
      <c r="B69" s="140"/>
      <c r="C69" s="140"/>
      <c r="D69" s="140"/>
      <c r="E69" s="140"/>
      <c r="F69" s="140"/>
      <c r="G69" s="140"/>
      <c r="H69" s="140"/>
      <c r="I69" s="151"/>
      <c r="J69" s="140"/>
      <c r="K69" s="140"/>
      <c r="L69" s="151"/>
      <c r="M69" s="152"/>
      <c r="N69" s="140" t="s">
        <v>3</v>
      </c>
      <c r="O69" s="151">
        <f t="shared" ref="O69:O117" si="1">B2</f>
        <v>1763.84</v>
      </c>
      <c r="P69" s="152">
        <f t="shared" ref="P69:P117" si="2">IF(D$1&gt;1,D2/100,D2)</f>
        <v>0.59733407838999997</v>
      </c>
      <c r="Q69" s="152">
        <f t="shared" ref="Q69:Q117" si="3">IF(F$1&gt;1,F2/100,F2)</f>
        <v>0.58800230151999999</v>
      </c>
      <c r="R69" s="153">
        <f t="shared" ref="R69:R117" si="4">P69*O69</f>
        <v>1053.6017408274174</v>
      </c>
      <c r="S69" s="154"/>
      <c r="T69" s="154"/>
      <c r="U69" s="3"/>
      <c r="V69" s="56"/>
      <c r="W69" s="3"/>
      <c r="X69" s="56"/>
      <c r="AB69" s="48"/>
      <c r="AN69" s="2"/>
      <c r="AO69" s="2"/>
    </row>
    <row r="70" spans="1:41" ht="15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51"/>
      <c r="M70" s="152"/>
      <c r="N70" s="140" t="s">
        <v>1</v>
      </c>
      <c r="O70" s="151">
        <f t="shared" si="1"/>
        <v>5330.16</v>
      </c>
      <c r="P70" s="152">
        <f t="shared" si="2"/>
        <v>0.58339399999999997</v>
      </c>
      <c r="Q70" s="152">
        <f t="shared" si="3"/>
        <v>0.57428000000000001</v>
      </c>
      <c r="R70" s="153">
        <f t="shared" si="4"/>
        <v>3109.5833630399998</v>
      </c>
      <c r="S70" s="154"/>
      <c r="T70" s="154"/>
      <c r="U70" s="3"/>
      <c r="V70" s="56"/>
      <c r="W70" s="3"/>
      <c r="X70" s="56"/>
      <c r="AB70" s="48"/>
      <c r="AN70" s="2"/>
      <c r="AO70" s="2"/>
    </row>
    <row r="71" spans="1:41" ht="15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51"/>
      <c r="M71" s="152"/>
      <c r="N71" s="140" t="s">
        <v>2</v>
      </c>
      <c r="O71" s="151">
        <f t="shared" si="1"/>
        <v>8329</v>
      </c>
      <c r="P71" s="152">
        <f t="shared" si="2"/>
        <v>0.42611354512999999</v>
      </c>
      <c r="Q71" s="152">
        <f t="shared" si="3"/>
        <v>0.40319905360999997</v>
      </c>
      <c r="R71" s="153">
        <f t="shared" si="4"/>
        <v>3549.0997173877699</v>
      </c>
      <c r="S71" s="154"/>
      <c r="T71" s="154"/>
      <c r="U71" s="3"/>
      <c r="V71" s="56"/>
      <c r="W71" s="3"/>
      <c r="X71" s="56"/>
      <c r="AB71" s="48"/>
      <c r="AN71" s="2"/>
      <c r="AO71" s="2"/>
    </row>
    <row r="72" spans="1:41" ht="15.5" customHeight="1">
      <c r="A72" s="140"/>
      <c r="B72" s="140"/>
      <c r="C72" s="140"/>
      <c r="D72" s="140"/>
      <c r="E72" s="140"/>
      <c r="F72" s="140"/>
      <c r="G72" s="140"/>
      <c r="H72" s="140"/>
      <c r="I72" s="151"/>
      <c r="J72" s="140"/>
      <c r="K72" s="140"/>
      <c r="L72" s="151"/>
      <c r="M72" s="152"/>
      <c r="N72" s="140" t="s">
        <v>4</v>
      </c>
      <c r="O72" s="151">
        <f t="shared" si="1"/>
        <v>2776.09</v>
      </c>
      <c r="P72" s="152">
        <f t="shared" si="2"/>
        <v>0.43299353986</v>
      </c>
      <c r="Q72" s="152">
        <f t="shared" si="3"/>
        <v>0.40972201837</v>
      </c>
      <c r="R72" s="153">
        <f t="shared" si="4"/>
        <v>1202.0290360699476</v>
      </c>
      <c r="S72" s="154"/>
      <c r="T72" s="154"/>
      <c r="U72" s="3"/>
      <c r="V72" s="56"/>
      <c r="W72" s="3"/>
      <c r="X72" s="56"/>
      <c r="AB72" s="48"/>
      <c r="AN72" s="2"/>
      <c r="AO72" s="2"/>
    </row>
    <row r="73" spans="1:41" ht="15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51"/>
      <c r="M73" s="152"/>
      <c r="N73" s="140" t="s">
        <v>5</v>
      </c>
      <c r="O73" s="151">
        <f t="shared" si="1"/>
        <v>5552.91</v>
      </c>
      <c r="P73" s="152">
        <f t="shared" si="2"/>
        <v>0.42267399999999999</v>
      </c>
      <c r="Q73" s="152">
        <f t="shared" si="3"/>
        <v>0.39993800000000002</v>
      </c>
      <c r="R73" s="153">
        <f t="shared" si="4"/>
        <v>2347.0706813399997</v>
      </c>
      <c r="S73" s="154"/>
      <c r="T73" s="154"/>
      <c r="U73" s="3"/>
      <c r="V73" s="56"/>
      <c r="W73" s="3"/>
      <c r="X73" s="56"/>
      <c r="AB73" s="48"/>
      <c r="AN73" s="2"/>
      <c r="AO73" s="2"/>
    </row>
    <row r="74" spans="1:41" ht="15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51"/>
      <c r="M74" s="152"/>
      <c r="N74" s="140" t="s">
        <v>6</v>
      </c>
      <c r="O74" s="151">
        <f t="shared" si="1"/>
        <v>9517</v>
      </c>
      <c r="P74" s="152">
        <f t="shared" si="2"/>
        <v>0.48923527984999998</v>
      </c>
      <c r="Q74" s="152">
        <f t="shared" si="3"/>
        <v>0.47276103063999997</v>
      </c>
      <c r="R74" s="153">
        <f t="shared" si="4"/>
        <v>4656.0521583324498</v>
      </c>
      <c r="S74" s="154"/>
      <c r="T74" s="154"/>
      <c r="U74" s="3"/>
      <c r="V74" s="56"/>
      <c r="W74" s="3"/>
      <c r="X74" s="56"/>
      <c r="AB74" s="48"/>
      <c r="AN74" s="2"/>
      <c r="AO74" s="2"/>
    </row>
    <row r="75" spans="1:41" ht="15.5" customHeight="1">
      <c r="A75" s="140"/>
      <c r="B75" s="140"/>
      <c r="C75" s="140"/>
      <c r="D75" s="140"/>
      <c r="E75" s="140"/>
      <c r="F75" s="140"/>
      <c r="G75" s="140"/>
      <c r="H75" s="140"/>
      <c r="I75" s="151"/>
      <c r="J75" s="140"/>
      <c r="K75" s="140"/>
      <c r="L75" s="151"/>
      <c r="M75" s="152"/>
      <c r="N75" s="140" t="s">
        <v>7</v>
      </c>
      <c r="O75" s="151">
        <f t="shared" si="1"/>
        <v>8221.09</v>
      </c>
      <c r="P75" s="152">
        <f t="shared" si="2"/>
        <v>0.49065953254</v>
      </c>
      <c r="Q75" s="152">
        <f t="shared" si="3"/>
        <v>0.47413732380000001</v>
      </c>
      <c r="R75" s="153">
        <f t="shared" si="4"/>
        <v>4033.7561763692688</v>
      </c>
      <c r="S75" s="154"/>
      <c r="T75" s="154"/>
      <c r="U75" s="3"/>
      <c r="V75" s="56"/>
      <c r="W75" s="3"/>
      <c r="X75" s="56"/>
      <c r="AB75" s="48"/>
      <c r="AN75" s="2"/>
      <c r="AO75" s="2"/>
    </row>
    <row r="76" spans="1:41" ht="15.5" customHeight="1">
      <c r="A76" s="140"/>
      <c r="B76" s="140"/>
      <c r="C76" s="140"/>
      <c r="D76" s="149"/>
      <c r="E76" s="149"/>
      <c r="F76" s="149"/>
      <c r="G76" s="149"/>
      <c r="H76" s="149"/>
      <c r="I76" s="140"/>
      <c r="J76" s="140"/>
      <c r="K76" s="140"/>
      <c r="L76" s="151"/>
      <c r="M76" s="152"/>
      <c r="N76" s="140" t="s">
        <v>8</v>
      </c>
      <c r="O76" s="151">
        <f t="shared" si="1"/>
        <v>1295.9100000000001</v>
      </c>
      <c r="P76" s="152">
        <f t="shared" si="2"/>
        <v>0.48020000000000002</v>
      </c>
      <c r="Q76" s="152">
        <f t="shared" si="3"/>
        <v>0.46403</v>
      </c>
      <c r="R76" s="153">
        <f t="shared" si="4"/>
        <v>622.29598200000009</v>
      </c>
      <c r="S76" s="154"/>
      <c r="T76" s="154"/>
      <c r="U76" s="3"/>
      <c r="V76" s="56"/>
      <c r="W76" s="3"/>
      <c r="X76" s="56"/>
      <c r="AB76" s="48"/>
      <c r="AN76" s="2"/>
      <c r="AO76" s="2"/>
    </row>
    <row r="77" spans="1:41" ht="15.5" customHeight="1">
      <c r="A77" s="140"/>
      <c r="B77" s="140"/>
      <c r="C77" s="140"/>
      <c r="D77" s="155"/>
      <c r="E77" s="155"/>
      <c r="F77" s="155"/>
      <c r="G77" s="155"/>
      <c r="H77" s="155"/>
      <c r="I77" s="140"/>
      <c r="J77" s="140"/>
      <c r="K77" s="140"/>
      <c r="L77" s="151"/>
      <c r="M77" s="152"/>
      <c r="N77" s="140" t="s">
        <v>90</v>
      </c>
      <c r="O77" s="151">
        <f t="shared" si="1"/>
        <v>18376</v>
      </c>
      <c r="P77" s="152">
        <f t="shared" si="2"/>
        <v>0.36792799999999998</v>
      </c>
      <c r="Q77" s="152">
        <f t="shared" si="3"/>
        <v>0.35954999999999998</v>
      </c>
      <c r="R77" s="153">
        <f t="shared" si="4"/>
        <v>6761.0449279999993</v>
      </c>
      <c r="S77" s="154"/>
      <c r="T77" s="154"/>
      <c r="U77" s="3"/>
      <c r="V77" s="56"/>
      <c r="W77" s="3"/>
      <c r="X77" s="56"/>
      <c r="AB77" s="48"/>
      <c r="AN77" s="2"/>
      <c r="AO77" s="2"/>
    </row>
    <row r="78" spans="1:41" ht="15.5" customHeight="1">
      <c r="A78" s="140"/>
      <c r="B78" s="140"/>
      <c r="C78" s="140"/>
      <c r="D78" s="155"/>
      <c r="E78" s="155"/>
      <c r="F78" s="155"/>
      <c r="G78" s="155"/>
      <c r="H78" s="155"/>
      <c r="I78" s="151"/>
      <c r="J78" s="140"/>
      <c r="K78" s="140"/>
      <c r="L78" s="151"/>
      <c r="M78" s="152"/>
      <c r="N78" s="140" t="s">
        <v>92</v>
      </c>
      <c r="O78" s="151">
        <f t="shared" si="1"/>
        <v>14312.05</v>
      </c>
      <c r="P78" s="152">
        <f t="shared" si="2"/>
        <v>0.37194536751000001</v>
      </c>
      <c r="Q78" s="152">
        <f t="shared" si="3"/>
        <v>0.36647561445999999</v>
      </c>
      <c r="R78" s="153">
        <f t="shared" si="4"/>
        <v>5323.3006970714951</v>
      </c>
      <c r="S78" s="154"/>
      <c r="T78" s="154"/>
      <c r="U78" s="3"/>
      <c r="V78" s="56"/>
      <c r="W78" s="3"/>
      <c r="X78" s="56"/>
      <c r="AB78" s="48"/>
      <c r="AN78" s="2"/>
      <c r="AO78" s="2"/>
    </row>
    <row r="79" spans="1:41" ht="15.5" customHeight="1">
      <c r="A79" s="140"/>
      <c r="B79" s="140"/>
      <c r="C79" s="140"/>
      <c r="D79" s="155"/>
      <c r="E79" s="155"/>
      <c r="F79" s="155"/>
      <c r="G79" s="155"/>
      <c r="H79" s="155"/>
      <c r="I79" s="140"/>
      <c r="J79" s="140"/>
      <c r="K79" s="140"/>
      <c r="L79" s="151"/>
      <c r="M79" s="152"/>
      <c r="N79" s="140" t="s">
        <v>106</v>
      </c>
      <c r="O79" s="151">
        <f t="shared" si="1"/>
        <v>4063.95</v>
      </c>
      <c r="P79" s="152">
        <f t="shared" si="2"/>
        <v>0.35377999999999998</v>
      </c>
      <c r="Q79" s="152">
        <f t="shared" si="3"/>
        <v>0.33515999999999996</v>
      </c>
      <c r="R79" s="153">
        <f t="shared" si="4"/>
        <v>1437.7442309999999</v>
      </c>
      <c r="S79" s="154"/>
      <c r="T79" s="154"/>
      <c r="U79" s="3"/>
      <c r="V79" s="56"/>
      <c r="W79" s="3"/>
      <c r="X79" s="56"/>
      <c r="AB79" s="48"/>
      <c r="AN79" s="2"/>
      <c r="AO79" s="2"/>
    </row>
    <row r="80" spans="1:41" ht="15.5" customHeight="1">
      <c r="A80" s="140"/>
      <c r="B80" s="155"/>
      <c r="C80" s="155"/>
      <c r="D80" s="155"/>
      <c r="E80" s="155"/>
      <c r="F80" s="155"/>
      <c r="G80" s="155"/>
      <c r="H80" s="155"/>
      <c r="I80" s="140"/>
      <c r="J80" s="140"/>
      <c r="K80" s="140"/>
      <c r="L80" s="151"/>
      <c r="M80" s="152"/>
      <c r="N80" s="140" t="s">
        <v>91</v>
      </c>
      <c r="O80" s="151">
        <f t="shared" si="1"/>
        <v>3933</v>
      </c>
      <c r="P80" s="152">
        <f t="shared" si="2"/>
        <v>0.49429762727999998</v>
      </c>
      <c r="Q80" s="152">
        <f t="shared" si="3"/>
        <v>0.44984174072999999</v>
      </c>
      <c r="R80" s="153">
        <f t="shared" si="4"/>
        <v>1944.0725680922399</v>
      </c>
      <c r="S80" s="154"/>
      <c r="T80" s="154"/>
      <c r="U80" s="3"/>
      <c r="V80" s="56"/>
      <c r="W80" s="3"/>
      <c r="X80" s="56"/>
      <c r="AB80" s="48"/>
      <c r="AN80" s="2"/>
      <c r="AO80" s="2"/>
    </row>
    <row r="81" spans="1:41" ht="15.5" customHeight="1">
      <c r="A81" s="140"/>
      <c r="B81" s="140"/>
      <c r="C81" s="140"/>
      <c r="D81" s="140"/>
      <c r="E81" s="140"/>
      <c r="F81" s="140"/>
      <c r="G81" s="140"/>
      <c r="H81" s="140"/>
      <c r="I81" s="151"/>
      <c r="J81" s="140"/>
      <c r="K81" s="140"/>
      <c r="L81" s="151"/>
      <c r="M81" s="152"/>
      <c r="N81" s="140" t="s">
        <v>93</v>
      </c>
      <c r="O81" s="151">
        <f t="shared" si="1"/>
        <v>2943</v>
      </c>
      <c r="P81" s="152">
        <f t="shared" si="2"/>
        <v>0.49709493309999997</v>
      </c>
      <c r="Q81" s="152">
        <f t="shared" si="3"/>
        <v>0.45238746392000001</v>
      </c>
      <c r="R81" s="153">
        <f t="shared" si="4"/>
        <v>1462.9503881132998</v>
      </c>
      <c r="S81" s="154"/>
      <c r="T81" s="154"/>
      <c r="U81" s="3"/>
      <c r="V81" s="56"/>
      <c r="W81" s="3"/>
      <c r="X81" s="56"/>
      <c r="AB81" s="48"/>
      <c r="AN81" s="2"/>
      <c r="AO81" s="2"/>
    </row>
    <row r="82" spans="1:41" ht="15.5" customHeight="1">
      <c r="A82" s="149"/>
      <c r="B82" s="155"/>
      <c r="C82" s="155"/>
      <c r="D82" s="155"/>
      <c r="E82" s="155"/>
      <c r="F82" s="155"/>
      <c r="G82" s="155"/>
      <c r="H82" s="155"/>
      <c r="I82" s="156"/>
      <c r="J82" s="140"/>
      <c r="K82" s="140"/>
      <c r="L82" s="151"/>
      <c r="M82" s="152"/>
      <c r="N82" s="140" t="s">
        <v>107</v>
      </c>
      <c r="O82" s="151">
        <f t="shared" si="1"/>
        <v>990</v>
      </c>
      <c r="P82" s="152">
        <f t="shared" si="2"/>
        <v>0.48598199999999997</v>
      </c>
      <c r="Q82" s="152">
        <f t="shared" si="3"/>
        <v>0.44227400000000006</v>
      </c>
      <c r="R82" s="153">
        <f t="shared" si="4"/>
        <v>481.12217999999996</v>
      </c>
      <c r="S82" s="154"/>
      <c r="T82" s="154"/>
      <c r="U82" s="3"/>
      <c r="V82" s="56"/>
      <c r="W82" s="3"/>
      <c r="X82" s="56"/>
      <c r="AB82" s="48"/>
      <c r="AN82" s="2"/>
      <c r="AO82" s="2"/>
    </row>
    <row r="83" spans="1:41" ht="15.5" customHeight="1">
      <c r="A83" s="149"/>
      <c r="B83" s="156"/>
      <c r="C83" s="156"/>
      <c r="D83" s="156"/>
      <c r="E83" s="156"/>
      <c r="F83" s="156"/>
      <c r="G83" s="156"/>
      <c r="H83" s="156"/>
      <c r="I83" s="156"/>
      <c r="J83" s="140"/>
      <c r="K83" s="140"/>
      <c r="L83" s="151"/>
      <c r="M83" s="152"/>
      <c r="N83" s="140" t="s">
        <v>41</v>
      </c>
      <c r="O83" s="151">
        <f t="shared" si="1"/>
        <v>750</v>
      </c>
      <c r="P83" s="152">
        <f t="shared" si="2"/>
        <v>0.41463800000000001</v>
      </c>
      <c r="Q83" s="152">
        <f t="shared" si="3"/>
        <v>0.37200800000000001</v>
      </c>
      <c r="R83" s="153">
        <f t="shared" si="4"/>
        <v>310.9785</v>
      </c>
      <c r="S83" s="154"/>
      <c r="T83" s="154"/>
      <c r="U83" s="3"/>
      <c r="V83" s="56"/>
      <c r="W83" s="3"/>
      <c r="X83" s="56"/>
      <c r="AB83" s="48"/>
      <c r="AN83" s="2"/>
      <c r="AO83" s="2"/>
    </row>
    <row r="84" spans="1:41" ht="15.5" customHeight="1">
      <c r="A84" s="140"/>
      <c r="B84" s="140"/>
      <c r="C84" s="140"/>
      <c r="D84" s="140"/>
      <c r="E84" s="140"/>
      <c r="F84" s="140"/>
      <c r="G84" s="140"/>
      <c r="H84" s="140"/>
      <c r="I84" s="151"/>
      <c r="J84" s="140"/>
      <c r="K84" s="140"/>
      <c r="L84" s="151"/>
      <c r="M84" s="152"/>
      <c r="N84" s="140" t="s">
        <v>42</v>
      </c>
      <c r="O84" s="151">
        <f t="shared" si="1"/>
        <v>-240</v>
      </c>
      <c r="P84" s="152">
        <f t="shared" si="2"/>
        <v>0.41463800000000001</v>
      </c>
      <c r="Q84" s="152">
        <f t="shared" si="3"/>
        <v>0.37200800000000001</v>
      </c>
      <c r="R84" s="153">
        <f t="shared" si="4"/>
        <v>-99.513120000000001</v>
      </c>
      <c r="S84" s="154"/>
      <c r="T84" s="154"/>
      <c r="U84" s="3"/>
      <c r="V84" s="56"/>
      <c r="W84" s="3"/>
      <c r="X84" s="56"/>
      <c r="AB84" s="48"/>
      <c r="AN84" s="2"/>
      <c r="AO84" s="2"/>
    </row>
    <row r="85" spans="1:41" ht="15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51"/>
      <c r="M85" s="152"/>
      <c r="N85" s="140" t="s">
        <v>43</v>
      </c>
      <c r="O85" s="151">
        <f t="shared" si="1"/>
        <v>990</v>
      </c>
      <c r="P85" s="152">
        <f t="shared" si="2"/>
        <v>0.41463800000000001</v>
      </c>
      <c r="Q85" s="152">
        <f t="shared" si="3"/>
        <v>0.37200800000000001</v>
      </c>
      <c r="R85" s="153">
        <f t="shared" si="4"/>
        <v>410.49162000000001</v>
      </c>
      <c r="S85" s="154"/>
      <c r="T85" s="154"/>
      <c r="U85" s="3"/>
      <c r="V85" s="56"/>
      <c r="W85" s="3"/>
      <c r="X85" s="56"/>
      <c r="AB85" s="48"/>
      <c r="AN85" s="2"/>
      <c r="AO85" s="2"/>
    </row>
    <row r="86" spans="1:41" ht="15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51"/>
      <c r="M86" s="152"/>
      <c r="N86" s="140" t="s">
        <v>46</v>
      </c>
      <c r="O86" s="151">
        <f t="shared" si="1"/>
        <v>0</v>
      </c>
      <c r="P86" s="152">
        <f t="shared" si="2"/>
        <v>0</v>
      </c>
      <c r="Q86" s="152">
        <f t="shared" si="3"/>
        <v>0</v>
      </c>
      <c r="R86" s="153">
        <f t="shared" si="4"/>
        <v>0</v>
      </c>
      <c r="S86" s="154"/>
      <c r="T86" s="154"/>
      <c r="U86" s="3"/>
      <c r="V86" s="56"/>
      <c r="W86" s="3"/>
      <c r="X86" s="56"/>
      <c r="AB86" s="48"/>
    </row>
    <row r="87" spans="1:41" ht="15.5" customHeight="1">
      <c r="A87" s="140"/>
      <c r="B87" s="140"/>
      <c r="C87" s="140"/>
      <c r="D87" s="140"/>
      <c r="E87" s="140"/>
      <c r="F87" s="140"/>
      <c r="G87" s="140"/>
      <c r="H87" s="140"/>
      <c r="I87" s="151"/>
      <c r="J87" s="140"/>
      <c r="K87" s="140"/>
      <c r="L87" s="151"/>
      <c r="M87" s="152"/>
      <c r="N87" s="140" t="s">
        <v>47</v>
      </c>
      <c r="O87" s="151">
        <f t="shared" si="1"/>
        <v>0</v>
      </c>
      <c r="P87" s="152">
        <f t="shared" si="2"/>
        <v>0</v>
      </c>
      <c r="Q87" s="152">
        <f t="shared" si="3"/>
        <v>0</v>
      </c>
      <c r="R87" s="153">
        <f t="shared" si="4"/>
        <v>0</v>
      </c>
      <c r="S87" s="154"/>
      <c r="T87" s="154"/>
      <c r="U87" s="3"/>
      <c r="V87" s="56"/>
      <c r="W87" s="3"/>
      <c r="X87" s="56"/>
      <c r="AB87" s="49"/>
    </row>
    <row r="88" spans="1:41" ht="15.5" customHeight="1">
      <c r="A88" s="192" t="s">
        <v>23</v>
      </c>
      <c r="B88" s="149" t="str">
        <f>+'[1]Informacion Planta'!B41</f>
        <v>R1</v>
      </c>
      <c r="C88" s="149" t="str">
        <f>+'[1]Informacion Planta'!C41</f>
        <v>R2</v>
      </c>
      <c r="D88" s="149" t="str">
        <f>+'[1]Informacion Planta'!D41</f>
        <v>Hidro</v>
      </c>
      <c r="E88" s="149" t="str">
        <f>+'[1]Informacion Planta'!E41</f>
        <v>Finisher</v>
      </c>
      <c r="F88" s="149" t="str">
        <f>+'[1]Informacion Planta'!F41</f>
        <v>Flot Magn</v>
      </c>
      <c r="G88" s="149" t="str">
        <f>+'[1]Informacion Planta'!G41</f>
        <v>Flot Neum</v>
      </c>
      <c r="H88" s="149" t="str">
        <f>+'[1]Informacion Planta'!H41</f>
        <v>Esp. Conc</v>
      </c>
      <c r="I88" s="140"/>
      <c r="J88" s="140"/>
      <c r="K88" s="140"/>
      <c r="L88" s="151"/>
      <c r="M88" s="152"/>
      <c r="N88" s="140" t="s">
        <v>48</v>
      </c>
      <c r="O88" s="151">
        <f t="shared" si="1"/>
        <v>0</v>
      </c>
      <c r="P88" s="152">
        <f t="shared" si="2"/>
        <v>0</v>
      </c>
      <c r="Q88" s="152">
        <f t="shared" si="3"/>
        <v>0</v>
      </c>
      <c r="R88" s="153">
        <f t="shared" si="4"/>
        <v>0</v>
      </c>
      <c r="S88" s="154"/>
      <c r="T88" s="154"/>
      <c r="U88" s="3"/>
      <c r="V88" s="56"/>
      <c r="W88" s="3"/>
      <c r="X88" s="56"/>
      <c r="AB88" s="49"/>
    </row>
    <row r="89" spans="1:41" ht="15.5" customHeight="1">
      <c r="A89" s="157" t="s">
        <v>86</v>
      </c>
      <c r="B89" s="158">
        <f>+P107</f>
        <v>0.16027230537000001</v>
      </c>
      <c r="C89" s="158">
        <f>+P109</f>
        <v>0.30413456646999998</v>
      </c>
      <c r="D89" s="158">
        <f>+P114</f>
        <v>0.39507435901999999</v>
      </c>
      <c r="E89" s="158">
        <f>+P116</f>
        <v>0.45781639824000003</v>
      </c>
      <c r="F89" s="158">
        <f>+P118</f>
        <v>0.57878070741999998</v>
      </c>
      <c r="G89" s="158">
        <f>+P120</f>
        <v>0.57878070741999998</v>
      </c>
      <c r="H89" s="158">
        <f>+P122</f>
        <v>0.64744696724999995</v>
      </c>
      <c r="I89" s="159"/>
      <c r="J89" s="140"/>
      <c r="K89" s="140"/>
      <c r="L89" s="151"/>
      <c r="M89" s="152"/>
      <c r="N89" s="140" t="s">
        <v>49</v>
      </c>
      <c r="O89" s="151">
        <f t="shared" si="1"/>
        <v>2413</v>
      </c>
      <c r="P89" s="152">
        <f t="shared" si="2"/>
        <v>0.54689999999999994</v>
      </c>
      <c r="Q89" s="152">
        <f t="shared" si="3"/>
        <v>0.52139999999999997</v>
      </c>
      <c r="R89" s="153">
        <f t="shared" si="4"/>
        <v>1319.6696999999999</v>
      </c>
      <c r="S89" s="154"/>
      <c r="T89" s="154"/>
      <c r="U89" s="3"/>
      <c r="V89" s="56"/>
      <c r="W89" s="3"/>
      <c r="X89" s="56"/>
      <c r="AB89" s="49"/>
    </row>
    <row r="90" spans="1:41" ht="15.5" customHeight="1">
      <c r="A90" s="157" t="s">
        <v>87</v>
      </c>
      <c r="B90" s="158">
        <f>+P109</f>
        <v>0.30413456646999998</v>
      </c>
      <c r="C90" s="158">
        <f>+P111</f>
        <v>0.39178244000000001</v>
      </c>
      <c r="D90" s="158">
        <f>+P116</f>
        <v>0.45781639824000003</v>
      </c>
      <c r="E90" s="158">
        <f>+P118</f>
        <v>0.57878070741999998</v>
      </c>
      <c r="F90" s="158">
        <f>+P120</f>
        <v>0.57878070741999998</v>
      </c>
      <c r="G90" s="158">
        <f>+P122</f>
        <v>0.64744696724999995</v>
      </c>
      <c r="H90" s="158">
        <f>+P125</f>
        <v>0.64879999999999993</v>
      </c>
      <c r="I90" s="160">
        <f>+'[1]Calc Nodos Stock'!E12</f>
        <v>2097.3996419743307</v>
      </c>
      <c r="J90" s="140"/>
      <c r="K90" s="140"/>
      <c r="L90" s="151"/>
      <c r="M90" s="152"/>
      <c r="N90" s="140" t="s">
        <v>50</v>
      </c>
      <c r="O90" s="151">
        <f t="shared" si="1"/>
        <v>2413</v>
      </c>
      <c r="P90" s="152">
        <f t="shared" si="2"/>
        <v>0.54689999999999994</v>
      </c>
      <c r="Q90" s="152">
        <f t="shared" si="3"/>
        <v>0.52139999999999997</v>
      </c>
      <c r="R90" s="153">
        <f t="shared" si="4"/>
        <v>1319.6696999999999</v>
      </c>
      <c r="S90" s="154"/>
      <c r="T90" s="154"/>
      <c r="U90" s="3"/>
      <c r="V90" s="56"/>
      <c r="W90" s="3"/>
      <c r="X90" s="56"/>
    </row>
    <row r="91" spans="1:41" ht="15.5" customHeight="1">
      <c r="A91" s="157" t="s">
        <v>88</v>
      </c>
      <c r="B91" s="158">
        <f>+P108</f>
        <v>5.8116300000000003E-2</v>
      </c>
      <c r="C91" s="158">
        <f>+P110</f>
        <v>6.4111299999999996E-2</v>
      </c>
      <c r="D91" s="158">
        <f>+P115</f>
        <v>4.6595999999999999E-2</v>
      </c>
      <c r="E91" s="158">
        <f>+P117</f>
        <v>8.9365182362000001E-2</v>
      </c>
      <c r="F91" s="158">
        <f>+P119</f>
        <v>0</v>
      </c>
      <c r="G91" s="158">
        <f>+P121</f>
        <v>0.51605904000000002</v>
      </c>
      <c r="H91" s="158">
        <f>+P123</f>
        <v>0.45460800603000001</v>
      </c>
      <c r="I91" s="159"/>
      <c r="J91" s="140"/>
      <c r="K91" s="140"/>
      <c r="L91" s="151"/>
      <c r="M91" s="152"/>
      <c r="N91" s="140" t="s">
        <v>51</v>
      </c>
      <c r="O91" s="151">
        <f t="shared" si="1"/>
        <v>0</v>
      </c>
      <c r="P91" s="152">
        <f t="shared" si="2"/>
        <v>0</v>
      </c>
      <c r="Q91" s="152">
        <f t="shared" si="3"/>
        <v>0</v>
      </c>
      <c r="R91" s="153">
        <f t="shared" si="4"/>
        <v>0</v>
      </c>
      <c r="S91" s="154"/>
      <c r="T91" s="154"/>
      <c r="U91" s="3"/>
      <c r="V91" s="56"/>
      <c r="W91" s="3"/>
      <c r="X91" s="56"/>
      <c r="AB91" s="6"/>
      <c r="AC91" s="6"/>
    </row>
    <row r="92" spans="1:41" ht="15.5" customHeight="1">
      <c r="A92" s="159"/>
      <c r="B92" s="161"/>
      <c r="C92" s="161"/>
      <c r="D92" s="161"/>
      <c r="E92" s="161"/>
      <c r="F92" s="161"/>
      <c r="G92" s="161"/>
      <c r="H92" s="161"/>
      <c r="I92" s="159"/>
      <c r="J92" s="140"/>
      <c r="K92" s="140"/>
      <c r="L92" s="151"/>
      <c r="M92" s="151"/>
      <c r="N92" s="140" t="s">
        <v>127</v>
      </c>
      <c r="O92" s="151">
        <f t="shared" si="1"/>
        <v>3933</v>
      </c>
      <c r="P92" s="152">
        <f t="shared" si="2"/>
        <v>0.49429762727999998</v>
      </c>
      <c r="Q92" s="152">
        <f t="shared" si="3"/>
        <v>0.44984174072999999</v>
      </c>
      <c r="R92" s="153">
        <f t="shared" si="4"/>
        <v>1944.0725680922399</v>
      </c>
      <c r="S92" s="154"/>
      <c r="T92" s="154"/>
      <c r="U92" s="3"/>
      <c r="V92" s="56"/>
      <c r="W92" s="3"/>
      <c r="X92" s="56"/>
      <c r="AB92" s="6"/>
      <c r="AC92" s="6"/>
    </row>
    <row r="93" spans="1:41" ht="15.5" customHeight="1">
      <c r="A93" s="159"/>
      <c r="B93" s="159"/>
      <c r="C93" s="159"/>
      <c r="D93" s="159"/>
      <c r="E93" s="159"/>
      <c r="F93" s="159"/>
      <c r="G93" s="159"/>
      <c r="H93" s="159"/>
      <c r="I93" s="160">
        <f>+L92-L94</f>
        <v>0</v>
      </c>
      <c r="J93" s="140"/>
      <c r="K93" s="140"/>
      <c r="L93" s="151"/>
      <c r="M93" s="151"/>
      <c r="N93" s="140" t="s">
        <v>128</v>
      </c>
      <c r="O93" s="151">
        <f t="shared" si="1"/>
        <v>2943</v>
      </c>
      <c r="P93" s="152">
        <f t="shared" si="2"/>
        <v>0.49709493309999997</v>
      </c>
      <c r="Q93" s="152">
        <f t="shared" si="3"/>
        <v>0.45238746392000001</v>
      </c>
      <c r="R93" s="153">
        <f t="shared" si="4"/>
        <v>1462.9503881132998</v>
      </c>
      <c r="S93" s="154"/>
      <c r="T93" s="154"/>
      <c r="U93" s="3"/>
      <c r="V93" s="56"/>
      <c r="W93" s="3"/>
      <c r="X93" s="56"/>
      <c r="AB93" s="6"/>
      <c r="AC93" s="6"/>
    </row>
    <row r="94" spans="1:41" ht="15.5" customHeight="1">
      <c r="A94" s="162" t="s">
        <v>84</v>
      </c>
      <c r="B94" s="161">
        <f>+IF((B90-B91)&lt;&gt;0,(B90/B89)*(B89-B91)/(B90-B91),0)</f>
        <v>0.7879594114783669</v>
      </c>
      <c r="C94" s="161">
        <f t="shared" ref="C94:H94" si="5">+IF((C90-C91)&lt;&gt;0,(C90/C89)*(C89-C91)/(C90-C91),0)</f>
        <v>0.94361390842711279</v>
      </c>
      <c r="D94" s="161">
        <f t="shared" si="5"/>
        <v>0.98200492036224074</v>
      </c>
      <c r="E94" s="161">
        <f t="shared" si="5"/>
        <v>0.95175453357733031</v>
      </c>
      <c r="F94" s="161">
        <f t="shared" si="5"/>
        <v>1</v>
      </c>
      <c r="G94" s="161">
        <f t="shared" si="5"/>
        <v>0.53401356434033853</v>
      </c>
      <c r="H94" s="161">
        <f t="shared" si="5"/>
        <v>0.9951077362051548</v>
      </c>
      <c r="I94" s="163">
        <f>+B94*C94*D94*E94*F94*G94*H94</f>
        <v>0.36928289336075354</v>
      </c>
      <c r="J94" s="140"/>
      <c r="K94" s="140"/>
      <c r="L94" s="151"/>
      <c r="M94" s="151"/>
      <c r="N94" s="140" t="s">
        <v>129</v>
      </c>
      <c r="O94" s="151">
        <f t="shared" si="1"/>
        <v>990</v>
      </c>
      <c r="P94" s="152">
        <f t="shared" si="2"/>
        <v>0.48598199999999997</v>
      </c>
      <c r="Q94" s="152">
        <f t="shared" si="3"/>
        <v>0.44227400000000006</v>
      </c>
      <c r="R94" s="153">
        <f t="shared" si="4"/>
        <v>481.12217999999996</v>
      </c>
      <c r="S94" s="154"/>
      <c r="T94" s="154"/>
      <c r="U94" s="3"/>
      <c r="V94" s="56"/>
      <c r="W94" s="3"/>
      <c r="X94" s="56"/>
    </row>
    <row r="95" spans="1:41" ht="22.5" customHeight="1">
      <c r="A95" s="140"/>
      <c r="B95" s="152"/>
      <c r="C95" s="152"/>
      <c r="D95" s="152"/>
      <c r="E95" s="152"/>
      <c r="F95" s="152"/>
      <c r="G95" s="152"/>
      <c r="H95" s="152"/>
      <c r="I95" s="152"/>
      <c r="J95" s="140"/>
      <c r="K95" s="146"/>
      <c r="L95" s="164"/>
      <c r="M95" s="165"/>
      <c r="N95" s="146" t="s">
        <v>130</v>
      </c>
      <c r="O95" s="151">
        <f>B28</f>
        <v>750</v>
      </c>
      <c r="P95" s="152">
        <f t="shared" si="2"/>
        <v>0.41463800000000001</v>
      </c>
      <c r="Q95" s="152">
        <f t="shared" si="3"/>
        <v>0.37200800000000001</v>
      </c>
      <c r="R95" s="153">
        <f t="shared" si="4"/>
        <v>310.9785</v>
      </c>
      <c r="S95" s="154"/>
      <c r="T95" s="154"/>
      <c r="U95" s="3"/>
      <c r="V95" s="56"/>
      <c r="W95" s="3"/>
      <c r="X95" s="56"/>
    </row>
    <row r="96" spans="1:41" ht="15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51"/>
      <c r="M96" s="152"/>
      <c r="N96" s="140" t="s">
        <v>131</v>
      </c>
      <c r="O96" s="151">
        <f t="shared" si="1"/>
        <v>-240</v>
      </c>
      <c r="P96" s="152">
        <f t="shared" si="2"/>
        <v>0.41463800000000001</v>
      </c>
      <c r="Q96" s="152">
        <f t="shared" si="3"/>
        <v>0.37200800000000001</v>
      </c>
      <c r="R96" s="153">
        <f t="shared" si="4"/>
        <v>-99.513120000000001</v>
      </c>
      <c r="S96" s="154"/>
      <c r="T96" s="154"/>
      <c r="U96" s="3"/>
      <c r="V96" s="56"/>
      <c r="W96" s="3"/>
      <c r="X96" s="56"/>
    </row>
    <row r="97" spans="1:26" ht="15.5" customHeight="1">
      <c r="A97" s="140"/>
      <c r="B97" s="155"/>
      <c r="C97" s="140"/>
      <c r="D97" s="140"/>
      <c r="E97" s="140"/>
      <c r="F97" s="140"/>
      <c r="G97" s="140"/>
      <c r="H97" s="166"/>
      <c r="I97" s="152"/>
      <c r="J97" s="140"/>
      <c r="K97" s="140"/>
      <c r="L97" s="151"/>
      <c r="M97" s="152"/>
      <c r="N97" s="140" t="s">
        <v>132</v>
      </c>
      <c r="O97" s="151">
        <f t="shared" si="1"/>
        <v>990</v>
      </c>
      <c r="P97" s="152">
        <f t="shared" si="2"/>
        <v>0.41463800000000001</v>
      </c>
      <c r="Q97" s="152">
        <f t="shared" si="3"/>
        <v>0.37200800000000001</v>
      </c>
      <c r="R97" s="153">
        <f t="shared" si="4"/>
        <v>410.49162000000001</v>
      </c>
      <c r="S97" s="154"/>
      <c r="T97" s="154"/>
      <c r="U97" s="3"/>
      <c r="V97" s="56"/>
      <c r="W97" s="3"/>
      <c r="X97" s="56"/>
    </row>
    <row r="98" spans="1:26" ht="15.5" customHeight="1">
      <c r="A98" s="167" t="s">
        <v>24</v>
      </c>
      <c r="B98" s="157"/>
      <c r="C98" s="157"/>
      <c r="D98" s="157"/>
      <c r="E98" s="157"/>
      <c r="F98" s="157"/>
      <c r="G98" s="157"/>
      <c r="H98" s="157"/>
      <c r="I98" s="159"/>
      <c r="J98" s="140"/>
      <c r="K98" s="140"/>
      <c r="L98" s="151"/>
      <c r="M98" s="152"/>
      <c r="N98" s="140" t="s">
        <v>133</v>
      </c>
      <c r="O98" s="151">
        <f t="shared" si="1"/>
        <v>3933</v>
      </c>
      <c r="P98" s="152">
        <f t="shared" si="2"/>
        <v>0.49429762727999998</v>
      </c>
      <c r="Q98" s="152">
        <f t="shared" si="3"/>
        <v>0.44984174072999999</v>
      </c>
      <c r="R98" s="153">
        <f t="shared" si="4"/>
        <v>1944.0725680922399</v>
      </c>
      <c r="S98" s="154"/>
      <c r="T98" s="154"/>
      <c r="U98" s="3"/>
      <c r="V98" s="56"/>
      <c r="W98" s="3"/>
      <c r="X98" s="56"/>
    </row>
    <row r="99" spans="1:26" ht="15.5" customHeight="1">
      <c r="A99" s="157" t="s">
        <v>86</v>
      </c>
      <c r="B99" s="158">
        <f>+Q107</f>
        <v>0.11513899999999999</v>
      </c>
      <c r="C99" s="158">
        <f>+Q109</f>
        <v>0.27306034000000001</v>
      </c>
      <c r="D99" s="158">
        <f>+Q114</f>
        <v>0.37492236981999999</v>
      </c>
      <c r="E99" s="158">
        <f>+Q116</f>
        <v>0.44086965999999994</v>
      </c>
      <c r="F99" s="158">
        <f>+Q118</f>
        <v>0.56390866000000006</v>
      </c>
      <c r="G99" s="158">
        <f>+Q120</f>
        <v>0.56390866000000006</v>
      </c>
      <c r="H99" s="158">
        <f>+Q122</f>
        <v>0.63973870123999999</v>
      </c>
      <c r="I99" s="159"/>
      <c r="J99" s="140"/>
      <c r="K99" s="140"/>
      <c r="L99" s="151"/>
      <c r="M99" s="152"/>
      <c r="N99" s="140" t="s">
        <v>134</v>
      </c>
      <c r="O99" s="151">
        <f t="shared" si="1"/>
        <v>2943</v>
      </c>
      <c r="P99" s="152">
        <f t="shared" si="2"/>
        <v>0.49709493309999997</v>
      </c>
      <c r="Q99" s="152">
        <f t="shared" si="3"/>
        <v>0.45238746392000001</v>
      </c>
      <c r="R99" s="153">
        <f t="shared" si="4"/>
        <v>1462.9503881132998</v>
      </c>
      <c r="S99" s="154"/>
      <c r="T99" s="154"/>
      <c r="U99" s="3"/>
      <c r="V99" s="56"/>
      <c r="W99" s="3"/>
      <c r="X99" s="56"/>
    </row>
    <row r="100" spans="1:26" ht="19">
      <c r="A100" s="157" t="s">
        <v>87</v>
      </c>
      <c r="B100" s="158">
        <f>+Q109</f>
        <v>0.27306034000000001</v>
      </c>
      <c r="C100" s="158">
        <f>+Q111</f>
        <v>0.37183551999999997</v>
      </c>
      <c r="D100" s="158">
        <f>+Q116</f>
        <v>0.44086965999999994</v>
      </c>
      <c r="E100" s="158">
        <f>+Q118</f>
        <v>0.56390866000000006</v>
      </c>
      <c r="F100" s="158">
        <f>+Q120</f>
        <v>0.56390866000000006</v>
      </c>
      <c r="G100" s="158">
        <f>+Q122</f>
        <v>0.63973870123999999</v>
      </c>
      <c r="H100" s="158">
        <f>+Q125</f>
        <v>0.6411</v>
      </c>
      <c r="I100" s="160">
        <f>+'[1]Calc Nodos Stock'!E22</f>
        <v>0</v>
      </c>
      <c r="J100" s="140"/>
      <c r="K100" s="140"/>
      <c r="L100" s="151"/>
      <c r="M100" s="152"/>
      <c r="N100" s="140" t="s">
        <v>135</v>
      </c>
      <c r="O100" s="151">
        <f t="shared" si="1"/>
        <v>990</v>
      </c>
      <c r="P100" s="152">
        <f t="shared" si="2"/>
        <v>0.48598199999999997</v>
      </c>
      <c r="Q100" s="152">
        <f t="shared" si="3"/>
        <v>0.44227400000000006</v>
      </c>
      <c r="R100" s="153">
        <f t="shared" si="4"/>
        <v>481.12217999999996</v>
      </c>
      <c r="S100" s="154"/>
      <c r="T100" s="154"/>
      <c r="U100" s="3"/>
      <c r="V100" s="56"/>
      <c r="W100" s="3"/>
      <c r="X100" s="56"/>
    </row>
    <row r="101" spans="1:26" ht="28.5" customHeight="1">
      <c r="A101" s="157" t="s">
        <v>88</v>
      </c>
      <c r="B101" s="158">
        <f>+Q108</f>
        <v>2.9997000000000001E-3</v>
      </c>
      <c r="C101" s="158">
        <f>+Q110</f>
        <v>2.565E-3</v>
      </c>
      <c r="D101" s="158">
        <f>+Q115</f>
        <v>6.7200000000000003E-3</v>
      </c>
      <c r="E101" s="158">
        <f>+Q117</f>
        <v>6.6099039999999998E-2</v>
      </c>
      <c r="F101" s="158">
        <f>+Q119</f>
        <v>0</v>
      </c>
      <c r="G101" s="158">
        <f>+Q121</f>
        <v>0.49476243791999996</v>
      </c>
      <c r="H101" s="158">
        <f>+Q123</f>
        <v>0.44572163932999997</v>
      </c>
      <c r="I101" s="159"/>
      <c r="J101" s="140"/>
      <c r="K101" s="168"/>
      <c r="L101" s="151"/>
      <c r="M101" s="152"/>
      <c r="N101" s="140" t="s">
        <v>136</v>
      </c>
      <c r="O101" s="151">
        <f t="shared" si="1"/>
        <v>2413</v>
      </c>
      <c r="P101" s="152">
        <f t="shared" si="2"/>
        <v>0.54689999999999994</v>
      </c>
      <c r="Q101" s="152">
        <f t="shared" si="3"/>
        <v>0.52139999999999997</v>
      </c>
      <c r="R101" s="153">
        <f t="shared" si="4"/>
        <v>1319.6696999999999</v>
      </c>
      <c r="S101" s="154"/>
      <c r="T101" s="154"/>
      <c r="U101" s="3"/>
      <c r="V101" s="56"/>
      <c r="W101" s="3"/>
      <c r="X101" s="56"/>
    </row>
    <row r="102" spans="1:26" ht="19">
      <c r="A102" s="159"/>
      <c r="B102" s="161"/>
      <c r="C102" s="161"/>
      <c r="D102" s="161"/>
      <c r="E102" s="161"/>
      <c r="F102" s="161"/>
      <c r="G102" s="161"/>
      <c r="H102" s="161"/>
      <c r="I102" s="159"/>
      <c r="J102" s="140"/>
      <c r="K102" s="168"/>
      <c r="L102" s="151"/>
      <c r="M102" s="152"/>
      <c r="N102" s="140" t="s">
        <v>137</v>
      </c>
      <c r="O102" s="151">
        <f t="shared" si="1"/>
        <v>2413</v>
      </c>
      <c r="P102" s="152">
        <f t="shared" si="2"/>
        <v>0.54689999999999994</v>
      </c>
      <c r="Q102" s="152">
        <f t="shared" si="3"/>
        <v>0.52139999999999997</v>
      </c>
      <c r="R102" s="153">
        <f t="shared" si="4"/>
        <v>1319.6696999999999</v>
      </c>
      <c r="S102" s="154"/>
      <c r="T102" s="154"/>
      <c r="U102" s="3"/>
      <c r="V102" s="56"/>
      <c r="W102" s="3"/>
      <c r="X102" s="56"/>
    </row>
    <row r="103" spans="1:26" ht="19">
      <c r="A103" s="159"/>
      <c r="B103" s="159"/>
      <c r="C103" s="159"/>
      <c r="D103" s="159"/>
      <c r="E103" s="159"/>
      <c r="F103" s="159"/>
      <c r="G103" s="159"/>
      <c r="H103" s="159"/>
      <c r="I103" s="160">
        <f>+L102-L104</f>
        <v>0</v>
      </c>
      <c r="J103" s="140"/>
      <c r="K103" s="140"/>
      <c r="L103" s="151"/>
      <c r="M103" s="152"/>
      <c r="N103" s="140" t="s">
        <v>138</v>
      </c>
      <c r="O103" s="151">
        <f t="shared" si="1"/>
        <v>0</v>
      </c>
      <c r="P103" s="152">
        <f t="shared" si="2"/>
        <v>0</v>
      </c>
      <c r="Q103" s="152">
        <f t="shared" si="3"/>
        <v>0</v>
      </c>
      <c r="R103" s="153">
        <f t="shared" si="4"/>
        <v>0</v>
      </c>
      <c r="S103" s="154"/>
      <c r="T103" s="154"/>
      <c r="U103" s="3"/>
      <c r="V103" s="56"/>
      <c r="W103" s="3"/>
      <c r="X103" s="56"/>
    </row>
    <row r="104" spans="1:26" ht="20" thickBot="1">
      <c r="A104" s="162" t="s">
        <v>84</v>
      </c>
      <c r="B104" s="161">
        <f>+IF((B100-B101)&lt;&gt;0,(B100/B99)*(B99-B101)/(B100-B101),0)</f>
        <v>0.98476526522889962</v>
      </c>
      <c r="C104" s="161">
        <f t="shared" ref="C104:H104" si="6">+IF((C100-C101)&lt;&gt;0,(C100/C99)*(C99-C101)/(C100-C101),0)</f>
        <v>0.99748735036495739</v>
      </c>
      <c r="D104" s="161">
        <f t="shared" si="6"/>
        <v>0.99727739016420958</v>
      </c>
      <c r="E104" s="161">
        <f t="shared" si="6"/>
        <v>0.96294349575195404</v>
      </c>
      <c r="F104" s="161">
        <f t="shared" si="6"/>
        <v>1</v>
      </c>
      <c r="G104" s="161">
        <f t="shared" si="6"/>
        <v>0.54108490088153249</v>
      </c>
      <c r="H104" s="161">
        <f t="shared" si="6"/>
        <v>0.9951455717950356</v>
      </c>
      <c r="I104" s="163">
        <f>+B104*C104*D104*E104*F104*G104*H104</f>
        <v>0.50793591918373382</v>
      </c>
      <c r="J104" s="140"/>
      <c r="K104" s="140"/>
      <c r="L104" s="151"/>
      <c r="M104" s="152"/>
      <c r="N104" s="140" t="s">
        <v>28</v>
      </c>
      <c r="O104" s="151">
        <f t="shared" si="1"/>
        <v>0</v>
      </c>
      <c r="P104" s="152">
        <f t="shared" si="2"/>
        <v>0</v>
      </c>
      <c r="Q104" s="152">
        <f t="shared" si="3"/>
        <v>0</v>
      </c>
      <c r="R104" s="153">
        <f t="shared" si="4"/>
        <v>0</v>
      </c>
      <c r="S104" s="154"/>
      <c r="T104" s="154"/>
      <c r="U104" s="3"/>
      <c r="V104" s="56"/>
      <c r="W104" s="3"/>
      <c r="X104" s="56"/>
    </row>
    <row r="105" spans="1:26" ht="20" thickBot="1">
      <c r="A105" s="169" t="s">
        <v>85</v>
      </c>
      <c r="B105" s="170">
        <f>O109/O107</f>
        <v>0.41523748147966455</v>
      </c>
      <c r="C105" s="170">
        <f>O111/O109</f>
        <v>0.73251268473815601</v>
      </c>
      <c r="D105" s="170">
        <f>O116/O114</f>
        <v>0.85671129475464924</v>
      </c>
      <c r="E105" s="170">
        <f>O118/O116</f>
        <v>0.75283924807644942</v>
      </c>
      <c r="F105" s="170">
        <f>O120/O118</f>
        <v>1</v>
      </c>
      <c r="G105" s="170">
        <f>O122/O120</f>
        <v>0.4758271064068213</v>
      </c>
      <c r="H105" s="170">
        <f>O125/O122</f>
        <v>0.99303249981948039</v>
      </c>
      <c r="I105" s="170">
        <f>+B105*C105*D105*E105*F105*G105*H105</f>
        <v>9.269601919459533E-2</v>
      </c>
      <c r="J105" s="140"/>
      <c r="K105" s="140"/>
      <c r="L105" s="151"/>
      <c r="M105" s="152"/>
      <c r="N105" s="140" t="s">
        <v>9</v>
      </c>
      <c r="O105" s="151">
        <f t="shared" si="1"/>
        <v>0</v>
      </c>
      <c r="P105" s="152">
        <f t="shared" si="2"/>
        <v>0</v>
      </c>
      <c r="Q105" s="152">
        <f t="shared" si="3"/>
        <v>0</v>
      </c>
      <c r="R105" s="153">
        <f t="shared" si="4"/>
        <v>0</v>
      </c>
      <c r="S105" s="154"/>
      <c r="T105" s="154"/>
      <c r="U105" s="3"/>
      <c r="V105" s="56"/>
      <c r="W105" s="3"/>
      <c r="X105" s="56"/>
    </row>
    <row r="106" spans="1:26" ht="19">
      <c r="A106" s="140"/>
      <c r="B106" s="140"/>
      <c r="C106" s="140"/>
      <c r="D106" s="140"/>
      <c r="E106" s="140"/>
      <c r="F106" s="140"/>
      <c r="G106" s="140"/>
      <c r="H106" s="140"/>
      <c r="I106" s="152"/>
      <c r="J106" s="140"/>
      <c r="K106" s="140"/>
      <c r="L106" s="151"/>
      <c r="M106" s="152"/>
      <c r="N106" s="140" t="s">
        <v>10</v>
      </c>
      <c r="O106" s="151">
        <f t="shared" si="1"/>
        <v>0</v>
      </c>
      <c r="P106" s="152">
        <f t="shared" si="2"/>
        <v>0</v>
      </c>
      <c r="Q106" s="152">
        <f t="shared" si="3"/>
        <v>0</v>
      </c>
      <c r="R106" s="153">
        <f t="shared" si="4"/>
        <v>0</v>
      </c>
      <c r="S106" s="154"/>
      <c r="T106" s="154"/>
      <c r="U106" s="3"/>
      <c r="V106" s="56"/>
      <c r="W106" s="3"/>
      <c r="X106" s="56"/>
    </row>
    <row r="107" spans="1:26" ht="19">
      <c r="A107" s="140"/>
      <c r="B107" s="140"/>
      <c r="C107" s="140"/>
      <c r="D107" s="140"/>
      <c r="E107" s="140"/>
      <c r="F107" s="140"/>
      <c r="G107" s="140"/>
      <c r="H107" s="140"/>
      <c r="I107" s="152"/>
      <c r="J107" s="140"/>
      <c r="K107" s="140"/>
      <c r="L107" s="151"/>
      <c r="M107" s="152"/>
      <c r="N107" s="140" t="s">
        <v>11</v>
      </c>
      <c r="O107" s="151">
        <f t="shared" si="1"/>
        <v>1834605</v>
      </c>
      <c r="P107" s="152">
        <f t="shared" si="2"/>
        <v>0.16027230537000001</v>
      </c>
      <c r="Q107" s="152">
        <f t="shared" si="3"/>
        <v>0.11513899999999999</v>
      </c>
      <c r="R107" s="153">
        <f t="shared" si="4"/>
        <v>294036.37279332889</v>
      </c>
      <c r="S107" s="154"/>
      <c r="T107" s="154"/>
      <c r="U107" s="3"/>
      <c r="V107" s="56"/>
      <c r="W107" s="3"/>
      <c r="X107" s="56"/>
    </row>
    <row r="108" spans="1:26" ht="19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51"/>
      <c r="M108" s="152"/>
      <c r="N108" s="140" t="s">
        <v>12</v>
      </c>
      <c r="O108" s="151">
        <f t="shared" si="1"/>
        <v>1072808.2402999999</v>
      </c>
      <c r="P108" s="152">
        <f t="shared" si="2"/>
        <v>5.8116300000000003E-2</v>
      </c>
      <c r="Q108" s="152">
        <f t="shared" si="3"/>
        <v>2.9997000000000001E-3</v>
      </c>
      <c r="R108" s="153">
        <f t="shared" si="4"/>
        <v>62347.645535746888</v>
      </c>
      <c r="S108" s="154"/>
      <c r="T108" s="154"/>
      <c r="U108" s="3"/>
      <c r="V108" s="56"/>
      <c r="W108" s="3"/>
      <c r="X108" s="56"/>
    </row>
    <row r="109" spans="1:26" ht="19">
      <c r="A109" s="140"/>
      <c r="B109" s="140"/>
      <c r="C109" s="140"/>
      <c r="D109" s="140"/>
      <c r="E109" s="140"/>
      <c r="F109" s="140"/>
      <c r="G109" s="140"/>
      <c r="H109" s="140"/>
      <c r="I109" s="152"/>
      <c r="J109" s="140"/>
      <c r="K109" s="140"/>
      <c r="L109" s="151"/>
      <c r="M109" s="152"/>
      <c r="N109" s="140" t="s">
        <v>13</v>
      </c>
      <c r="O109" s="151">
        <f t="shared" si="1"/>
        <v>761796.75971000001</v>
      </c>
      <c r="P109" s="152">
        <f t="shared" si="2"/>
        <v>0.30413456646999998</v>
      </c>
      <c r="Q109" s="152">
        <f t="shared" si="3"/>
        <v>0.27306034000000001</v>
      </c>
      <c r="R109" s="153">
        <f t="shared" si="4"/>
        <v>231688.72725265159</v>
      </c>
      <c r="S109" s="154"/>
      <c r="T109" s="154"/>
      <c r="U109" s="3"/>
      <c r="V109" s="56"/>
      <c r="W109" s="3"/>
      <c r="X109" s="56"/>
    </row>
    <row r="110" spans="1:26" ht="19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51"/>
      <c r="M110" s="152"/>
      <c r="N110" s="140" t="s">
        <v>26</v>
      </c>
      <c r="O110" s="151">
        <f t="shared" si="1"/>
        <v>203770.97003</v>
      </c>
      <c r="P110" s="152">
        <f t="shared" si="2"/>
        <v>6.4111299999999996E-2</v>
      </c>
      <c r="Q110" s="152">
        <f t="shared" si="3"/>
        <v>2.565E-3</v>
      </c>
      <c r="R110" s="153">
        <f t="shared" si="4"/>
        <v>13064.021790884339</v>
      </c>
      <c r="S110" s="154"/>
      <c r="T110" s="154"/>
      <c r="U110" s="3"/>
      <c r="V110" s="56"/>
      <c r="W110" s="3"/>
      <c r="X110" s="56"/>
    </row>
    <row r="111" spans="1:26" s="6" customFormat="1" ht="19">
      <c r="A111" s="140"/>
      <c r="B111" s="140"/>
      <c r="C111" s="140"/>
      <c r="D111" s="140"/>
      <c r="E111" s="140"/>
      <c r="F111" s="140"/>
      <c r="G111" s="140"/>
      <c r="H111" s="140"/>
      <c r="I111" s="140"/>
      <c r="J111" s="171"/>
      <c r="K111" s="146"/>
      <c r="L111" s="151"/>
      <c r="M111" s="152"/>
      <c r="N111" s="146" t="s">
        <v>27</v>
      </c>
      <c r="O111" s="151">
        <f t="shared" si="1"/>
        <v>558025.78968000005</v>
      </c>
      <c r="P111" s="152">
        <f t="shared" si="2"/>
        <v>0.39178244000000001</v>
      </c>
      <c r="Q111" s="152">
        <f t="shared" si="3"/>
        <v>0.37183551999999997</v>
      </c>
      <c r="R111" s="153">
        <f t="shared" si="4"/>
        <v>218624.70546375724</v>
      </c>
      <c r="S111" s="154"/>
      <c r="T111" s="154"/>
      <c r="U111" s="3"/>
      <c r="W111" s="3"/>
      <c r="X111" s="56"/>
      <c r="Y111"/>
      <c r="Z111"/>
    </row>
    <row r="112" spans="1:26" ht="19">
      <c r="A112" s="171"/>
      <c r="B112" s="171"/>
      <c r="C112" s="171"/>
      <c r="D112" s="171"/>
      <c r="E112" s="171"/>
      <c r="F112" s="171"/>
      <c r="G112" s="171"/>
      <c r="H112" s="171"/>
      <c r="I112" s="151"/>
      <c r="J112" s="140"/>
      <c r="K112" s="140"/>
      <c r="L112" s="151"/>
      <c r="M112" s="140"/>
      <c r="N112" s="140" t="s">
        <v>38</v>
      </c>
      <c r="O112" s="151">
        <f t="shared" si="1"/>
        <v>0</v>
      </c>
      <c r="P112" s="152">
        <f t="shared" si="2"/>
        <v>0</v>
      </c>
      <c r="Q112" s="152">
        <f t="shared" si="3"/>
        <v>0</v>
      </c>
      <c r="R112" s="153">
        <f t="shared" si="4"/>
        <v>0</v>
      </c>
      <c r="S112" s="154"/>
      <c r="T112" s="154"/>
      <c r="U112" s="3"/>
      <c r="V112" s="56"/>
      <c r="W112" s="3"/>
    </row>
    <row r="113" spans="1:26" ht="19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64"/>
      <c r="M113" s="165"/>
      <c r="N113" s="140" t="s">
        <v>14</v>
      </c>
      <c r="O113" s="151">
        <f t="shared" si="1"/>
        <v>21192.93</v>
      </c>
      <c r="P113" s="152">
        <f t="shared" si="2"/>
        <v>0.46152391564</v>
      </c>
      <c r="Q113" s="152">
        <f t="shared" si="3"/>
        <v>0.43860703658</v>
      </c>
      <c r="R113" s="153">
        <f t="shared" si="4"/>
        <v>9781.0440374844256</v>
      </c>
      <c r="S113" s="154"/>
      <c r="T113" s="154"/>
      <c r="U113" s="3"/>
      <c r="V113" s="56"/>
      <c r="W113" s="3"/>
      <c r="X113" s="56"/>
    </row>
    <row r="114" spans="1:26" ht="19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72"/>
      <c r="M114" s="152"/>
      <c r="N114" s="140" t="s">
        <v>39</v>
      </c>
      <c r="O114" s="151">
        <f t="shared" si="1"/>
        <v>554962.39968000003</v>
      </c>
      <c r="P114" s="152">
        <f t="shared" si="2"/>
        <v>0.39507435901999999</v>
      </c>
      <c r="Q114" s="152">
        <f t="shared" si="3"/>
        <v>0.37492236981999999</v>
      </c>
      <c r="R114" s="153">
        <f t="shared" si="4"/>
        <v>219251.41433377707</v>
      </c>
      <c r="S114" s="154"/>
      <c r="T114" s="154"/>
      <c r="U114" s="3"/>
      <c r="V114" s="56"/>
      <c r="W114" s="3"/>
      <c r="X114" s="56"/>
    </row>
    <row r="115" spans="1:26" ht="19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72"/>
      <c r="M115" s="152"/>
      <c r="N115" s="140" t="s">
        <v>15</v>
      </c>
      <c r="O115" s="151">
        <f t="shared" si="1"/>
        <v>85400.163704000006</v>
      </c>
      <c r="P115" s="152">
        <f t="shared" si="2"/>
        <v>4.6595999999999999E-2</v>
      </c>
      <c r="Q115" s="152">
        <f t="shared" si="3"/>
        <v>6.7200000000000003E-3</v>
      </c>
      <c r="R115" s="153">
        <f t="shared" si="4"/>
        <v>3979.3060279515839</v>
      </c>
      <c r="S115" s="154"/>
      <c r="T115" s="154"/>
      <c r="U115" s="3"/>
      <c r="W115" s="3"/>
    </row>
    <row r="116" spans="1:26" ht="19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72"/>
      <c r="M116" s="152"/>
      <c r="N116" s="140" t="s">
        <v>16</v>
      </c>
      <c r="O116" s="151">
        <f t="shared" si="1"/>
        <v>475442.55596999999</v>
      </c>
      <c r="P116" s="152">
        <f t="shared" si="2"/>
        <v>0.45781639824000003</v>
      </c>
      <c r="Q116" s="152">
        <f t="shared" si="3"/>
        <v>0.44086965999999994</v>
      </c>
      <c r="R116" s="153">
        <f t="shared" si="4"/>
        <v>217665.39854420503</v>
      </c>
      <c r="S116" s="154"/>
      <c r="T116" s="154"/>
      <c r="U116" s="3"/>
      <c r="W116" s="3"/>
    </row>
    <row r="117" spans="1:26" ht="19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72"/>
      <c r="M117" s="152"/>
      <c r="N117" s="140" t="s">
        <v>17</v>
      </c>
      <c r="O117" s="151">
        <f t="shared" si="1"/>
        <v>117510.73964</v>
      </c>
      <c r="P117" s="152">
        <f t="shared" si="2"/>
        <v>8.9365182362000001E-2</v>
      </c>
      <c r="Q117" s="152">
        <f t="shared" si="3"/>
        <v>6.6099039999999998E-2</v>
      </c>
      <c r="R117" s="153">
        <f t="shared" si="4"/>
        <v>10501.368677422102</v>
      </c>
      <c r="S117" s="154"/>
      <c r="T117" s="154"/>
      <c r="U117" s="3"/>
      <c r="W117" s="3"/>
    </row>
    <row r="118" spans="1:26" ht="19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72"/>
      <c r="M118" s="152"/>
      <c r="N118" s="140" t="s">
        <v>18</v>
      </c>
      <c r="O118" s="151">
        <f t="shared" ref="O118:O129" si="7">B51</f>
        <v>357931.81634000002</v>
      </c>
      <c r="P118" s="152">
        <f t="shared" ref="P118:P129" si="8">IF(D$1&gt;1,D51/100,D51)</f>
        <v>0.57878070741999998</v>
      </c>
      <c r="Q118" s="152">
        <f t="shared" ref="Q118:Q129" si="9">IF(F$1&gt;1,F51/100,F51)</f>
        <v>0.56390866000000006</v>
      </c>
      <c r="R118" s="153">
        <f t="shared" ref="R118:R129" si="10">P118*O118</f>
        <v>207164.02986939071</v>
      </c>
      <c r="S118" s="154"/>
      <c r="T118" s="154"/>
      <c r="U118" s="3"/>
      <c r="W118" s="3"/>
    </row>
    <row r="119" spans="1:26" ht="19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72"/>
      <c r="M119" s="152"/>
      <c r="N119" s="140" t="s">
        <v>56</v>
      </c>
      <c r="O119" s="151">
        <f t="shared" si="7"/>
        <v>0</v>
      </c>
      <c r="P119" s="152">
        <f t="shared" si="8"/>
        <v>0</v>
      </c>
      <c r="Q119" s="152">
        <f t="shared" si="9"/>
        <v>0</v>
      </c>
      <c r="R119" s="153">
        <f t="shared" si="10"/>
        <v>0</v>
      </c>
      <c r="S119" s="154"/>
      <c r="T119" s="154"/>
      <c r="U119" s="3"/>
      <c r="W119" s="3"/>
    </row>
    <row r="120" spans="1:26" ht="19">
      <c r="A120" s="140"/>
      <c r="B120" s="140"/>
      <c r="C120" s="140"/>
      <c r="D120" s="140"/>
      <c r="E120" s="140"/>
      <c r="F120" s="140"/>
      <c r="G120" s="140"/>
      <c r="H120" s="140"/>
      <c r="I120" s="151"/>
      <c r="J120" s="140"/>
      <c r="K120" s="140"/>
      <c r="L120" s="172"/>
      <c r="M120" s="152"/>
      <c r="N120" s="140" t="s">
        <v>57</v>
      </c>
      <c r="O120" s="151">
        <f t="shared" si="7"/>
        <v>357931.81634000002</v>
      </c>
      <c r="P120" s="152">
        <f t="shared" si="8"/>
        <v>0.57878070741999998</v>
      </c>
      <c r="Q120" s="152">
        <f t="shared" si="9"/>
        <v>0.56390866000000006</v>
      </c>
      <c r="R120" s="153">
        <f t="shared" si="10"/>
        <v>207164.02986939071</v>
      </c>
      <c r="S120" s="154"/>
      <c r="T120" s="154"/>
      <c r="U120" s="3"/>
      <c r="V120" s="56"/>
      <c r="W120" s="3"/>
    </row>
    <row r="121" spans="1:26" ht="19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 t="s">
        <v>58</v>
      </c>
      <c r="O121" s="151">
        <f t="shared" si="7"/>
        <v>188804.81633999999</v>
      </c>
      <c r="P121" s="152">
        <f t="shared" si="8"/>
        <v>0.51605904000000002</v>
      </c>
      <c r="Q121" s="152">
        <f t="shared" si="9"/>
        <v>0.49476243791999996</v>
      </c>
      <c r="R121" s="153">
        <f t="shared" si="10"/>
        <v>97434.432267796714</v>
      </c>
      <c r="S121" s="141"/>
      <c r="T121" s="141"/>
    </row>
    <row r="122" spans="1:26" ht="19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 t="s">
        <v>59</v>
      </c>
      <c r="O122" s="151">
        <f t="shared" si="7"/>
        <v>170313.66046000001</v>
      </c>
      <c r="P122" s="152">
        <f t="shared" si="8"/>
        <v>0.64744696724999995</v>
      </c>
      <c r="Q122" s="152">
        <f t="shared" si="9"/>
        <v>0.63973870123999999</v>
      </c>
      <c r="R122" s="153">
        <f t="shared" si="10"/>
        <v>110269.06294607325</v>
      </c>
      <c r="S122" s="141"/>
      <c r="T122" s="141"/>
    </row>
    <row r="123" spans="1:26" ht="19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 t="s">
        <v>19</v>
      </c>
      <c r="O123" s="151">
        <f t="shared" si="7"/>
        <v>1186.6604602</v>
      </c>
      <c r="P123" s="152">
        <f t="shared" si="8"/>
        <v>0.45460800603000001</v>
      </c>
      <c r="Q123" s="152">
        <f t="shared" si="9"/>
        <v>0.44572163932999997</v>
      </c>
      <c r="R123" s="153">
        <f t="shared" si="10"/>
        <v>539.46534564616422</v>
      </c>
      <c r="S123" s="141"/>
      <c r="T123" s="141"/>
    </row>
    <row r="124" spans="1:26" ht="19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 t="s">
        <v>25</v>
      </c>
      <c r="O124" s="151">
        <f t="shared" si="7"/>
        <v>0</v>
      </c>
      <c r="P124" s="152">
        <f t="shared" si="8"/>
        <v>0</v>
      </c>
      <c r="Q124" s="152">
        <f t="shared" si="9"/>
        <v>0</v>
      </c>
      <c r="R124" s="153">
        <f t="shared" si="10"/>
        <v>0</v>
      </c>
      <c r="S124" s="141"/>
      <c r="T124" s="141"/>
    </row>
    <row r="125" spans="1:26" ht="19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 t="s">
        <v>20</v>
      </c>
      <c r="O125" s="151">
        <f t="shared" si="7"/>
        <v>169127</v>
      </c>
      <c r="P125" s="152">
        <f t="shared" si="8"/>
        <v>0.64879999999999993</v>
      </c>
      <c r="Q125" s="152">
        <f t="shared" si="9"/>
        <v>0.6411</v>
      </c>
      <c r="R125" s="153">
        <f t="shared" si="10"/>
        <v>109729.59759999999</v>
      </c>
      <c r="S125" s="141"/>
      <c r="T125" s="141"/>
    </row>
    <row r="126" spans="1:26" ht="19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8"/>
      <c r="L126" s="214"/>
      <c r="M126" s="214"/>
      <c r="N126" s="317" t="s">
        <v>40</v>
      </c>
      <c r="O126" s="151">
        <f t="shared" si="7"/>
        <v>1668294.93</v>
      </c>
      <c r="P126" s="152">
        <f t="shared" si="8"/>
        <v>0.11228636551999999</v>
      </c>
      <c r="Q126" s="152">
        <f t="shared" si="9"/>
        <v>6.3235547217000004E-2</v>
      </c>
      <c r="R126" s="153">
        <f t="shared" si="10"/>
        <v>187326.77430514278</v>
      </c>
    </row>
    <row r="127" spans="1:26" ht="19">
      <c r="K127" s="55"/>
      <c r="L127" s="59"/>
      <c r="M127" s="59"/>
      <c r="N127" s="318" t="s">
        <v>55</v>
      </c>
      <c r="O127" s="151">
        <f t="shared" si="7"/>
        <v>5880.32</v>
      </c>
      <c r="P127" s="152">
        <f t="shared" si="8"/>
        <v>0.40700000000000003</v>
      </c>
      <c r="Q127" s="152">
        <f t="shared" si="9"/>
        <v>0.35954999999999998</v>
      </c>
      <c r="R127" s="153">
        <f t="shared" si="10"/>
        <v>2393.2902400000003</v>
      </c>
      <c r="S127" s="215"/>
      <c r="T127" s="215"/>
      <c r="U127" s="215"/>
      <c r="Y127" s="6"/>
      <c r="Z127" s="6"/>
    </row>
    <row r="128" spans="1:26" ht="19">
      <c r="N128" s="318" t="s">
        <v>53</v>
      </c>
      <c r="O128" s="151">
        <f t="shared" si="7"/>
        <v>24256.32</v>
      </c>
      <c r="P128" s="152">
        <f t="shared" si="8"/>
        <v>0.37740000000000001</v>
      </c>
      <c r="Q128" s="152">
        <f t="shared" si="9"/>
        <v>0.35954999999999998</v>
      </c>
      <c r="R128" s="153">
        <f t="shared" si="10"/>
        <v>9154.3351679999996</v>
      </c>
      <c r="S128" s="61"/>
      <c r="T128" s="61"/>
      <c r="U128" s="61"/>
    </row>
    <row r="129" spans="1:118" ht="19">
      <c r="N129" s="318" t="s">
        <v>54</v>
      </c>
      <c r="O129" s="151">
        <f t="shared" si="7"/>
        <v>533769.46967999998</v>
      </c>
      <c r="P129" s="152">
        <f t="shared" si="8"/>
        <v>0.39243602752999995</v>
      </c>
      <c r="Q129" s="152">
        <f t="shared" si="9"/>
        <v>0.37239381627000001</v>
      </c>
      <c r="R129" s="153">
        <f t="shared" si="10"/>
        <v>209470.37029801394</v>
      </c>
      <c r="S129" s="62"/>
      <c r="T129" s="7"/>
      <c r="U129" s="62"/>
    </row>
    <row r="130" spans="1:118">
      <c r="O130" s="2"/>
      <c r="P130" s="60"/>
      <c r="U130" s="61"/>
    </row>
    <row r="131" spans="1:118">
      <c r="O131" s="2"/>
      <c r="P131" s="60"/>
    </row>
    <row r="132" spans="1:118">
      <c r="O132" s="2"/>
      <c r="P132" s="60"/>
    </row>
    <row r="133" spans="1:118">
      <c r="O133" s="2"/>
      <c r="P133" s="60"/>
    </row>
    <row r="134" spans="1:118">
      <c r="O134" s="2"/>
      <c r="P134" s="60"/>
    </row>
    <row r="135" spans="1:118">
      <c r="O135" s="2"/>
      <c r="P135" s="60"/>
    </row>
    <row r="136" spans="1:118">
      <c r="O136" s="2"/>
      <c r="P136" s="60"/>
    </row>
    <row r="137" spans="1:118">
      <c r="O137" s="2"/>
      <c r="P137" s="60"/>
    </row>
    <row r="138" spans="1:118">
      <c r="O138" s="2"/>
      <c r="P138" s="60"/>
    </row>
    <row r="139" spans="1:118" ht="19">
      <c r="K139" s="50"/>
      <c r="L139" s="50"/>
      <c r="M139" s="50"/>
      <c r="O139" s="2"/>
      <c r="P139" s="60"/>
      <c r="Q139" s="6"/>
      <c r="R139" s="6"/>
      <c r="S139" s="6"/>
      <c r="T139" s="6"/>
      <c r="U139" s="6"/>
      <c r="V139" s="6"/>
      <c r="W139" s="6"/>
      <c r="X139" s="6"/>
    </row>
    <row r="140" spans="1:118">
      <c r="O140" s="2"/>
      <c r="P140" s="60"/>
    </row>
    <row r="141" spans="1:118">
      <c r="O141" s="2"/>
      <c r="P141" s="60"/>
    </row>
    <row r="142" spans="1:118">
      <c r="O142" s="2"/>
      <c r="P142" s="60"/>
    </row>
    <row r="143" spans="1:118" s="5" customFormat="1" ht="16">
      <c r="A143"/>
      <c r="B143"/>
      <c r="C143"/>
      <c r="D143"/>
      <c r="E143"/>
      <c r="F143"/>
      <c r="G143"/>
      <c r="H143"/>
      <c r="I143" s="63"/>
      <c r="J143" s="63"/>
      <c r="K143"/>
      <c r="L143"/>
      <c r="M143"/>
      <c r="N143"/>
      <c r="O143" s="2"/>
      <c r="P143" s="60"/>
      <c r="Q143"/>
      <c r="R143"/>
      <c r="S143"/>
      <c r="T143"/>
      <c r="U143"/>
      <c r="V143"/>
      <c r="W143"/>
      <c r="X143"/>
      <c r="Y143"/>
      <c r="Z14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</row>
    <row r="144" spans="1:118" ht="16">
      <c r="A144" s="63"/>
      <c r="B144" s="63"/>
      <c r="C144" s="63"/>
      <c r="D144" s="63"/>
      <c r="E144" s="63"/>
      <c r="F144" s="63"/>
      <c r="G144" s="63"/>
      <c r="H144" s="63"/>
      <c r="O144" s="2"/>
      <c r="P144" s="60"/>
    </row>
    <row r="145" spans="15:26">
      <c r="O145" s="2"/>
      <c r="P145" s="60"/>
    </row>
    <row r="146" spans="15:26">
      <c r="O146" s="2"/>
      <c r="P146" s="60"/>
    </row>
    <row r="147" spans="15:26">
      <c r="O147" s="2"/>
      <c r="P147" s="60"/>
    </row>
    <row r="148" spans="15:26">
      <c r="O148" s="2"/>
      <c r="P148" s="60"/>
    </row>
    <row r="149" spans="15:26">
      <c r="O149" s="2"/>
      <c r="P149" s="60"/>
    </row>
    <row r="150" spans="15:26">
      <c r="O150" s="2"/>
      <c r="P150" s="60"/>
    </row>
    <row r="151" spans="15:26">
      <c r="O151" s="2"/>
      <c r="P151" s="60"/>
    </row>
    <row r="152" spans="15:26">
      <c r="O152" s="2"/>
      <c r="P152" s="60"/>
    </row>
    <row r="153" spans="15:26">
      <c r="O153" s="2"/>
      <c r="P153" s="60"/>
    </row>
    <row r="154" spans="15:26">
      <c r="O154" s="2"/>
      <c r="P154" s="60"/>
    </row>
    <row r="155" spans="15:26">
      <c r="O155" s="2"/>
      <c r="P155" s="60"/>
    </row>
    <row r="156" spans="15:26">
      <c r="O156" s="2"/>
      <c r="P156" s="60"/>
    </row>
    <row r="157" spans="15:26">
      <c r="O157" s="2"/>
      <c r="P157" s="60"/>
    </row>
    <row r="158" spans="15:26">
      <c r="O158" s="2"/>
      <c r="P158" s="60"/>
    </row>
    <row r="159" spans="15:26" ht="16">
      <c r="O159" s="2"/>
      <c r="P159" s="60"/>
      <c r="Y159" s="63"/>
      <c r="Z159" s="63"/>
    </row>
    <row r="160" spans="15:26">
      <c r="O160" s="2"/>
      <c r="P160" s="60"/>
    </row>
    <row r="161" spans="11:24">
      <c r="O161" s="2"/>
      <c r="P161" s="60"/>
    </row>
    <row r="162" spans="11:24">
      <c r="O162" s="2"/>
      <c r="P162" s="60"/>
    </row>
    <row r="163" spans="11:24">
      <c r="O163" s="2"/>
      <c r="P163" s="60"/>
    </row>
    <row r="164" spans="11:24">
      <c r="O164" s="2"/>
      <c r="P164" s="60"/>
    </row>
    <row r="165" spans="11:24">
      <c r="O165" s="2"/>
      <c r="P165" s="60"/>
    </row>
    <row r="166" spans="11:24">
      <c r="O166" s="2"/>
      <c r="P166" s="60"/>
    </row>
    <row r="167" spans="11:24">
      <c r="O167" s="2"/>
      <c r="P167" s="60"/>
    </row>
    <row r="168" spans="11:24">
      <c r="O168" s="2"/>
      <c r="P168" s="60"/>
    </row>
    <row r="169" spans="11:24">
      <c r="O169" s="2"/>
      <c r="P169" s="60"/>
    </row>
    <row r="170" spans="11:24">
      <c r="O170" s="2"/>
      <c r="P170" s="60"/>
    </row>
    <row r="171" spans="11:24" ht="16">
      <c r="K171" s="4"/>
      <c r="L171" s="4"/>
      <c r="M171" s="4"/>
      <c r="O171" s="52"/>
      <c r="P171" s="53"/>
      <c r="Q171" s="63"/>
      <c r="R171" s="63"/>
      <c r="S171" s="63"/>
      <c r="T171" s="63"/>
      <c r="U171" s="63"/>
      <c r="V171" s="63"/>
      <c r="W171" s="63"/>
      <c r="X171" s="63"/>
    </row>
    <row r="172" spans="11:24">
      <c r="O172" s="2"/>
      <c r="P172" s="60"/>
    </row>
    <row r="177" spans="11:13">
      <c r="K177" s="55"/>
      <c r="L177" s="216"/>
      <c r="M177" s="216"/>
    </row>
    <row r="178" spans="11:13">
      <c r="K178" s="55"/>
      <c r="L178" s="59"/>
      <c r="M178" s="59"/>
    </row>
  </sheetData>
  <sheetProtection selectLockedCells="1" selectUnlockedCells="1"/>
  <mergeCells count="7">
    <mergeCell ref="AB66:AE66"/>
    <mergeCell ref="L126:M126"/>
    <mergeCell ref="S127:U127"/>
    <mergeCell ref="L177:M177"/>
    <mergeCell ref="L66:M66"/>
    <mergeCell ref="O66:Q66"/>
    <mergeCell ref="S66:T66"/>
  </mergeCells>
  <conditionalFormatting sqref="S68:T120">
    <cfRule type="expression" dxfId="4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AF95"/>
  <sheetViews>
    <sheetView showGridLines="0" topLeftCell="A24" zoomScale="90" zoomScaleNormal="90" workbookViewId="0">
      <selection activeCell="Z79" sqref="Z79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9" max="9" width="13" bestFit="1" customWidth="1"/>
    <col min="11" max="12" width="13" bestFit="1" customWidth="1"/>
    <col min="13" max="13" width="13.5" customWidth="1"/>
    <col min="18" max="18" width="12" bestFit="1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  <col min="27" max="27" width="18.6640625" customWidth="1"/>
    <col min="28" max="28" width="19.5" customWidth="1"/>
    <col min="30" max="30" width="14.6640625" customWidth="1"/>
    <col min="32" max="32" width="14.83203125" customWidth="1"/>
  </cols>
  <sheetData>
    <row r="1" spans="9:25" ht="16" thickBot="1"/>
    <row r="2" spans="9:25"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</row>
    <row r="3" spans="9:25">
      <c r="I3" s="11"/>
      <c r="Y3" s="12"/>
    </row>
    <row r="4" spans="9:25">
      <c r="I4" s="11"/>
      <c r="Y4" s="12"/>
    </row>
    <row r="5" spans="9:25">
      <c r="I5" s="11"/>
      <c r="R5" s="13">
        <f>Flujos!H43</f>
        <v>1834605</v>
      </c>
      <c r="Y5" s="12"/>
    </row>
    <row r="6" spans="9:25">
      <c r="I6" s="11"/>
      <c r="R6" s="14">
        <f>Flujos!I43</f>
        <v>0.16027230537000001</v>
      </c>
      <c r="Y6" s="12"/>
    </row>
    <row r="7" spans="9:25">
      <c r="I7" s="11"/>
      <c r="O7" t="s">
        <v>89</v>
      </c>
      <c r="R7" s="15">
        <f>R5*R6</f>
        <v>294036.37279332889</v>
      </c>
      <c r="Y7" s="12"/>
    </row>
    <row r="8" spans="9:25">
      <c r="I8" s="11"/>
      <c r="O8" s="19">
        <f>Flujos!H14</f>
        <v>14312.05</v>
      </c>
      <c r="Y8" s="12"/>
    </row>
    <row r="9" spans="9:25">
      <c r="I9" s="11"/>
      <c r="J9" s="16">
        <f>Utilidad!O68</f>
        <v>7094</v>
      </c>
      <c r="O9" s="15">
        <f>Flujos!H14*Flujos!I14</f>
        <v>5323.3006970714951</v>
      </c>
      <c r="U9" s="13">
        <f>Flujos!H44</f>
        <v>1072808.2402999999</v>
      </c>
      <c r="Y9" s="12"/>
    </row>
    <row r="10" spans="9:25">
      <c r="I10" s="11"/>
      <c r="J10" s="17">
        <f>Utilidad!P68</f>
        <v>0.58686003720000002</v>
      </c>
      <c r="U10" s="14">
        <f>Flujos!I44</f>
        <v>5.8116300000000003E-2</v>
      </c>
      <c r="Y10" s="12"/>
    </row>
    <row r="11" spans="9:25">
      <c r="I11" s="11"/>
      <c r="J11" s="18">
        <f>Utilidad!R68</f>
        <v>4163.1851038967998</v>
      </c>
      <c r="M11" s="13">
        <f>Utilidad!O70</f>
        <v>5330.16</v>
      </c>
      <c r="R11" s="13">
        <f>Flujos!H45</f>
        <v>761796.75971000001</v>
      </c>
      <c r="U11" s="15">
        <f>U10*U9</f>
        <v>62347.645535746888</v>
      </c>
      <c r="Y11" s="12"/>
    </row>
    <row r="12" spans="9:25">
      <c r="I12" s="11"/>
      <c r="L12" s="19">
        <f>+Utilidad!O69</f>
        <v>1763.84</v>
      </c>
      <c r="M12" s="14">
        <f>Utilidad!P70</f>
        <v>0.58339399999999997</v>
      </c>
      <c r="P12" s="2"/>
      <c r="R12" s="14">
        <f>Flujos!I45</f>
        <v>0.30413456646999998</v>
      </c>
      <c r="Y12" s="12"/>
    </row>
    <row r="13" spans="9:25">
      <c r="I13" s="11"/>
      <c r="L13" s="15">
        <f>+Utilidad!R69</f>
        <v>1053.6017408274174</v>
      </c>
      <c r="M13" s="15">
        <f>Utilidad!R70</f>
        <v>3109.5833630399998</v>
      </c>
      <c r="O13" s="23">
        <f>Flujos!C13</f>
        <v>18376</v>
      </c>
      <c r="R13" s="15">
        <f>R11*R12</f>
        <v>231688.72725265159</v>
      </c>
      <c r="Y13" s="12"/>
    </row>
    <row r="14" spans="9:25">
      <c r="I14" s="11"/>
      <c r="O14" s="7">
        <f>Flujos!D13</f>
        <v>0.37</v>
      </c>
      <c r="S14" s="13">
        <f>Flujos!H46</f>
        <v>203770.97003</v>
      </c>
      <c r="Y14" s="12"/>
    </row>
    <row r="15" spans="9:25">
      <c r="I15" s="11"/>
      <c r="O15" s="24">
        <f>O13*O14</f>
        <v>6799.12</v>
      </c>
      <c r="S15" s="14">
        <f>Flujos!I46</f>
        <v>6.4111299999999996E-2</v>
      </c>
      <c r="Y15" s="20">
        <f>+U9+S14+S29+S36+S41+U45+S22</f>
        <v>1668294.9300139998</v>
      </c>
    </row>
    <row r="16" spans="9:25">
      <c r="I16" s="11"/>
      <c r="O16" s="24"/>
      <c r="S16" s="15">
        <f>S14*S15</f>
        <v>13064.021790884339</v>
      </c>
      <c r="Y16" s="21">
        <f>+IF(Y15&lt;&gt;0,(U9*U10+S14*S15+S29*S30+S36*S37+S41*S42+U45*U46+S22*S23)/Y15,0)</f>
        <v>0.11228636551585613</v>
      </c>
    </row>
    <row r="17" spans="3:25">
      <c r="I17" s="11"/>
      <c r="J17" s="2"/>
      <c r="N17" s="24"/>
      <c r="R17" s="13">
        <f>Flujos!H47</f>
        <v>558025.78968000005</v>
      </c>
      <c r="Y17" s="22">
        <f>Y15*Y16</f>
        <v>187326.77429980162</v>
      </c>
    </row>
    <row r="18" spans="3:25">
      <c r="I18" s="11"/>
      <c r="N18" s="23">
        <f>Flujos!C15</f>
        <v>4105</v>
      </c>
      <c r="P18" s="23">
        <f>Flujos!H64</f>
        <v>24256.32</v>
      </c>
      <c r="R18" s="14">
        <f>Flujos!I47</f>
        <v>0.39178244000000001</v>
      </c>
      <c r="Y18" s="12"/>
    </row>
    <row r="19" spans="3:25">
      <c r="I19" s="11"/>
      <c r="N19" s="7">
        <f>Flujos!D15</f>
        <v>0.36099999999999999</v>
      </c>
      <c r="P19" s="7">
        <f>Flujos!I64</f>
        <v>0.37740000000000001</v>
      </c>
      <c r="R19" s="15"/>
      <c r="Y19" s="12"/>
    </row>
    <row r="20" spans="3:25">
      <c r="I20" s="11"/>
      <c r="N20" s="24">
        <f>N18*N19</f>
        <v>1481.905</v>
      </c>
      <c r="P20" s="24"/>
      <c r="R20" s="13">
        <f>Flujos!H65</f>
        <v>533769.46967999998</v>
      </c>
      <c r="Y20" s="12"/>
    </row>
    <row r="21" spans="3:25">
      <c r="I21" s="11"/>
      <c r="J21" s="16">
        <f>+Utilidad!O71</f>
        <v>8329</v>
      </c>
      <c r="R21" s="14">
        <f>Flujos!I65</f>
        <v>0.39243602752999995</v>
      </c>
      <c r="Y21" s="12"/>
    </row>
    <row r="22" spans="3:25">
      <c r="I22" s="11"/>
      <c r="J22" s="17">
        <f>+Utilidad!P71</f>
        <v>0.42611354512999999</v>
      </c>
      <c r="S22" s="13">
        <f>Flujos!H48</f>
        <v>0</v>
      </c>
      <c r="Y22" s="12"/>
    </row>
    <row r="23" spans="3:25">
      <c r="I23" s="11"/>
      <c r="J23" s="18">
        <f>+Utilidad!R71</f>
        <v>3549.0997173877699</v>
      </c>
      <c r="M23" s="13">
        <f>Utilidad!O73</f>
        <v>5552.91</v>
      </c>
      <c r="S23" s="14">
        <f>Flujos!I48</f>
        <v>0</v>
      </c>
      <c r="Y23" s="12"/>
    </row>
    <row r="24" spans="3:25">
      <c r="I24" s="11"/>
      <c r="L24" s="19">
        <f>+Utilidad!O72</f>
        <v>2776.09</v>
      </c>
      <c r="M24" s="14">
        <f>Utilidad!P73</f>
        <v>0.42267399999999999</v>
      </c>
      <c r="N24" s="23">
        <f>Flujos!H49</f>
        <v>21192.93</v>
      </c>
      <c r="P24" s="23"/>
      <c r="R24" s="13">
        <f>Flujos!H50</f>
        <v>554962.39968000003</v>
      </c>
      <c r="S24" s="15">
        <f>S22*S23</f>
        <v>0</v>
      </c>
      <c r="Y24" s="12"/>
    </row>
    <row r="25" spans="3:25">
      <c r="I25" s="11"/>
      <c r="L25" s="15">
        <f>+Utilidad!R72</f>
        <v>1202.0290360699476</v>
      </c>
      <c r="M25" s="15">
        <f>Utilidad!R73</f>
        <v>2347.0706813399997</v>
      </c>
      <c r="N25" s="7">
        <f>Flujos!I49</f>
        <v>0.46152391564</v>
      </c>
      <c r="P25" s="7"/>
      <c r="R25" s="14">
        <f>Flujos!I50</f>
        <v>0.39507435901999999</v>
      </c>
      <c r="Y25" s="12"/>
    </row>
    <row r="26" spans="3:25">
      <c r="I26" s="11"/>
      <c r="J26" s="2"/>
      <c r="N26" s="24">
        <f>N24*N25</f>
        <v>9781.0440374844256</v>
      </c>
      <c r="P26" s="24"/>
      <c r="R26" s="15">
        <f>R24*R25</f>
        <v>219251.41433377707</v>
      </c>
      <c r="Y26" s="12"/>
    </row>
    <row r="27" spans="3:25">
      <c r="I27" s="11"/>
      <c r="Y27" s="12"/>
    </row>
    <row r="28" spans="3:25">
      <c r="C28" s="11"/>
      <c r="D28" s="18"/>
      <c r="G28" s="13"/>
      <c r="I28" s="11"/>
      <c r="U28" s="2"/>
      <c r="Y28" s="12"/>
    </row>
    <row r="29" spans="3:25">
      <c r="C29" s="11"/>
      <c r="F29" s="19"/>
      <c r="G29" s="14"/>
      <c r="I29" s="11"/>
      <c r="O29" s="23">
        <f>Flujos!H63</f>
        <v>5880.32</v>
      </c>
      <c r="S29" s="13">
        <f>Flujos!H51</f>
        <v>85400.163704000006</v>
      </c>
      <c r="U29" s="2"/>
      <c r="Y29" s="12"/>
    </row>
    <row r="30" spans="3:25">
      <c r="C30" s="11"/>
      <c r="F30" s="15"/>
      <c r="G30" s="15"/>
      <c r="I30" s="11"/>
      <c r="O30" s="7">
        <f>Flujos!I63</f>
        <v>0.40700000000000003</v>
      </c>
      <c r="S30" s="14">
        <f>Flujos!I51</f>
        <v>4.6595999999999999E-2</v>
      </c>
      <c r="Y30" s="12"/>
    </row>
    <row r="31" spans="3:25">
      <c r="C31" s="11"/>
      <c r="I31" s="11"/>
      <c r="J31" s="16">
        <f>+Utilidad!O74</f>
        <v>9517</v>
      </c>
      <c r="O31" s="23"/>
      <c r="R31" s="13">
        <f>Flujos!H52</f>
        <v>475442.55596999999</v>
      </c>
      <c r="S31" s="15">
        <f>S30*S29</f>
        <v>3979.3060279515839</v>
      </c>
      <c r="Y31" s="12"/>
    </row>
    <row r="32" spans="3:25">
      <c r="C32" s="11"/>
      <c r="I32" s="11"/>
      <c r="J32" s="17">
        <f>+Utilidad!P74</f>
        <v>0.48923527984999998</v>
      </c>
      <c r="R32" s="14">
        <f>Flujos!I52</f>
        <v>0.45781639824000003</v>
      </c>
      <c r="Y32" s="12"/>
    </row>
    <row r="33" spans="3:25">
      <c r="C33" s="11"/>
      <c r="I33" s="11"/>
      <c r="J33" s="18">
        <f>+Utilidad!R74</f>
        <v>4656.0521583324498</v>
      </c>
      <c r="M33" s="13">
        <f>+Utilidad!O76</f>
        <v>1295.9100000000001</v>
      </c>
      <c r="O33" s="2"/>
      <c r="R33" s="15">
        <f>R31*R32</f>
        <v>217665.39854420503</v>
      </c>
      <c r="Y33" s="296">
        <f>U9+S14+S29+S36+U45-Y15</f>
        <v>0</v>
      </c>
    </row>
    <row r="34" spans="3:25">
      <c r="C34" s="11"/>
      <c r="I34" s="11"/>
      <c r="L34" s="19">
        <f>+Utilidad!O75</f>
        <v>8221.09</v>
      </c>
      <c r="M34" s="14">
        <f>+Utilidad!P76</f>
        <v>0.48020000000000002</v>
      </c>
      <c r="Y34" s="12"/>
    </row>
    <row r="35" spans="3:25">
      <c r="C35" s="11"/>
      <c r="I35" s="11"/>
      <c r="J35" s="2"/>
      <c r="L35" s="15">
        <f>+Utilidad!R75</f>
        <v>4033.7561763692688</v>
      </c>
      <c r="M35" s="15">
        <f>+Utilidad!R76</f>
        <v>622.29598200000009</v>
      </c>
      <c r="Y35" s="12"/>
    </row>
    <row r="36" spans="3:25">
      <c r="C36" s="11"/>
      <c r="D36" s="16">
        <f>Flujos!H28</f>
        <v>3933</v>
      </c>
      <c r="I36" s="11"/>
      <c r="O36" s="2"/>
      <c r="S36" s="13">
        <f>Flujos!H53</f>
        <v>117510.73964</v>
      </c>
      <c r="Y36" s="12"/>
    </row>
    <row r="37" spans="3:25">
      <c r="C37" s="11"/>
      <c r="D37" s="17">
        <f>Flujos!I28</f>
        <v>0.49429762727999998</v>
      </c>
      <c r="I37" s="11"/>
      <c r="S37" s="14">
        <f>Flujos!I53</f>
        <v>8.9365182362000001E-2</v>
      </c>
      <c r="Y37" s="12"/>
    </row>
    <row r="38" spans="3:25">
      <c r="C38" s="11"/>
      <c r="D38" s="18">
        <f>D36*D37</f>
        <v>1944.0725680922399</v>
      </c>
      <c r="G38" s="13">
        <f>Flujos!H30</f>
        <v>990</v>
      </c>
      <c r="I38" s="11"/>
      <c r="R38" s="13">
        <f>Flujos!H54</f>
        <v>357931.81634000002</v>
      </c>
      <c r="S38" s="15">
        <f>S36*S37</f>
        <v>10501.368677422102</v>
      </c>
      <c r="Y38" s="12"/>
    </row>
    <row r="39" spans="3:25">
      <c r="C39" s="11"/>
      <c r="F39" s="19">
        <f>Flujos!H29</f>
        <v>2943</v>
      </c>
      <c r="G39" s="14">
        <f>Flujos!I30</f>
        <v>0.48598199999999997</v>
      </c>
      <c r="I39" s="11"/>
      <c r="R39" s="14">
        <f>Flujos!I54</f>
        <v>0.57878070741999998</v>
      </c>
      <c r="Y39" s="12"/>
    </row>
    <row r="40" spans="3:25">
      <c r="C40" s="11"/>
      <c r="D40" s="2"/>
      <c r="F40" s="15">
        <f>Flujos!I29*Flujos!H29</f>
        <v>1462.9503881132998</v>
      </c>
      <c r="G40" s="15">
        <f>G39*G38</f>
        <v>481.12217999999996</v>
      </c>
      <c r="I40" s="11"/>
      <c r="R40" s="15">
        <f>R38*R39</f>
        <v>207164.02986939071</v>
      </c>
      <c r="Y40" s="12"/>
    </row>
    <row r="41" spans="3:25">
      <c r="C41" s="11"/>
      <c r="I41" s="11"/>
      <c r="J41" s="16"/>
      <c r="S41" s="13">
        <f>Flujos!H55</f>
        <v>0</v>
      </c>
      <c r="Y41" s="12"/>
    </row>
    <row r="42" spans="3:25">
      <c r="C42" s="11"/>
      <c r="I42" s="11"/>
      <c r="J42" s="17"/>
      <c r="S42" s="14">
        <f>Flujos!I55</f>
        <v>0</v>
      </c>
      <c r="Y42" s="12"/>
    </row>
    <row r="43" spans="3:25">
      <c r="C43" s="11"/>
      <c r="E43" s="61" t="s">
        <v>139</v>
      </c>
      <c r="I43" s="11"/>
      <c r="J43" s="18"/>
      <c r="M43" s="13"/>
      <c r="S43" s="15">
        <f>S41*S42</f>
        <v>0</v>
      </c>
      <c r="Y43" s="12"/>
    </row>
    <row r="44" spans="3:25">
      <c r="C44" s="11"/>
      <c r="D44" s="16">
        <f>Flujos!H31</f>
        <v>750</v>
      </c>
      <c r="I44" s="11"/>
      <c r="L44" s="19"/>
      <c r="M44" s="14"/>
      <c r="R44" s="47">
        <f>Flujos!H56</f>
        <v>357931.81634000002</v>
      </c>
      <c r="Y44" s="12"/>
    </row>
    <row r="45" spans="3:25">
      <c r="C45" s="11"/>
      <c r="D45" s="17">
        <f>Flujos!I31</f>
        <v>0.41463800000000001</v>
      </c>
      <c r="G45" s="13">
        <f>Flujos!H33</f>
        <v>990</v>
      </c>
      <c r="I45" s="11"/>
      <c r="L45" s="15"/>
      <c r="M45" s="15"/>
      <c r="P45" s="13">
        <f>Flujos!H59</f>
        <v>1186.6604602</v>
      </c>
      <c r="R45" s="3">
        <f>Flujos!I56</f>
        <v>0.57878070741999998</v>
      </c>
      <c r="S45" s="15">
        <f>R44*R45</f>
        <v>207164.02986939071</v>
      </c>
      <c r="U45" s="13">
        <f>Flujos!H57</f>
        <v>188804.81633999999</v>
      </c>
      <c r="Y45" s="12"/>
    </row>
    <row r="46" spans="3:25">
      <c r="C46" s="11"/>
      <c r="D46" s="18">
        <f>D44*D45</f>
        <v>310.9785</v>
      </c>
      <c r="F46" s="19">
        <f>Flujos!H32</f>
        <v>-240</v>
      </c>
      <c r="G46" s="14">
        <f>Flujos!I33</f>
        <v>0.41463800000000001</v>
      </c>
      <c r="I46" s="11"/>
      <c r="P46" s="14">
        <f>Flujos!I59</f>
        <v>0.45460800603000001</v>
      </c>
      <c r="U46" s="14">
        <f>Flujos!I57</f>
        <v>0.51605904000000002</v>
      </c>
      <c r="Y46" s="12"/>
    </row>
    <row r="47" spans="3:25">
      <c r="C47" s="11"/>
      <c r="F47" s="15">
        <f>Flujos!I32*Flujos!H32</f>
        <v>-99.513120000000001</v>
      </c>
      <c r="G47" s="15">
        <f>G45*G46</f>
        <v>410.49162000000001</v>
      </c>
      <c r="I47" s="11"/>
      <c r="P47" s="15">
        <f>P45*P46</f>
        <v>539.46534564616422</v>
      </c>
      <c r="U47" s="15">
        <f>U46*U45</f>
        <v>97434.432267796714</v>
      </c>
      <c r="Y47" s="12"/>
    </row>
    <row r="48" spans="3:25">
      <c r="C48" s="11"/>
      <c r="D48" s="2"/>
      <c r="I48" s="11"/>
      <c r="Y48" s="12"/>
    </row>
    <row r="49" spans="3:32">
      <c r="C49" s="11"/>
      <c r="I49" s="11"/>
      <c r="R49" s="13">
        <f>Flujos!H58</f>
        <v>170313.66046000001</v>
      </c>
      <c r="S49" s="14">
        <f>Flujos!I58</f>
        <v>0.64744696724999995</v>
      </c>
      <c r="T49" s="15">
        <f>R49*S49</f>
        <v>110269.06294607325</v>
      </c>
      <c r="Y49" s="12"/>
    </row>
    <row r="50" spans="3:32">
      <c r="C50" s="11"/>
      <c r="E50" t="s">
        <v>140</v>
      </c>
      <c r="I50" s="11"/>
      <c r="T50" s="2"/>
      <c r="Y50" s="12"/>
    </row>
    <row r="51" spans="3:32">
      <c r="C51" s="11"/>
      <c r="D51" s="16">
        <f>Flujos!H34</f>
        <v>3933</v>
      </c>
      <c r="G51" s="13">
        <f>Flujos!H36</f>
        <v>990</v>
      </c>
      <c r="I51" s="11"/>
      <c r="J51" s="16">
        <f>+Utilidad!O80</f>
        <v>3933</v>
      </c>
      <c r="Y51" s="12"/>
    </row>
    <row r="52" spans="3:32">
      <c r="C52" s="11"/>
      <c r="D52" s="17">
        <f>Flujos!I34</f>
        <v>0.49429762727999998</v>
      </c>
      <c r="G52" s="14">
        <f>Flujos!I36</f>
        <v>0.48598199999999997</v>
      </c>
      <c r="I52" s="11"/>
      <c r="J52" s="17">
        <f>+Utilidad!P80</f>
        <v>0.49429762727999998</v>
      </c>
      <c r="Y52" s="12"/>
    </row>
    <row r="53" spans="3:32">
      <c r="C53" s="11"/>
      <c r="D53" s="18">
        <f>D51*D52</f>
        <v>1944.0725680922399</v>
      </c>
      <c r="G53" s="15">
        <f>G51*G52</f>
        <v>481.12217999999996</v>
      </c>
      <c r="I53" s="11"/>
      <c r="J53" s="18">
        <f>+Utilidad!R80</f>
        <v>1944.0725680922399</v>
      </c>
      <c r="M53" s="13">
        <f>+Utilidad!O82</f>
        <v>990</v>
      </c>
      <c r="Y53" s="12"/>
    </row>
    <row r="54" spans="3:32">
      <c r="C54" s="11"/>
      <c r="F54" s="19">
        <f>Flujos!H35</f>
        <v>2943</v>
      </c>
      <c r="I54" s="11"/>
      <c r="L54" s="19">
        <f>+Utilidad!O81</f>
        <v>2943</v>
      </c>
      <c r="M54" s="14">
        <f>+Utilidad!P82</f>
        <v>0.48598199999999997</v>
      </c>
      <c r="O54" s="13">
        <f>Flujos!H42</f>
        <v>0</v>
      </c>
      <c r="Q54" s="13">
        <f>Flujos!H40</f>
        <v>0</v>
      </c>
      <c r="Y54" s="12"/>
    </row>
    <row r="55" spans="3:32" ht="16">
      <c r="C55" s="11"/>
      <c r="F55" s="15">
        <f>Flujos!I35*Flujos!H35</f>
        <v>1462.9503881132998</v>
      </c>
      <c r="I55" s="11"/>
      <c r="J55" s="2">
        <f>J53-L55</f>
        <v>481.12217997894004</v>
      </c>
      <c r="L55" s="15">
        <f>+Utilidad!R81</f>
        <v>1462.9503881132998</v>
      </c>
      <c r="M55" s="15">
        <f>+Utilidad!R82</f>
        <v>481.12217999999996</v>
      </c>
      <c r="O55" s="14">
        <f>Flujos!I42</f>
        <v>0</v>
      </c>
      <c r="Q55" s="14">
        <f>Flujos!I40</f>
        <v>0</v>
      </c>
      <c r="Y55" s="12"/>
      <c r="AA55" s="4" t="s">
        <v>30</v>
      </c>
    </row>
    <row r="56" spans="3:32" ht="19">
      <c r="C56" s="11"/>
      <c r="I56" s="11"/>
      <c r="O56" s="15">
        <f>O54*O55</f>
        <v>0</v>
      </c>
      <c r="Q56" s="15">
        <f>Q54*Q55</f>
        <v>0</v>
      </c>
      <c r="Y56" s="12"/>
      <c r="AA56" s="41" t="s">
        <v>31</v>
      </c>
      <c r="AB56" s="43"/>
      <c r="AC56" s="40" t="s">
        <v>32</v>
      </c>
      <c r="AD56" s="40"/>
      <c r="AE56" s="41" t="s">
        <v>33</v>
      </c>
      <c r="AF56" s="41"/>
    </row>
    <row r="57" spans="3:32" ht="32">
      <c r="C57" s="11"/>
      <c r="E57" t="s">
        <v>141</v>
      </c>
      <c r="I57" s="11"/>
      <c r="Y57" s="12"/>
      <c r="AA57" s="42" t="s">
        <v>11</v>
      </c>
      <c r="AB57" s="28">
        <f>+R5</f>
        <v>1834605</v>
      </c>
      <c r="AC57" s="42" t="s">
        <v>3</v>
      </c>
      <c r="AD57" s="29">
        <f>+L12</f>
        <v>1763.84</v>
      </c>
      <c r="AE57" s="37" t="s">
        <v>20</v>
      </c>
      <c r="AF57" s="29">
        <f>+S60</f>
        <v>169127</v>
      </c>
    </row>
    <row r="58" spans="3:32" ht="32">
      <c r="C58" s="11"/>
      <c r="D58" s="16">
        <f>Flujos!H37</f>
        <v>2413</v>
      </c>
      <c r="G58" s="13">
        <f>Flujos!H39</f>
        <v>0</v>
      </c>
      <c r="I58" s="11"/>
      <c r="K58" t="s">
        <v>21</v>
      </c>
      <c r="Y58" s="12"/>
      <c r="AA58" s="42" t="s">
        <v>0</v>
      </c>
      <c r="AB58" s="28">
        <f>+J9</f>
        <v>7094</v>
      </c>
      <c r="AC58" s="42" t="s">
        <v>4</v>
      </c>
      <c r="AD58" s="29">
        <f>+L24</f>
        <v>2776.09</v>
      </c>
      <c r="AE58" s="37" t="s">
        <v>37</v>
      </c>
      <c r="AF58" s="29">
        <f>+Y15</f>
        <v>1668294.9300139998</v>
      </c>
    </row>
    <row r="59" spans="3:32" ht="32">
      <c r="C59" s="11"/>
      <c r="D59" s="17">
        <f>Flujos!I37</f>
        <v>0.54689999999999994</v>
      </c>
      <c r="G59" s="14">
        <f>Flujos!I39</f>
        <v>0</v>
      </c>
      <c r="I59" s="11"/>
      <c r="J59" s="16">
        <f>+Utilidad!O83</f>
        <v>750</v>
      </c>
      <c r="S59" t="s">
        <v>109</v>
      </c>
      <c r="Y59" s="12"/>
      <c r="AA59" s="42" t="s">
        <v>2</v>
      </c>
      <c r="AB59" s="28">
        <f>+J21</f>
        <v>8329</v>
      </c>
      <c r="AC59" t="s">
        <v>7</v>
      </c>
      <c r="AD59" s="29">
        <f>+L34</f>
        <v>8221.09</v>
      </c>
      <c r="AE59" s="38"/>
      <c r="AF59" s="29"/>
    </row>
    <row r="60" spans="3:32" ht="32">
      <c r="C60" s="11"/>
      <c r="D60" s="18">
        <f>D58*D59</f>
        <v>1319.6696999999999</v>
      </c>
      <c r="G60" s="15">
        <f>G58*G59</f>
        <v>0</v>
      </c>
      <c r="I60" s="11"/>
      <c r="J60" s="17">
        <f>+Utilidad!P83</f>
        <v>0.41463800000000001</v>
      </c>
      <c r="M60" s="13">
        <f>+Utilidad!O85</f>
        <v>990</v>
      </c>
      <c r="S60" s="13">
        <f>Flujos!H61</f>
        <v>169127</v>
      </c>
      <c r="Y60" s="12"/>
      <c r="AA60" s="42" t="s">
        <v>6</v>
      </c>
      <c r="AB60" s="28">
        <f>+J31</f>
        <v>9517</v>
      </c>
      <c r="AC60" s="42" t="s">
        <v>92</v>
      </c>
      <c r="AD60" s="29">
        <f>O8</f>
        <v>14312.05</v>
      </c>
      <c r="AE60" s="38"/>
      <c r="AF60" s="29"/>
    </row>
    <row r="61" spans="3:32" ht="32">
      <c r="C61" s="11"/>
      <c r="F61" s="19">
        <f>Flujos!H38</f>
        <v>2413</v>
      </c>
      <c r="I61" s="11"/>
      <c r="J61" s="18">
        <f>+Utilidad!R83</f>
        <v>310.9785</v>
      </c>
      <c r="L61" s="19">
        <f>+Utilidad!O84</f>
        <v>-240</v>
      </c>
      <c r="M61" s="14">
        <f>+Utilidad!P85</f>
        <v>0.41463800000000001</v>
      </c>
      <c r="O61" s="19">
        <f>Flujos!H41</f>
        <v>0</v>
      </c>
      <c r="S61" s="14">
        <f>Flujos!I61</f>
        <v>0.64879999999999993</v>
      </c>
      <c r="Y61" s="12"/>
      <c r="AA61" s="173" t="s">
        <v>90</v>
      </c>
      <c r="AB61" s="28"/>
      <c r="AC61" s="42" t="s">
        <v>93</v>
      </c>
      <c r="AD61" s="29">
        <f>+L54</f>
        <v>2943</v>
      </c>
      <c r="AE61" s="36"/>
      <c r="AF61" s="29"/>
    </row>
    <row r="62" spans="3:32" ht="32">
      <c r="C62" s="11"/>
      <c r="F62" s="15">
        <f>Flujos!I38*Flujos!H38</f>
        <v>1319.6696999999999</v>
      </c>
      <c r="I62" s="11"/>
      <c r="L62" s="15">
        <f>+Utilidad!R84</f>
        <v>-99.513120000000001</v>
      </c>
      <c r="M62" s="15">
        <f>+Utilidad!R85</f>
        <v>410.49162000000001</v>
      </c>
      <c r="O62" s="15">
        <f>Flujos!I41*Flujos!J41</f>
        <v>0</v>
      </c>
      <c r="S62" s="15">
        <f>S60*S61</f>
        <v>109729.59759999999</v>
      </c>
      <c r="Y62" s="12"/>
      <c r="AA62" s="42" t="s">
        <v>91</v>
      </c>
      <c r="AB62" s="28">
        <f>+J51</f>
        <v>3933</v>
      </c>
      <c r="AC62" s="42" t="s">
        <v>42</v>
      </c>
      <c r="AD62" s="29">
        <f>+L61</f>
        <v>-240</v>
      </c>
      <c r="AE62" s="37"/>
      <c r="AF62" s="29"/>
    </row>
    <row r="63" spans="3:32" ht="32">
      <c r="C63" s="11"/>
      <c r="I63" s="11"/>
      <c r="J63" s="2">
        <f>J61-L62</f>
        <v>410.49162000000001</v>
      </c>
      <c r="S63" s="15"/>
      <c r="Y63" s="12"/>
      <c r="AA63" s="42" t="s">
        <v>41</v>
      </c>
      <c r="AB63" s="28">
        <f>+J59</f>
        <v>750</v>
      </c>
      <c r="AC63" s="42" t="s">
        <v>47</v>
      </c>
      <c r="AD63" s="29">
        <f>+L69</f>
        <v>0</v>
      </c>
      <c r="AE63" s="37"/>
      <c r="AF63" s="29"/>
    </row>
    <row r="64" spans="3:32" ht="32">
      <c r="I64" s="11"/>
      <c r="S64" s="15"/>
      <c r="Y64" s="12"/>
      <c r="AA64" s="42" t="s">
        <v>46</v>
      </c>
      <c r="AB64" s="28">
        <f>+J66</f>
        <v>0</v>
      </c>
      <c r="AC64" s="42" t="s">
        <v>50</v>
      </c>
      <c r="AD64" s="29">
        <f>+L76</f>
        <v>2413</v>
      </c>
      <c r="AE64" s="37"/>
      <c r="AF64" s="29"/>
    </row>
    <row r="65" spans="9:32" ht="32">
      <c r="I65" s="11"/>
      <c r="K65" t="s">
        <v>44</v>
      </c>
      <c r="S65" s="15"/>
      <c r="Y65" s="12"/>
      <c r="AA65" s="42" t="s">
        <v>49</v>
      </c>
      <c r="AB65" s="28">
        <f>+J73</f>
        <v>2413</v>
      </c>
      <c r="AC65" s="174" t="s">
        <v>94</v>
      </c>
      <c r="AD65" s="29"/>
      <c r="AE65" s="38"/>
      <c r="AF65" s="29"/>
    </row>
    <row r="66" spans="9:32" ht="16">
      <c r="I66" s="11"/>
      <c r="J66" s="16">
        <f>+Utilidad!O86</f>
        <v>0</v>
      </c>
      <c r="M66" s="13">
        <f>+Utilidad!O88</f>
        <v>0</v>
      </c>
      <c r="S66" s="15"/>
      <c r="Y66" s="12"/>
      <c r="AA66" s="42" t="s">
        <v>142</v>
      </c>
      <c r="AB66" s="28">
        <f>D36</f>
        <v>3933</v>
      </c>
      <c r="AC66" s="42" t="s">
        <v>143</v>
      </c>
      <c r="AD66" s="29">
        <f>F39</f>
        <v>2943</v>
      </c>
      <c r="AE66" s="37"/>
      <c r="AF66" s="29"/>
    </row>
    <row r="67" spans="9:32" ht="16">
      <c r="I67" s="11"/>
      <c r="J67" s="17">
        <f>+Utilidad!P86</f>
        <v>0</v>
      </c>
      <c r="M67" s="14">
        <f>+Utilidad!P88</f>
        <v>0</v>
      </c>
      <c r="S67" s="15"/>
      <c r="Y67" s="12"/>
      <c r="AA67" s="42" t="s">
        <v>139</v>
      </c>
      <c r="AB67" s="28">
        <f>D44</f>
        <v>750</v>
      </c>
      <c r="AC67" s="42" t="s">
        <v>144</v>
      </c>
      <c r="AD67" s="29">
        <f>F46</f>
        <v>-240</v>
      </c>
      <c r="AE67" s="37"/>
      <c r="AF67" s="29"/>
    </row>
    <row r="68" spans="9:32" ht="16">
      <c r="I68" s="11"/>
      <c r="J68" s="18">
        <f>+Utilidad!R86</f>
        <v>0</v>
      </c>
      <c r="M68" s="15">
        <f>+Utilidad!R88</f>
        <v>0</v>
      </c>
      <c r="S68" s="15"/>
      <c r="Y68" s="12"/>
      <c r="AA68" s="42" t="s">
        <v>140</v>
      </c>
      <c r="AB68" s="28">
        <f>D51</f>
        <v>3933</v>
      </c>
      <c r="AC68" s="42" t="s">
        <v>145</v>
      </c>
      <c r="AD68" s="29">
        <f>F54</f>
        <v>2943</v>
      </c>
      <c r="AE68" s="37"/>
      <c r="AF68" s="29"/>
    </row>
    <row r="69" spans="9:32" ht="16">
      <c r="I69" s="11"/>
      <c r="L69" s="19">
        <f>+Utilidad!O87</f>
        <v>0</v>
      </c>
      <c r="S69" s="15"/>
      <c r="Y69" s="12"/>
      <c r="AA69" s="42" t="s">
        <v>141</v>
      </c>
      <c r="AB69" s="28">
        <f>D58</f>
        <v>2413</v>
      </c>
      <c r="AC69" s="42" t="s">
        <v>146</v>
      </c>
      <c r="AD69" s="29">
        <f>F61</f>
        <v>2413</v>
      </c>
      <c r="AE69" s="38"/>
      <c r="AF69" s="29"/>
    </row>
    <row r="70" spans="9:32">
      <c r="I70" s="11"/>
      <c r="L70" s="15">
        <f>+Utilidad!R87</f>
        <v>0</v>
      </c>
      <c r="S70" s="15"/>
      <c r="Y70" s="12"/>
    </row>
    <row r="71" spans="9:32" ht="19">
      <c r="I71" s="11"/>
      <c r="S71" s="15"/>
      <c r="Y71" s="12"/>
      <c r="AA71" s="39" t="s">
        <v>34</v>
      </c>
      <c r="AB71" s="30">
        <f>+SUM(AB57:AB69)</f>
        <v>1877670</v>
      </c>
      <c r="AC71" s="39" t="s">
        <v>35</v>
      </c>
      <c r="AD71" s="31">
        <f>+SUM(AD57:AD69)</f>
        <v>40248.07</v>
      </c>
      <c r="AE71" s="37"/>
      <c r="AF71" s="30">
        <f>+SUM(AF57:AF64)</f>
        <v>1837421.9300139998</v>
      </c>
    </row>
    <row r="72" spans="9:32">
      <c r="I72" s="11"/>
      <c r="K72" t="s">
        <v>45</v>
      </c>
      <c r="S72" s="15"/>
      <c r="Y72" s="12"/>
    </row>
    <row r="73" spans="9:32" ht="19">
      <c r="I73" s="11"/>
      <c r="J73" s="16">
        <f>+Utilidad!O89</f>
        <v>2413</v>
      </c>
      <c r="M73" s="13">
        <f>+Utilidad!O91</f>
        <v>0</v>
      </c>
      <c r="S73" s="15"/>
      <c r="Y73" s="12"/>
      <c r="AA73" s="32" t="s">
        <v>36</v>
      </c>
      <c r="AB73" s="33"/>
      <c r="AC73" s="34"/>
      <c r="AD73" s="33"/>
      <c r="AE73" s="35">
        <f>+AB71-AD71-AF71</f>
        <v>-1.3999873772263527E-5</v>
      </c>
    </row>
    <row r="74" spans="9:32">
      <c r="I74" s="11"/>
      <c r="J74" s="17">
        <f>+Utilidad!P89</f>
        <v>0.54689999999999994</v>
      </c>
      <c r="M74" s="14">
        <f>+Utilidad!P91</f>
        <v>0</v>
      </c>
      <c r="S74" s="15"/>
      <c r="Y74" s="12"/>
    </row>
    <row r="75" spans="9:32">
      <c r="I75" s="11"/>
      <c r="J75" s="18">
        <f>+Utilidad!R89</f>
        <v>1319.6696999999999</v>
      </c>
      <c r="M75" s="15">
        <f>+Utilidad!R91</f>
        <v>0</v>
      </c>
      <c r="S75" s="15"/>
      <c r="Y75" s="12"/>
    </row>
    <row r="76" spans="9:32">
      <c r="I76" s="11"/>
      <c r="L76" s="19">
        <f>+Utilidad!O90</f>
        <v>2413</v>
      </c>
      <c r="S76" s="15"/>
      <c r="Y76" s="12"/>
    </row>
    <row r="77" spans="9:32" ht="16">
      <c r="I77" s="11"/>
      <c r="L77" s="15">
        <f>+Utilidad!R90</f>
        <v>1319.6696999999999</v>
      </c>
      <c r="S77" s="15"/>
      <c r="Y77" s="12"/>
      <c r="AA77" s="4" t="s">
        <v>52</v>
      </c>
    </row>
    <row r="78" spans="9:32" ht="19">
      <c r="I78" s="11"/>
      <c r="S78" s="15"/>
      <c r="Y78" s="12"/>
      <c r="AA78" s="44" t="s">
        <v>31</v>
      </c>
      <c r="AB78" s="45"/>
      <c r="AC78" s="46" t="s">
        <v>32</v>
      </c>
      <c r="AD78" s="46"/>
      <c r="AE78" s="44" t="s">
        <v>33</v>
      </c>
      <c r="AF78" s="44"/>
    </row>
    <row r="79" spans="9:32" ht="32">
      <c r="I79" s="11"/>
      <c r="J79" s="2"/>
      <c r="S79" s="15"/>
      <c r="Y79" s="12"/>
      <c r="AA79" s="42" t="s">
        <v>11</v>
      </c>
      <c r="AB79" s="28">
        <f>+R7</f>
        <v>294036.37279332889</v>
      </c>
      <c r="AC79" s="42" t="s">
        <v>3</v>
      </c>
      <c r="AD79" s="29">
        <f>+L13</f>
        <v>1053.6017408274174</v>
      </c>
      <c r="AE79" s="37" t="s">
        <v>20</v>
      </c>
      <c r="AF79" s="29">
        <f>+S62</f>
        <v>109729.59759999999</v>
      </c>
    </row>
    <row r="80" spans="9:32" ht="32">
      <c r="I80" s="11"/>
      <c r="S80" s="15"/>
      <c r="Y80" s="12"/>
      <c r="AA80" s="42" t="s">
        <v>0</v>
      </c>
      <c r="AB80" s="28">
        <f>+J11</f>
        <v>4163.1851038967998</v>
      </c>
      <c r="AC80" s="42" t="s">
        <v>4</v>
      </c>
      <c r="AD80" s="29">
        <f>+L25</f>
        <v>1202.0290360699476</v>
      </c>
      <c r="AE80" s="37" t="s">
        <v>37</v>
      </c>
      <c r="AF80" s="29">
        <f>+Y17</f>
        <v>187326.77429980162</v>
      </c>
    </row>
    <row r="81" spans="9:32" ht="32">
      <c r="I81" s="11"/>
      <c r="S81" s="15"/>
      <c r="Y81" s="12"/>
      <c r="AA81" s="42" t="s">
        <v>2</v>
      </c>
      <c r="AB81" s="28">
        <f>+J23</f>
        <v>3549.0997173877699</v>
      </c>
      <c r="AC81" s="42" t="s">
        <v>7</v>
      </c>
      <c r="AD81" s="29">
        <f>+L35</f>
        <v>4033.7561763692688</v>
      </c>
      <c r="AE81" s="38"/>
      <c r="AF81" s="29"/>
    </row>
    <row r="82" spans="9:32" ht="32">
      <c r="I82" s="11"/>
      <c r="S82" s="15"/>
      <c r="Y82" s="12"/>
      <c r="AA82" s="42" t="s">
        <v>6</v>
      </c>
      <c r="AB82" s="28">
        <f>+J33</f>
        <v>4656.0521583324498</v>
      </c>
      <c r="AC82" s="42" t="s">
        <v>92</v>
      </c>
      <c r="AD82" s="29">
        <f>+O9</f>
        <v>5323.3006970714951</v>
      </c>
      <c r="AE82" s="38"/>
      <c r="AF82" s="29"/>
    </row>
    <row r="83" spans="9:32" ht="33" thickBot="1">
      <c r="I83" s="25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7"/>
      <c r="AA83" s="173" t="s">
        <v>90</v>
      </c>
      <c r="AB83" s="28"/>
      <c r="AC83" s="42" t="s">
        <v>93</v>
      </c>
      <c r="AD83" s="29">
        <f>+L55</f>
        <v>1462.9503881132998</v>
      </c>
      <c r="AE83" s="36"/>
      <c r="AF83" s="29"/>
    </row>
    <row r="84" spans="9:32" ht="32">
      <c r="AA84" s="42" t="s">
        <v>91</v>
      </c>
      <c r="AB84" s="28">
        <f>+J53</f>
        <v>1944.0725680922399</v>
      </c>
      <c r="AC84" s="42" t="s">
        <v>42</v>
      </c>
      <c r="AD84" s="29">
        <f>+L62</f>
        <v>-99.513120000000001</v>
      </c>
      <c r="AE84" s="37"/>
      <c r="AF84" s="29"/>
    </row>
    <row r="85" spans="9:32" ht="32">
      <c r="AA85" s="42" t="s">
        <v>41</v>
      </c>
      <c r="AB85" s="28">
        <f>+J61</f>
        <v>310.9785</v>
      </c>
      <c r="AC85" s="42" t="s">
        <v>47</v>
      </c>
      <c r="AD85" s="29">
        <f>+L70</f>
        <v>0</v>
      </c>
      <c r="AE85" s="37"/>
      <c r="AF85" s="29"/>
    </row>
    <row r="86" spans="9:32" ht="32">
      <c r="AA86" s="42" t="s">
        <v>46</v>
      </c>
      <c r="AB86" s="28">
        <f>+J68</f>
        <v>0</v>
      </c>
      <c r="AC86" s="42" t="s">
        <v>50</v>
      </c>
      <c r="AD86" s="29">
        <f>+L77</f>
        <v>1319.6696999999999</v>
      </c>
      <c r="AE86" s="37"/>
      <c r="AF86" s="29"/>
    </row>
    <row r="87" spans="9:32" ht="16">
      <c r="AA87" s="42" t="s">
        <v>49</v>
      </c>
      <c r="AB87" s="28">
        <f>+J75</f>
        <v>1319.6696999999999</v>
      </c>
      <c r="AC87" s="174" t="s">
        <v>94</v>
      </c>
      <c r="AD87" s="29"/>
      <c r="AE87" s="38"/>
      <c r="AF87" s="29"/>
    </row>
    <row r="88" spans="9:32" ht="16">
      <c r="AA88" s="42" t="s">
        <v>142</v>
      </c>
      <c r="AB88" s="28">
        <f>D38</f>
        <v>1944.0725680922399</v>
      </c>
      <c r="AC88" s="42" t="s">
        <v>143</v>
      </c>
      <c r="AD88" s="29">
        <f>F40</f>
        <v>1462.9503881132998</v>
      </c>
      <c r="AE88" s="37"/>
      <c r="AF88" s="29"/>
    </row>
    <row r="89" spans="9:32" ht="16" customHeight="1">
      <c r="AA89" s="42" t="s">
        <v>139</v>
      </c>
      <c r="AB89" s="28">
        <f>D46</f>
        <v>310.9785</v>
      </c>
      <c r="AC89" s="42" t="s">
        <v>144</v>
      </c>
      <c r="AD89" s="29">
        <f>F47</f>
        <v>-99.513120000000001</v>
      </c>
      <c r="AE89" s="37"/>
      <c r="AF89" s="29"/>
    </row>
    <row r="90" spans="9:32" ht="16">
      <c r="AA90" s="42" t="s">
        <v>140</v>
      </c>
      <c r="AB90" s="28">
        <f>D53</f>
        <v>1944.0725680922399</v>
      </c>
      <c r="AC90" s="42" t="s">
        <v>145</v>
      </c>
      <c r="AD90" s="29">
        <f>F55</f>
        <v>1462.9503881132998</v>
      </c>
      <c r="AE90" s="37"/>
      <c r="AF90" s="29"/>
    </row>
    <row r="91" spans="9:32" ht="17" customHeight="1">
      <c r="AA91" s="42" t="s">
        <v>141</v>
      </c>
      <c r="AB91" s="28">
        <f>D60</f>
        <v>1319.6696999999999</v>
      </c>
      <c r="AC91" s="42" t="s">
        <v>146</v>
      </c>
      <c r="AD91" s="29">
        <f>F62</f>
        <v>1319.6696999999999</v>
      </c>
      <c r="AE91" s="38"/>
      <c r="AF91" s="29"/>
    </row>
    <row r="93" spans="9:32" ht="14.5" customHeight="1">
      <c r="AA93" s="39" t="s">
        <v>34</v>
      </c>
      <c r="AB93" s="30">
        <f>+SUM(AB79:AB91)</f>
        <v>315498.22387722274</v>
      </c>
      <c r="AC93" s="39" t="s">
        <v>35</v>
      </c>
      <c r="AD93" s="31">
        <f>+SUM(AD79:AD91)</f>
        <v>18441.851974678029</v>
      </c>
      <c r="AE93" s="37"/>
      <c r="AF93" s="30">
        <f>+SUM(AF79:AF86)</f>
        <v>297056.3718998016</v>
      </c>
    </row>
    <row r="95" spans="9:32" ht="14.5" customHeight="1">
      <c r="AA95" s="32" t="s">
        <v>36</v>
      </c>
      <c r="AB95" s="33"/>
      <c r="AC95" s="34"/>
      <c r="AD95" s="33"/>
      <c r="AE95" s="35">
        <f>+AB93-AD93-AF93</f>
        <v>2.743094228208065E-6</v>
      </c>
    </row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L12</xm:sqref>
        </x14:conditionalFormatting>
        <x14:conditionalFormatting xmlns:xm="http://schemas.microsoft.com/office/excel/2006/main">
          <x14:cfRule type="iconSet" priority="36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L24</xm:sqref>
        </x14:conditionalFormatting>
        <x14:conditionalFormatting xmlns:xm="http://schemas.microsoft.com/office/excel/2006/main">
          <x14:cfRule type="iconSet" priority="35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33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L44</xm:sqref>
        </x14:conditionalFormatting>
        <x14:conditionalFormatting xmlns:xm="http://schemas.microsoft.com/office/excel/2006/main">
          <x14:cfRule type="iconSet" priority="32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L54</xm:sqref>
        </x14:conditionalFormatting>
        <x14:conditionalFormatting xmlns:xm="http://schemas.microsoft.com/office/excel/2006/main">
          <x14:cfRule type="iconSet" priority="31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AD71</xm:sqref>
        </x14:conditionalFormatting>
        <x14:conditionalFormatting xmlns:xm="http://schemas.microsoft.com/office/excel/2006/main">
          <x14:cfRule type="iconSet" priority="29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L61</xm:sqref>
        </x14:conditionalFormatting>
        <x14:conditionalFormatting xmlns:xm="http://schemas.microsoft.com/office/excel/2006/main">
          <x14:cfRule type="iconSet" priority="28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L69</xm:sqref>
        </x14:conditionalFormatting>
        <x14:conditionalFormatting xmlns:xm="http://schemas.microsoft.com/office/excel/2006/main">
          <x14:cfRule type="iconSet" priority="27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L70</xm:sqref>
        </x14:conditionalFormatting>
        <x14:conditionalFormatting xmlns:xm="http://schemas.microsoft.com/office/excel/2006/main">
          <x14:cfRule type="iconSet" priority="26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L62</xm:sqref>
        </x14:conditionalFormatting>
        <x14:conditionalFormatting xmlns:xm="http://schemas.microsoft.com/office/excel/2006/main">
          <x14:cfRule type="iconSet" priority="25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L55</xm:sqref>
        </x14:conditionalFormatting>
        <x14:conditionalFormatting xmlns:xm="http://schemas.microsoft.com/office/excel/2006/main">
          <x14:cfRule type="iconSet" priority="24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L45</xm:sqref>
        </x14:conditionalFormatting>
        <x14:conditionalFormatting xmlns:xm="http://schemas.microsoft.com/office/excel/2006/main">
          <x14:cfRule type="iconSet" priority="23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L35</xm:sqref>
        </x14:conditionalFormatting>
        <x14:conditionalFormatting xmlns:xm="http://schemas.microsoft.com/office/excel/2006/main">
          <x14:cfRule type="iconSet" priority="22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L25</xm:sqref>
        </x14:conditionalFormatting>
        <x14:conditionalFormatting xmlns:xm="http://schemas.microsoft.com/office/excel/2006/main">
          <x14:cfRule type="iconSet" priority="21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L76</xm:sqref>
        </x14:conditionalFormatting>
        <x14:conditionalFormatting xmlns:xm="http://schemas.microsoft.com/office/excel/2006/main">
          <x14:cfRule type="iconSet" priority="20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L77</xm:sqref>
        </x14:conditionalFormatting>
        <x14:conditionalFormatting xmlns:xm="http://schemas.microsoft.com/office/excel/2006/main">
          <x14:cfRule type="iconSet" priority="19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O61</xm:sqref>
        </x14:conditionalFormatting>
        <x14:conditionalFormatting xmlns:xm="http://schemas.microsoft.com/office/excel/2006/main">
          <x14:cfRule type="iconSet" priority="18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O62</xm:sqref>
        </x14:conditionalFormatting>
        <x14:conditionalFormatting xmlns:xm="http://schemas.microsoft.com/office/excel/2006/main">
          <x14:cfRule type="iconSet" priority="17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AD93</xm:sqref>
        </x14:conditionalFormatting>
        <x14:conditionalFormatting xmlns:xm="http://schemas.microsoft.com/office/excel/2006/main">
          <x14:cfRule type="iconSet" priority="16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</xm:sqref>
        </x14:conditionalFormatting>
        <x14:conditionalFormatting xmlns:xm="http://schemas.microsoft.com/office/excel/2006/main">
          <x14:cfRule type="iconSet" priority="15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</xm:sqref>
        </x14:conditionalFormatting>
        <x14:conditionalFormatting xmlns:xm="http://schemas.microsoft.com/office/excel/2006/main">
          <x14:cfRule type="iconSet" priority="12" id="{2764A8E7-B39E-D045-82F7-A7A59C47DE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O9</xm:sqref>
        </x14:conditionalFormatting>
        <x14:conditionalFormatting xmlns:xm="http://schemas.microsoft.com/office/excel/2006/main">
          <x14:cfRule type="iconSet" priority="10" id="{497356EF-CDE1-6047-8650-CAA61958BC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9" id="{F3CC60A9-5660-6848-93CA-BB3CBB06079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F39</xm:sqref>
        </x14:conditionalFormatting>
        <x14:conditionalFormatting xmlns:xm="http://schemas.microsoft.com/office/excel/2006/main">
          <x14:cfRule type="iconSet" priority="8" id="{7F937D50-DDDB-8F43-AA29-2F8323F0C47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F46</xm:sqref>
        </x14:conditionalFormatting>
        <x14:conditionalFormatting xmlns:xm="http://schemas.microsoft.com/office/excel/2006/main">
          <x14:cfRule type="iconSet" priority="7" id="{44C0BFBF-C1EC-B54B-9B39-5C910449886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F54</xm:sqref>
        </x14:conditionalFormatting>
        <x14:conditionalFormatting xmlns:xm="http://schemas.microsoft.com/office/excel/2006/main">
          <x14:cfRule type="iconSet" priority="6" id="{064B6534-EAC8-F740-A124-D8203E0A5A5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F55</xm:sqref>
        </x14:conditionalFormatting>
        <x14:conditionalFormatting xmlns:xm="http://schemas.microsoft.com/office/excel/2006/main">
          <x14:cfRule type="iconSet" priority="5" id="{0D44D343-3746-5146-831A-BEC7A3A5E2E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F47</xm:sqref>
        </x14:conditionalFormatting>
        <x14:conditionalFormatting xmlns:xm="http://schemas.microsoft.com/office/excel/2006/main">
          <x14:cfRule type="iconSet" priority="4" id="{B49597AE-1043-3547-A76B-2903FCD992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F40</xm:sqref>
        </x14:conditionalFormatting>
        <x14:conditionalFormatting xmlns:xm="http://schemas.microsoft.com/office/excel/2006/main">
          <x14:cfRule type="iconSet" priority="3" id="{52BE3C07-5DBE-8549-9BAF-B1FF9C6C91D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F30</xm:sqref>
        </x14:conditionalFormatting>
        <x14:conditionalFormatting xmlns:xm="http://schemas.microsoft.com/office/excel/2006/main">
          <x14:cfRule type="iconSet" priority="2" id="{DBD02632-CF79-9048-91B0-15219885AFB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F61</xm:sqref>
        </x14:conditionalFormatting>
        <x14:conditionalFormatting xmlns:xm="http://schemas.microsoft.com/office/excel/2006/main">
          <x14:cfRule type="iconSet" priority="1" id="{04D990D5-501B-754A-8700-CA4771DFFDC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B2:T82"/>
  <sheetViews>
    <sheetView topLeftCell="F44" zoomScale="116" zoomScaleNormal="60" workbookViewId="0">
      <selection activeCell="B4" sqref="B4:B65"/>
    </sheetView>
  </sheetViews>
  <sheetFormatPr baseColWidth="10" defaultRowHeight="15"/>
  <cols>
    <col min="1" max="1" width="5.6640625" customWidth="1"/>
    <col min="2" max="2" width="30.33203125" bestFit="1" customWidth="1"/>
    <col min="3" max="4" width="13.1640625" bestFit="1" customWidth="1"/>
    <col min="5" max="5" width="13.33203125" customWidth="1"/>
    <col min="6" max="6" width="12" customWidth="1"/>
    <col min="7" max="7" width="30.5" bestFit="1" customWidth="1"/>
    <col min="8" max="8" width="15.5" customWidth="1"/>
    <col min="9" max="9" width="13.5" customWidth="1"/>
    <col min="10" max="10" width="12.33203125" customWidth="1"/>
    <col min="11" max="11" width="5" customWidth="1"/>
    <col min="12" max="12" width="11.5" customWidth="1"/>
    <col min="13" max="14" width="14.1640625" bestFit="1" customWidth="1"/>
    <col min="15" max="15" width="5.83203125" customWidth="1"/>
    <col min="16" max="16" width="15.1640625" bestFit="1" customWidth="1"/>
    <col min="17" max="17" width="15.5" bestFit="1" customWidth="1"/>
    <col min="18" max="18" width="19.1640625" bestFit="1" customWidth="1"/>
    <col min="19" max="19" width="5.83203125" customWidth="1"/>
    <col min="20" max="20" width="16.33203125" bestFit="1" customWidth="1"/>
  </cols>
  <sheetData>
    <row r="2" spans="2:20" ht="20" customHeight="1">
      <c r="B2" s="220" t="s">
        <v>98</v>
      </c>
      <c r="C2" s="220"/>
      <c r="D2" s="220"/>
      <c r="E2" s="220"/>
      <c r="G2" s="220" t="s">
        <v>99</v>
      </c>
      <c r="H2" s="220"/>
      <c r="I2" s="220"/>
      <c r="J2" s="220"/>
      <c r="L2" s="221" t="s">
        <v>105</v>
      </c>
      <c r="M2" s="222"/>
      <c r="N2" s="223"/>
      <c r="P2" s="183" t="s">
        <v>100</v>
      </c>
      <c r="Q2" s="184" t="s">
        <v>103</v>
      </c>
      <c r="R2" s="184" t="s">
        <v>104</v>
      </c>
      <c r="T2" s="194" t="s">
        <v>108</v>
      </c>
    </row>
    <row r="3" spans="2:20" ht="19">
      <c r="B3" s="175" t="s">
        <v>95</v>
      </c>
      <c r="C3" s="175" t="s">
        <v>22</v>
      </c>
      <c r="D3" s="175" t="s">
        <v>96</v>
      </c>
      <c r="E3" s="175" t="s">
        <v>97</v>
      </c>
      <c r="G3" s="175" t="s">
        <v>95</v>
      </c>
      <c r="H3" s="175" t="s">
        <v>22</v>
      </c>
      <c r="I3" s="175" t="s">
        <v>96</v>
      </c>
      <c r="J3" s="175" t="s">
        <v>97</v>
      </c>
      <c r="L3" s="180" t="s">
        <v>101</v>
      </c>
      <c r="M3" s="180" t="s">
        <v>102</v>
      </c>
      <c r="N3" s="180" t="s">
        <v>110</v>
      </c>
      <c r="P3" s="181"/>
      <c r="Q3" s="181"/>
      <c r="R3" s="181"/>
      <c r="T3" s="181"/>
    </row>
    <row r="4" spans="2:20" ht="21">
      <c r="B4" s="295" t="s">
        <v>0</v>
      </c>
      <c r="C4" s="176">
        <f>Utilidad!A1</f>
        <v>7094</v>
      </c>
      <c r="D4" s="177">
        <f>IF(Utilidad!C$46&gt;1,Utilidad!C1/100,Utilidad!C1)</f>
        <v>0.59530000000000005</v>
      </c>
      <c r="E4" s="177">
        <f>IF(Utilidad!$E$46&gt;1,Utilidad!E1/100,Utilidad!E1)</f>
        <v>0.58599999999999997</v>
      </c>
      <c r="G4" s="295" t="s">
        <v>0</v>
      </c>
      <c r="H4" s="176">
        <f>Utilidad!B1</f>
        <v>7094</v>
      </c>
      <c r="I4" s="177">
        <f>IF(Utilidad!$D$46&gt;1,Utilidad!D1/100,Utilidad!D1)</f>
        <v>0.58686003720000002</v>
      </c>
      <c r="J4" s="177">
        <f>IF(Utilidad!$F$46&gt;1,Utilidad!F1/100,Utilidad!F1)</f>
        <v>0.57769188952999995</v>
      </c>
      <c r="L4" s="182">
        <f>+IF(C4&lt;&gt;0,(H4-C4)/C4,ABS(H4-C4))</f>
        <v>0</v>
      </c>
      <c r="M4" s="182">
        <f>+IF(D4&lt;&gt;0,(I4-D4)/D4,0)</f>
        <v>-1.4177663027045243E-2</v>
      </c>
      <c r="N4" s="182">
        <f>+IF(E4&lt;&gt;0,(J4-E4)/E4,0)</f>
        <v>-1.4177662918088771E-2</v>
      </c>
      <c r="P4" s="177">
        <f t="shared" ref="P4" si="0">+IF(L4&lt;&gt;"",ABS(L4),0)</f>
        <v>0</v>
      </c>
      <c r="Q4" s="177">
        <f>+IF(L4&lt;&gt;"",ABS(M4),0)</f>
        <v>1.4177663027045243E-2</v>
      </c>
      <c r="R4" s="177">
        <f>+IF(M4&lt;&gt;"",ABS(N4),0)</f>
        <v>1.4177662918088771E-2</v>
      </c>
      <c r="T4" s="195" t="str">
        <f>IF(J4&lt;=I4,"SI","NO")</f>
        <v>SI</v>
      </c>
    </row>
    <row r="5" spans="2:20" ht="21">
      <c r="B5" s="295" t="s">
        <v>3</v>
      </c>
      <c r="C5" s="176">
        <f>Utilidad!A2</f>
        <v>1710</v>
      </c>
      <c r="D5" s="177">
        <f>IF(Utilidad!C$46&gt;1,Utilidad!C2/100,Utilidad!C2)</f>
        <v>0.59530000000000005</v>
      </c>
      <c r="E5" s="177">
        <f>IF(Utilidad!$E$46&gt;1,Utilidad!E2/100,Utilidad!E2)</f>
        <v>0.58599999999999997</v>
      </c>
      <c r="G5" s="295" t="s">
        <v>3</v>
      </c>
      <c r="H5" s="176">
        <f>Utilidad!B2</f>
        <v>1763.84</v>
      </c>
      <c r="I5" s="177">
        <f>IF(Utilidad!$D$46&gt;1,Utilidad!D2/100,Utilidad!D2)</f>
        <v>0.59733407838999997</v>
      </c>
      <c r="J5" s="177">
        <f>IF(Utilidad!$F$46&gt;1,Utilidad!F2/100,Utilidad!F2)</f>
        <v>0.58800230151999999</v>
      </c>
      <c r="L5" s="182">
        <f t="shared" ref="L5:L53" si="1">+IF(C5&lt;&gt;0,(H5-C5)/C5,ABS(H5-C5))</f>
        <v>3.1485380116959019E-2</v>
      </c>
      <c r="M5" s="182">
        <f t="shared" ref="M5:M53" si="2">+IF(D5&lt;&gt;0,(I5-D5)/D5,0)</f>
        <v>3.4168963379807085E-3</v>
      </c>
      <c r="N5" s="182">
        <f t="shared" ref="N5:N53" si="3">+IF(E5&lt;&gt;0,(J5-E5)/E5,0)</f>
        <v>3.4168967918089201E-3</v>
      </c>
      <c r="P5" s="177">
        <f t="shared" ref="P5:P53" si="4">+IF(L5&lt;&gt;"",ABS(L5),0)</f>
        <v>3.1485380116959019E-2</v>
      </c>
      <c r="Q5" s="177">
        <f t="shared" ref="Q5:Q53" si="5">+IF(L5&lt;&gt;"",ABS(M5),0)</f>
        <v>3.4168963379807085E-3</v>
      </c>
      <c r="R5" s="177">
        <f t="shared" ref="R5:R53" si="6">+IF(M5&lt;&gt;"",ABS(N5),0)</f>
        <v>3.4168967918089201E-3</v>
      </c>
      <c r="T5" s="195" t="str">
        <f t="shared" ref="T5:T53" si="7">IF(J5&lt;=I5,"SI","NO")</f>
        <v>SI</v>
      </c>
    </row>
    <row r="6" spans="2:20" ht="21">
      <c r="B6" s="295" t="s">
        <v>1</v>
      </c>
      <c r="C6" s="176">
        <f>Utilidad!A3</f>
        <v>5384</v>
      </c>
      <c r="D6" s="177">
        <f>IF(Utilidad!C$46&gt;1,Utilidad!C3/100,Utilidad!C3)</f>
        <v>0.59530000000000005</v>
      </c>
      <c r="E6" s="177">
        <f>IF(Utilidad!$E$46&gt;1,Utilidad!E3/100,Utilidad!E3)</f>
        <v>0.58599999999999997</v>
      </c>
      <c r="G6" s="295" t="s">
        <v>1</v>
      </c>
      <c r="H6" s="176">
        <f>Utilidad!B3</f>
        <v>5330.16</v>
      </c>
      <c r="I6" s="177">
        <f>IF(Utilidad!$D$46&gt;1,Utilidad!D3/100,Utilidad!D3)</f>
        <v>0.58339399999999997</v>
      </c>
      <c r="J6" s="177">
        <f>IF(Utilidad!$F$46&gt;1,Utilidad!F3/100,Utilidad!F3)</f>
        <v>0.57428000000000001</v>
      </c>
      <c r="L6" s="182">
        <f t="shared" si="1"/>
        <v>-1.0000000000000026E-2</v>
      </c>
      <c r="M6" s="182">
        <f t="shared" si="2"/>
        <v>-2.0000000000000139E-2</v>
      </c>
      <c r="N6" s="182">
        <f t="shared" si="3"/>
        <v>-1.9999999999999921E-2</v>
      </c>
      <c r="P6" s="177">
        <f t="shared" si="4"/>
        <v>1.0000000000000026E-2</v>
      </c>
      <c r="Q6" s="177">
        <f t="shared" si="5"/>
        <v>2.0000000000000139E-2</v>
      </c>
      <c r="R6" s="177">
        <f t="shared" si="6"/>
        <v>1.9999999999999921E-2</v>
      </c>
      <c r="T6" s="195" t="str">
        <f t="shared" si="7"/>
        <v>SI</v>
      </c>
    </row>
    <row r="7" spans="2:20" ht="21">
      <c r="B7" s="295" t="s">
        <v>2</v>
      </c>
      <c r="C7" s="176">
        <f>Utilidad!A4</f>
        <v>8329</v>
      </c>
      <c r="D7" s="177">
        <f>IF(Utilidad!C$46&gt;1,Utilidad!C4/100,Utilidad!C4)</f>
        <v>0.43130000000000002</v>
      </c>
      <c r="E7" s="177">
        <f>IF(Utilidad!$E$46&gt;1,Utilidad!E4/100,Utilidad!E4)</f>
        <v>0.40810000000000002</v>
      </c>
      <c r="G7" s="295" t="s">
        <v>2</v>
      </c>
      <c r="H7" s="176">
        <f>Utilidad!B4</f>
        <v>8329</v>
      </c>
      <c r="I7" s="177">
        <f>IF(Utilidad!$D$46&gt;1,Utilidad!D4/100,Utilidad!D4)</f>
        <v>0.42611354512999999</v>
      </c>
      <c r="J7" s="177">
        <f>IF(Utilidad!$F$46&gt;1,Utilidad!F4/100,Utilidad!F4)</f>
        <v>0.40319905360999997</v>
      </c>
      <c r="L7" s="182">
        <f t="shared" si="1"/>
        <v>0</v>
      </c>
      <c r="M7" s="182">
        <f t="shared" si="2"/>
        <v>-1.2025167795038311E-2</v>
      </c>
      <c r="N7" s="182">
        <f t="shared" si="3"/>
        <v>-1.2009180078412274E-2</v>
      </c>
      <c r="P7" s="177">
        <f t="shared" si="4"/>
        <v>0</v>
      </c>
      <c r="Q7" s="177">
        <f t="shared" si="5"/>
        <v>1.2025167795038311E-2</v>
      </c>
      <c r="R7" s="177">
        <f t="shared" si="6"/>
        <v>1.2009180078412274E-2</v>
      </c>
      <c r="T7" s="195" t="str">
        <f t="shared" si="7"/>
        <v>SI</v>
      </c>
    </row>
    <row r="8" spans="2:20" ht="21">
      <c r="B8" s="295" t="s">
        <v>4</v>
      </c>
      <c r="C8" s="176">
        <f>Utilidad!A5</f>
        <v>2720</v>
      </c>
      <c r="D8" s="177">
        <f>IF(Utilidad!C$46&gt;1,Utilidad!C5/100,Utilidad!C5)</f>
        <v>0.43130000000000002</v>
      </c>
      <c r="E8" s="177">
        <f>IF(Utilidad!$E$46&gt;1,Utilidad!E5/100,Utilidad!E5)</f>
        <v>0.40810000000000002</v>
      </c>
      <c r="G8" s="295" t="s">
        <v>4</v>
      </c>
      <c r="H8" s="176">
        <f>Utilidad!B5</f>
        <v>2776.09</v>
      </c>
      <c r="I8" s="177">
        <f>IF(Utilidad!$D$46&gt;1,Utilidad!D5/100,Utilidad!D5)</f>
        <v>0.43299353986</v>
      </c>
      <c r="J8" s="177">
        <f>IF(Utilidad!$F$46&gt;1,Utilidad!F5/100,Utilidad!F5)</f>
        <v>0.40972201837</v>
      </c>
      <c r="L8" s="182">
        <f t="shared" si="1"/>
        <v>2.0621323529411817E-2</v>
      </c>
      <c r="M8" s="182">
        <f t="shared" si="2"/>
        <v>3.9265936934847713E-3</v>
      </c>
      <c r="N8" s="182">
        <f t="shared" si="3"/>
        <v>3.9745610634647826E-3</v>
      </c>
      <c r="P8" s="177">
        <f t="shared" si="4"/>
        <v>2.0621323529411817E-2</v>
      </c>
      <c r="Q8" s="177">
        <f t="shared" si="5"/>
        <v>3.9265936934847713E-3</v>
      </c>
      <c r="R8" s="177">
        <f t="shared" si="6"/>
        <v>3.9745610634647826E-3</v>
      </c>
      <c r="T8" s="195" t="str">
        <f t="shared" si="7"/>
        <v>SI</v>
      </c>
    </row>
    <row r="9" spans="2:20" ht="21">
      <c r="B9" s="295" t="s">
        <v>5</v>
      </c>
      <c r="C9" s="176">
        <f>Utilidad!A6</f>
        <v>5609</v>
      </c>
      <c r="D9" s="177">
        <f>IF(Utilidad!C$46&gt;1,Utilidad!C6/100,Utilidad!C6)</f>
        <v>0.43130000000000002</v>
      </c>
      <c r="E9" s="177">
        <f>IF(Utilidad!$E$46&gt;1,Utilidad!E6/100,Utilidad!E6)</f>
        <v>0.40810000000000002</v>
      </c>
      <c r="G9" s="295" t="s">
        <v>5</v>
      </c>
      <c r="H9" s="176">
        <f>Utilidad!B6</f>
        <v>5552.91</v>
      </c>
      <c r="I9" s="177">
        <f>IF(Utilidad!$D$46&gt;1,Utilidad!D6/100,Utilidad!D6)</f>
        <v>0.42267399999999999</v>
      </c>
      <c r="J9" s="177">
        <f>IF(Utilidad!$F$46&gt;1,Utilidad!F6/100,Utilidad!F6)</f>
        <v>0.39993800000000002</v>
      </c>
      <c r="L9" s="182">
        <f t="shared" si="1"/>
        <v>-1.0000000000000026E-2</v>
      </c>
      <c r="M9" s="182">
        <f t="shared" si="2"/>
        <v>-2.0000000000000052E-2</v>
      </c>
      <c r="N9" s="182">
        <f t="shared" si="3"/>
        <v>-2.0000000000000004E-2</v>
      </c>
      <c r="P9" s="177">
        <f t="shared" si="4"/>
        <v>1.0000000000000026E-2</v>
      </c>
      <c r="Q9" s="177">
        <f t="shared" si="5"/>
        <v>2.0000000000000052E-2</v>
      </c>
      <c r="R9" s="177">
        <f t="shared" si="6"/>
        <v>2.0000000000000004E-2</v>
      </c>
      <c r="T9" s="195" t="str">
        <f t="shared" si="7"/>
        <v>SI</v>
      </c>
    </row>
    <row r="10" spans="2:20" ht="21">
      <c r="B10" s="295" t="s">
        <v>6</v>
      </c>
      <c r="C10" s="176">
        <f>Utilidad!A7</f>
        <v>9517</v>
      </c>
      <c r="D10" s="177">
        <f>IF(Utilidad!C$46&gt;1,Utilidad!C7/100,Utilidad!C7)</f>
        <v>0.49</v>
      </c>
      <c r="E10" s="177">
        <f>IF(Utilidad!$E$46&gt;1,Utilidad!E7/100,Utilidad!E7)</f>
        <v>0.47350000000000003</v>
      </c>
      <c r="G10" s="295" t="s">
        <v>6</v>
      </c>
      <c r="H10" s="176">
        <f>Utilidad!B7</f>
        <v>9517</v>
      </c>
      <c r="I10" s="177">
        <f>IF(Utilidad!$D$46&gt;1,Utilidad!D7/100,Utilidad!D7)</f>
        <v>0.48923527984999998</v>
      </c>
      <c r="J10" s="177">
        <f>IF(Utilidad!$F$46&gt;1,Utilidad!F7/100,Utilidad!F7)</f>
        <v>0.47276103063999997</v>
      </c>
      <c r="L10" s="182">
        <f t="shared" si="1"/>
        <v>0</v>
      </c>
      <c r="M10" s="182">
        <f t="shared" si="2"/>
        <v>-1.5606533673469571E-3</v>
      </c>
      <c r="N10" s="182">
        <f t="shared" si="3"/>
        <v>-1.5606533474130169E-3</v>
      </c>
      <c r="P10" s="177">
        <f t="shared" si="4"/>
        <v>0</v>
      </c>
      <c r="Q10" s="177">
        <f t="shared" si="5"/>
        <v>1.5606533673469571E-3</v>
      </c>
      <c r="R10" s="177">
        <f t="shared" si="6"/>
        <v>1.5606533474130169E-3</v>
      </c>
      <c r="T10" s="195" t="str">
        <f t="shared" si="7"/>
        <v>SI</v>
      </c>
    </row>
    <row r="11" spans="2:20" ht="21">
      <c r="B11" s="295" t="s">
        <v>7</v>
      </c>
      <c r="C11" s="176">
        <f>Utilidad!A8</f>
        <v>8208</v>
      </c>
      <c r="D11" s="177">
        <f>IF(Utilidad!C$46&gt;1,Utilidad!C8/100,Utilidad!C8)</f>
        <v>0.49</v>
      </c>
      <c r="E11" s="177">
        <f>IF(Utilidad!$E$46&gt;1,Utilidad!E8/100,Utilidad!E8)</f>
        <v>0.47350000000000003</v>
      </c>
      <c r="G11" s="295" t="s">
        <v>7</v>
      </c>
      <c r="H11" s="176">
        <f>Utilidad!B8</f>
        <v>8221.09</v>
      </c>
      <c r="I11" s="177">
        <f>IF(Utilidad!$D$46&gt;1,Utilidad!D8/100,Utilidad!D8)</f>
        <v>0.49065953254</v>
      </c>
      <c r="J11" s="177">
        <f>IF(Utilidad!$F$46&gt;1,Utilidad!F8/100,Utilidad!F8)</f>
        <v>0.47413732380000001</v>
      </c>
      <c r="L11" s="182">
        <f t="shared" si="1"/>
        <v>1.5947855750487506E-3</v>
      </c>
      <c r="M11" s="182">
        <f t="shared" si="2"/>
        <v>1.3459847755102191E-3</v>
      </c>
      <c r="N11" s="182">
        <f t="shared" si="3"/>
        <v>1.345984794086543E-3</v>
      </c>
      <c r="P11" s="177">
        <f t="shared" si="4"/>
        <v>1.5947855750487506E-3</v>
      </c>
      <c r="Q11" s="177">
        <f t="shared" si="5"/>
        <v>1.3459847755102191E-3</v>
      </c>
      <c r="R11" s="177">
        <f t="shared" si="6"/>
        <v>1.345984794086543E-3</v>
      </c>
      <c r="T11" s="195" t="str">
        <f t="shared" si="7"/>
        <v>SI</v>
      </c>
    </row>
    <row r="12" spans="2:20" ht="21">
      <c r="B12" s="295" t="s">
        <v>8</v>
      </c>
      <c r="C12" s="176">
        <f>Utilidad!A9</f>
        <v>1309</v>
      </c>
      <c r="D12" s="177">
        <f>IF(Utilidad!C$46&gt;1,Utilidad!C9/100,Utilidad!C9)</f>
        <v>0.49</v>
      </c>
      <c r="E12" s="177">
        <f>IF(Utilidad!$E$46&gt;1,Utilidad!E9/100,Utilidad!E9)</f>
        <v>0.47350000000000003</v>
      </c>
      <c r="G12" s="295" t="s">
        <v>8</v>
      </c>
      <c r="H12" s="176">
        <f>Utilidad!B9</f>
        <v>1295.9100000000001</v>
      </c>
      <c r="I12" s="177">
        <f>IF(Utilidad!$D$46&gt;1,Utilidad!D9/100,Utilidad!D9)</f>
        <v>0.48020000000000002</v>
      </c>
      <c r="J12" s="177">
        <f>IF(Utilidad!$F$46&gt;1,Utilidad!F9/100,Utilidad!F9)</f>
        <v>0.46403</v>
      </c>
      <c r="L12" s="182">
        <f t="shared" si="1"/>
        <v>-9.9999999999999378E-3</v>
      </c>
      <c r="M12" s="182">
        <f t="shared" si="2"/>
        <v>-1.9999999999999952E-2</v>
      </c>
      <c r="N12" s="182">
        <f t="shared" si="3"/>
        <v>-2.000000000000007E-2</v>
      </c>
      <c r="P12" s="177">
        <f t="shared" si="4"/>
        <v>9.9999999999999378E-3</v>
      </c>
      <c r="Q12" s="177">
        <f t="shared" si="5"/>
        <v>1.9999999999999952E-2</v>
      </c>
      <c r="R12" s="177">
        <f t="shared" si="6"/>
        <v>2.000000000000007E-2</v>
      </c>
      <c r="T12" s="195" t="str">
        <f t="shared" si="7"/>
        <v>SI</v>
      </c>
    </row>
    <row r="13" spans="2:20" ht="21">
      <c r="B13" s="295" t="s">
        <v>90</v>
      </c>
      <c r="C13" s="176">
        <f>Utilidad!A10</f>
        <v>18376</v>
      </c>
      <c r="D13" s="177">
        <f>IF(Utilidad!C$46&gt;1,Utilidad!C10/100,Utilidad!C10)</f>
        <v>0.37</v>
      </c>
      <c r="E13" s="177">
        <f>IF(Utilidad!$E$46&gt;1,Utilidad!E10/100,Utilidad!E10)</f>
        <v>0.35249999999999998</v>
      </c>
      <c r="G13" s="295" t="s">
        <v>90</v>
      </c>
      <c r="H13" s="176">
        <f>Utilidad!B10</f>
        <v>18376</v>
      </c>
      <c r="I13" s="177">
        <f>IF(Utilidad!$D$46&gt;1,Utilidad!D10/100,Utilidad!D10)</f>
        <v>0.36792799999999998</v>
      </c>
      <c r="J13" s="177">
        <f>IF(Utilidad!$F$46&gt;1,Utilidad!F10/100,Utilidad!F10)</f>
        <v>0.35954999999999998</v>
      </c>
      <c r="L13" s="182">
        <f t="shared" si="1"/>
        <v>0</v>
      </c>
      <c r="M13" s="182">
        <f t="shared" si="2"/>
        <v>-5.6000000000000494E-3</v>
      </c>
      <c r="N13" s="182">
        <f t="shared" si="3"/>
        <v>2.0000000000000004E-2</v>
      </c>
      <c r="P13" s="177">
        <f t="shared" si="4"/>
        <v>0</v>
      </c>
      <c r="Q13" s="177">
        <f t="shared" si="5"/>
        <v>5.6000000000000494E-3</v>
      </c>
      <c r="R13" s="177">
        <f t="shared" si="6"/>
        <v>2.0000000000000004E-2</v>
      </c>
      <c r="T13" s="195" t="str">
        <f t="shared" si="7"/>
        <v>SI</v>
      </c>
    </row>
    <row r="14" spans="2:20" ht="21">
      <c r="B14" s="295" t="s">
        <v>92</v>
      </c>
      <c r="C14" s="176">
        <f>Utilidad!A11</f>
        <v>14271</v>
      </c>
      <c r="D14" s="177">
        <f>IF(Utilidad!C$46&gt;1,Utilidad!C11/100,Utilidad!C11)</f>
        <v>0.37</v>
      </c>
      <c r="E14" s="177">
        <f>IF(Utilidad!$E$46&gt;1,Utilidad!E11/100,Utilidad!E11)</f>
        <v>0.35249999999999998</v>
      </c>
      <c r="G14" s="295" t="s">
        <v>92</v>
      </c>
      <c r="H14" s="176">
        <f>Utilidad!B11</f>
        <v>14312.05</v>
      </c>
      <c r="I14" s="177">
        <f>IF(Utilidad!$D$46&gt;1,Utilidad!D11/100,Utilidad!D11)</f>
        <v>0.37194536751000001</v>
      </c>
      <c r="J14" s="177">
        <f>IF(Utilidad!$F$46&gt;1,Utilidad!F11/100,Utilidad!F11)</f>
        <v>0.36647561445999999</v>
      </c>
      <c r="L14" s="182">
        <f t="shared" si="1"/>
        <v>2.8764627566392875E-3</v>
      </c>
      <c r="M14" s="182">
        <f t="shared" si="2"/>
        <v>5.2577500270270753E-3</v>
      </c>
      <c r="N14" s="182">
        <f t="shared" si="3"/>
        <v>3.9647133219858181E-2</v>
      </c>
      <c r="P14" s="177">
        <f t="shared" si="4"/>
        <v>2.8764627566392875E-3</v>
      </c>
      <c r="Q14" s="177">
        <f t="shared" si="5"/>
        <v>5.2577500270270753E-3</v>
      </c>
      <c r="R14" s="177">
        <f t="shared" si="6"/>
        <v>3.9647133219858181E-2</v>
      </c>
      <c r="T14" s="195" t="str">
        <f t="shared" si="7"/>
        <v>SI</v>
      </c>
    </row>
    <row r="15" spans="2:20" ht="21">
      <c r="B15" s="295" t="s">
        <v>106</v>
      </c>
      <c r="C15" s="176">
        <f>Utilidad!A12</f>
        <v>4105</v>
      </c>
      <c r="D15" s="177">
        <f>IF(Utilidad!C$46&gt;1,Utilidad!C12/100,Utilidad!C12)</f>
        <v>0.36099999999999999</v>
      </c>
      <c r="E15" s="177">
        <f>IF(Utilidad!$E$46&gt;1,Utilidad!E12/100,Utilidad!E12)</f>
        <v>0.34200000000000003</v>
      </c>
      <c r="G15" s="295" t="s">
        <v>106</v>
      </c>
      <c r="H15" s="176">
        <f>Utilidad!B12</f>
        <v>4063.95</v>
      </c>
      <c r="I15" s="177">
        <f>IF(Utilidad!$D$46&gt;1,Utilidad!D12/100,Utilidad!D12)</f>
        <v>0.35377999999999998</v>
      </c>
      <c r="J15" s="177">
        <f>IF(Utilidad!$F$46&gt;1,Utilidad!F12/100,Utilidad!F12)</f>
        <v>0.33515999999999996</v>
      </c>
      <c r="L15" s="182">
        <f t="shared" si="1"/>
        <v>-1.0000000000000044E-2</v>
      </c>
      <c r="M15" s="182">
        <f t="shared" si="2"/>
        <v>-2.0000000000000011E-2</v>
      </c>
      <c r="N15" s="182">
        <f t="shared" si="3"/>
        <v>-2.0000000000000198E-2</v>
      </c>
      <c r="P15" s="177">
        <f t="shared" si="4"/>
        <v>1.0000000000000044E-2</v>
      </c>
      <c r="Q15" s="177">
        <f t="shared" si="5"/>
        <v>2.0000000000000011E-2</v>
      </c>
      <c r="R15" s="177">
        <f t="shared" si="6"/>
        <v>2.0000000000000198E-2</v>
      </c>
      <c r="T15" s="195" t="str">
        <f t="shared" si="7"/>
        <v>SI</v>
      </c>
    </row>
    <row r="16" spans="2:20" ht="21">
      <c r="B16" s="295" t="s">
        <v>91</v>
      </c>
      <c r="C16" s="176">
        <f>Utilidad!A13</f>
        <v>3933</v>
      </c>
      <c r="D16" s="177">
        <f>IF(Utilidad!C$46&gt;1,Utilidad!C13/100,Utilidad!C13)</f>
        <v>0.49590000000000001</v>
      </c>
      <c r="E16" s="177">
        <f>IF(Utilidad!$E$46&gt;1,Utilidad!E13/100,Utilidad!E13)</f>
        <v>0.45130000000000003</v>
      </c>
      <c r="G16" s="295" t="s">
        <v>91</v>
      </c>
      <c r="H16" s="176">
        <f>Utilidad!B13</f>
        <v>3933</v>
      </c>
      <c r="I16" s="177">
        <f>IF(Utilidad!$D$46&gt;1,Utilidad!D13/100,Utilidad!D13)</f>
        <v>0.49429762727999998</v>
      </c>
      <c r="J16" s="177">
        <f>IF(Utilidad!$F$46&gt;1,Utilidad!F13/100,Utilidad!F13)</f>
        <v>0.44984174072999999</v>
      </c>
      <c r="L16" s="182">
        <f>+IF(C16&lt;&gt;0,(H16-C16)/C16,ABS(H16-C16))</f>
        <v>0</v>
      </c>
      <c r="M16" s="182">
        <f t="shared" si="2"/>
        <v>-3.2312416212946613E-3</v>
      </c>
      <c r="N16" s="182">
        <f t="shared" si="3"/>
        <v>-3.2312414580102805E-3</v>
      </c>
      <c r="P16" s="177">
        <f t="shared" si="4"/>
        <v>0</v>
      </c>
      <c r="Q16" s="177">
        <f t="shared" si="5"/>
        <v>3.2312416212946613E-3</v>
      </c>
      <c r="R16" s="177">
        <f t="shared" si="6"/>
        <v>3.2312414580102805E-3</v>
      </c>
      <c r="T16" s="195" t="str">
        <f t="shared" si="7"/>
        <v>SI</v>
      </c>
    </row>
    <row r="17" spans="2:20" ht="21">
      <c r="B17" s="295" t="s">
        <v>93</v>
      </c>
      <c r="C17" s="176">
        <f>Utilidad!A14</f>
        <v>2933</v>
      </c>
      <c r="D17" s="177">
        <f>IF(Utilidad!C$46&gt;1,Utilidad!C14/100,Utilidad!C14)</f>
        <v>0.49590000000000001</v>
      </c>
      <c r="E17" s="177">
        <f>IF(Utilidad!$E$46&gt;1,Utilidad!E14/100,Utilidad!E14)</f>
        <v>0.45130000000000003</v>
      </c>
      <c r="G17" s="295" t="s">
        <v>93</v>
      </c>
      <c r="H17" s="176">
        <f>Utilidad!B14</f>
        <v>2943</v>
      </c>
      <c r="I17" s="177">
        <f>IF(Utilidad!$D$46&gt;1,Utilidad!D14/100,Utilidad!D14)</f>
        <v>0.49709493309999997</v>
      </c>
      <c r="J17" s="177">
        <f>IF(Utilidad!$F$46&gt;1,Utilidad!F14/100,Utilidad!F14)</f>
        <v>0.45238746392000001</v>
      </c>
      <c r="L17" s="182">
        <f t="shared" si="1"/>
        <v>3.4094783498124785E-3</v>
      </c>
      <c r="M17" s="182">
        <f t="shared" si="2"/>
        <v>2.4096251260333976E-3</v>
      </c>
      <c r="N17" s="182">
        <f t="shared" si="3"/>
        <v>2.4096253489917477E-3</v>
      </c>
      <c r="P17" s="177">
        <f t="shared" si="4"/>
        <v>3.4094783498124785E-3</v>
      </c>
      <c r="Q17" s="177">
        <f t="shared" si="5"/>
        <v>2.4096251260333976E-3</v>
      </c>
      <c r="R17" s="177">
        <f t="shared" si="6"/>
        <v>2.4096253489917477E-3</v>
      </c>
      <c r="T17" s="195" t="str">
        <f t="shared" si="7"/>
        <v>SI</v>
      </c>
    </row>
    <row r="18" spans="2:20" ht="21">
      <c r="B18" s="295" t="s">
        <v>107</v>
      </c>
      <c r="C18" s="176">
        <f>Utilidad!A15</f>
        <v>1000</v>
      </c>
      <c r="D18" s="177">
        <f>IF(Utilidad!C$46&gt;1,Utilidad!C15/100,Utilidad!C15)</f>
        <v>0.49590000000000001</v>
      </c>
      <c r="E18" s="177">
        <f>IF(Utilidad!$E$46&gt;1,Utilidad!E15/100,Utilidad!E15)</f>
        <v>0.45130000000000003</v>
      </c>
      <c r="G18" s="295" t="s">
        <v>107</v>
      </c>
      <c r="H18" s="176">
        <f>Utilidad!B15</f>
        <v>990</v>
      </c>
      <c r="I18" s="177">
        <f>IF(Utilidad!$D$46&gt;1,Utilidad!D15/100,Utilidad!D15)</f>
        <v>0.48598199999999997</v>
      </c>
      <c r="J18" s="177">
        <f>IF(Utilidad!$F$46&gt;1,Utilidad!F15/100,Utilidad!F15)</f>
        <v>0.44227400000000006</v>
      </c>
      <c r="L18" s="182">
        <f t="shared" si="1"/>
        <v>-0.01</v>
      </c>
      <c r="M18" s="182">
        <f t="shared" si="2"/>
        <v>-2.0000000000000077E-2</v>
      </c>
      <c r="N18" s="182">
        <f t="shared" si="3"/>
        <v>-1.9999999999999952E-2</v>
      </c>
      <c r="P18" s="177">
        <f t="shared" si="4"/>
        <v>0.01</v>
      </c>
      <c r="Q18" s="177">
        <f t="shared" si="5"/>
        <v>2.0000000000000077E-2</v>
      </c>
      <c r="R18" s="177">
        <f t="shared" si="6"/>
        <v>1.9999999999999952E-2</v>
      </c>
      <c r="T18" s="195" t="str">
        <f t="shared" si="7"/>
        <v>SI</v>
      </c>
    </row>
    <row r="19" spans="2:20" ht="21">
      <c r="B19" s="295" t="s">
        <v>41</v>
      </c>
      <c r="C19" s="176">
        <f>Utilidad!A16</f>
        <v>750</v>
      </c>
      <c r="D19" s="177">
        <f>IF(Utilidad!C$46&gt;1,Utilidad!C16/100,Utilidad!C16)</f>
        <v>0.42310000000000003</v>
      </c>
      <c r="E19" s="177">
        <f>IF(Utilidad!$E$46&gt;1,Utilidad!E16/100,Utilidad!E16)</f>
        <v>0.37959999999999999</v>
      </c>
      <c r="G19" s="295" t="s">
        <v>41</v>
      </c>
      <c r="H19" s="176">
        <f>Utilidad!B16</f>
        <v>750</v>
      </c>
      <c r="I19" s="177">
        <f>IF(Utilidad!$D$46&gt;1,Utilidad!D16/100,Utilidad!D16)</f>
        <v>0.41463800000000001</v>
      </c>
      <c r="J19" s="177">
        <f>IF(Utilidad!$F$46&gt;1,Utilidad!F16/100,Utilidad!F16)</f>
        <v>0.37200800000000001</v>
      </c>
      <c r="L19" s="182">
        <f t="shared" si="1"/>
        <v>0</v>
      </c>
      <c r="M19" s="182">
        <f t="shared" si="2"/>
        <v>-2.0000000000000059E-2</v>
      </c>
      <c r="N19" s="182">
        <f t="shared" si="3"/>
        <v>-1.9999999999999969E-2</v>
      </c>
      <c r="P19" s="177">
        <f t="shared" si="4"/>
        <v>0</v>
      </c>
      <c r="Q19" s="177">
        <f t="shared" si="5"/>
        <v>2.0000000000000059E-2</v>
      </c>
      <c r="R19" s="177">
        <f t="shared" si="6"/>
        <v>1.9999999999999969E-2</v>
      </c>
      <c r="T19" s="195" t="str">
        <f t="shared" si="7"/>
        <v>SI</v>
      </c>
    </row>
    <row r="20" spans="2:20" ht="21">
      <c r="B20" s="295" t="s">
        <v>42</v>
      </c>
      <c r="C20" s="176">
        <f>Utilidad!A17</f>
        <v>-250</v>
      </c>
      <c r="D20" s="177">
        <f>IF(Utilidad!C$46&gt;1,Utilidad!C17/100,Utilidad!C17)</f>
        <v>0.42310000000000003</v>
      </c>
      <c r="E20" s="177">
        <f>IF(Utilidad!$E$46&gt;1,Utilidad!E17/100,Utilidad!E17)</f>
        <v>0.37959999999999999</v>
      </c>
      <c r="G20" s="295" t="s">
        <v>42</v>
      </c>
      <c r="H20" s="176">
        <f>Utilidad!B17</f>
        <v>-240</v>
      </c>
      <c r="I20" s="177">
        <f>IF(Utilidad!$D$46&gt;1,Utilidad!D17/100,Utilidad!D17)</f>
        <v>0.41463800000000001</v>
      </c>
      <c r="J20" s="177">
        <f>IF(Utilidad!$F$46&gt;1,Utilidad!F17/100,Utilidad!F17)</f>
        <v>0.37200800000000001</v>
      </c>
      <c r="L20" s="182">
        <f t="shared" si="1"/>
        <v>-0.04</v>
      </c>
      <c r="M20" s="182">
        <f t="shared" si="2"/>
        <v>-2.0000000000000059E-2</v>
      </c>
      <c r="N20" s="182">
        <f t="shared" si="3"/>
        <v>-1.9999999999999969E-2</v>
      </c>
      <c r="P20" s="177">
        <f t="shared" si="4"/>
        <v>0.04</v>
      </c>
      <c r="Q20" s="177">
        <f t="shared" si="5"/>
        <v>2.0000000000000059E-2</v>
      </c>
      <c r="R20" s="177">
        <f t="shared" si="6"/>
        <v>1.9999999999999969E-2</v>
      </c>
      <c r="T20" s="195" t="str">
        <f t="shared" si="7"/>
        <v>SI</v>
      </c>
    </row>
    <row r="21" spans="2:20" ht="21">
      <c r="B21" s="295" t="s">
        <v>43</v>
      </c>
      <c r="C21" s="176">
        <f>Utilidad!A18</f>
        <v>1000</v>
      </c>
      <c r="D21" s="177">
        <f>IF(Utilidad!C$46&gt;1,Utilidad!C18/100,Utilidad!C18)</f>
        <v>0.42310000000000003</v>
      </c>
      <c r="E21" s="177">
        <f>IF(Utilidad!$E$46&gt;1,Utilidad!E18/100,Utilidad!E18)</f>
        <v>0.37959999999999999</v>
      </c>
      <c r="G21" s="295" t="s">
        <v>43</v>
      </c>
      <c r="H21" s="176">
        <f>Utilidad!B18</f>
        <v>990</v>
      </c>
      <c r="I21" s="177">
        <f>IF(Utilidad!$D$46&gt;1,Utilidad!D18/100,Utilidad!D18)</f>
        <v>0.41463800000000001</v>
      </c>
      <c r="J21" s="177">
        <f>IF(Utilidad!$F$46&gt;1,Utilidad!F18/100,Utilidad!F18)</f>
        <v>0.37200800000000001</v>
      </c>
      <c r="L21" s="182">
        <f t="shared" si="1"/>
        <v>-0.01</v>
      </c>
      <c r="M21" s="182">
        <f t="shared" si="2"/>
        <v>-2.0000000000000059E-2</v>
      </c>
      <c r="N21" s="182">
        <f t="shared" si="3"/>
        <v>-1.9999999999999969E-2</v>
      </c>
      <c r="P21" s="177">
        <f t="shared" si="4"/>
        <v>0.01</v>
      </c>
      <c r="Q21" s="177">
        <f t="shared" si="5"/>
        <v>2.0000000000000059E-2</v>
      </c>
      <c r="R21" s="177">
        <f t="shared" si="6"/>
        <v>1.9999999999999969E-2</v>
      </c>
      <c r="T21" s="195" t="str">
        <f t="shared" si="7"/>
        <v>SI</v>
      </c>
    </row>
    <row r="22" spans="2:20" ht="21">
      <c r="B22" s="295" t="s">
        <v>46</v>
      </c>
      <c r="C22" s="176">
        <f>Utilidad!A19</f>
        <v>0</v>
      </c>
      <c r="D22" s="177">
        <f>IF(Utilidad!C$46&gt;1,Utilidad!C19/100,Utilidad!C19)</f>
        <v>0</v>
      </c>
      <c r="E22" s="177">
        <f>IF(Utilidad!$E$46&gt;1,Utilidad!E19/100,Utilidad!E19)</f>
        <v>0</v>
      </c>
      <c r="G22" s="295" t="s">
        <v>46</v>
      </c>
      <c r="H22" s="176">
        <f>Utilidad!B19</f>
        <v>0</v>
      </c>
      <c r="I22" s="177">
        <f>IF(Utilidad!$D$46&gt;1,Utilidad!D19/100,Utilidad!D19)</f>
        <v>0</v>
      </c>
      <c r="J22" s="177">
        <f>IF(Utilidad!$F$46&gt;1,Utilidad!F19/100,Utilidad!F19)</f>
        <v>0</v>
      </c>
      <c r="L22" s="182">
        <f t="shared" si="1"/>
        <v>0</v>
      </c>
      <c r="M22" s="182">
        <f t="shared" si="2"/>
        <v>0</v>
      </c>
      <c r="N22" s="182">
        <f t="shared" si="3"/>
        <v>0</v>
      </c>
      <c r="P22" s="177">
        <f t="shared" si="4"/>
        <v>0</v>
      </c>
      <c r="Q22" s="177">
        <f t="shared" si="5"/>
        <v>0</v>
      </c>
      <c r="R22" s="177">
        <f t="shared" si="6"/>
        <v>0</v>
      </c>
      <c r="T22" s="195" t="str">
        <f t="shared" si="7"/>
        <v>SI</v>
      </c>
    </row>
    <row r="23" spans="2:20" ht="21">
      <c r="B23" s="295" t="s">
        <v>47</v>
      </c>
      <c r="C23" s="176">
        <f>Utilidad!A20</f>
        <v>0</v>
      </c>
      <c r="D23" s="177">
        <f>IF(Utilidad!C$46&gt;1,Utilidad!C20/100,Utilidad!C20)</f>
        <v>0</v>
      </c>
      <c r="E23" s="177">
        <f>IF(Utilidad!$E$46&gt;1,Utilidad!E20/100,Utilidad!E20)</f>
        <v>0</v>
      </c>
      <c r="G23" s="295" t="s">
        <v>47</v>
      </c>
      <c r="H23" s="176">
        <f>Utilidad!B20</f>
        <v>0</v>
      </c>
      <c r="I23" s="177">
        <f>IF(Utilidad!$D$46&gt;1,Utilidad!D20/100,Utilidad!D20)</f>
        <v>0</v>
      </c>
      <c r="J23" s="177">
        <f>IF(Utilidad!$F$46&gt;1,Utilidad!F20/100,Utilidad!F20)</f>
        <v>0</v>
      </c>
      <c r="L23" s="182">
        <f t="shared" si="1"/>
        <v>0</v>
      </c>
      <c r="M23" s="182">
        <f t="shared" si="2"/>
        <v>0</v>
      </c>
      <c r="N23" s="182">
        <f t="shared" si="3"/>
        <v>0</v>
      </c>
      <c r="P23" s="177">
        <f t="shared" si="4"/>
        <v>0</v>
      </c>
      <c r="Q23" s="177">
        <f t="shared" si="5"/>
        <v>0</v>
      </c>
      <c r="R23" s="177">
        <f t="shared" si="6"/>
        <v>0</v>
      </c>
      <c r="T23" s="195" t="str">
        <f t="shared" si="7"/>
        <v>SI</v>
      </c>
    </row>
    <row r="24" spans="2:20" ht="21">
      <c r="B24" s="295" t="s">
        <v>48</v>
      </c>
      <c r="C24" s="176">
        <f>Utilidad!A21</f>
        <v>0</v>
      </c>
      <c r="D24" s="177">
        <f>IF(Utilidad!C$46&gt;1,Utilidad!C21/100,Utilidad!C21)</f>
        <v>0</v>
      </c>
      <c r="E24" s="177">
        <f>IF(Utilidad!$E$46&gt;1,Utilidad!E21/100,Utilidad!E21)</f>
        <v>0</v>
      </c>
      <c r="G24" s="295" t="s">
        <v>48</v>
      </c>
      <c r="H24" s="176">
        <f>Utilidad!B21</f>
        <v>0</v>
      </c>
      <c r="I24" s="177">
        <f>IF(Utilidad!$D$46&gt;1,Utilidad!D21/100,Utilidad!D21)</f>
        <v>0</v>
      </c>
      <c r="J24" s="177">
        <f>IF(Utilidad!$F$46&gt;1,Utilidad!F21/100,Utilidad!F21)</f>
        <v>0</v>
      </c>
      <c r="L24" s="182">
        <f t="shared" si="1"/>
        <v>0</v>
      </c>
      <c r="M24" s="182">
        <f t="shared" si="2"/>
        <v>0</v>
      </c>
      <c r="N24" s="182">
        <f t="shared" si="3"/>
        <v>0</v>
      </c>
      <c r="P24" s="177">
        <f t="shared" si="4"/>
        <v>0</v>
      </c>
      <c r="Q24" s="177">
        <f t="shared" si="5"/>
        <v>0</v>
      </c>
      <c r="R24" s="177">
        <f t="shared" si="6"/>
        <v>0</v>
      </c>
      <c r="T24" s="195" t="str">
        <f t="shared" si="7"/>
        <v>SI</v>
      </c>
    </row>
    <row r="25" spans="2:20" ht="21">
      <c r="B25" s="295" t="s">
        <v>49</v>
      </c>
      <c r="C25" s="176">
        <f>Utilidad!A22</f>
        <v>2413</v>
      </c>
      <c r="D25" s="177">
        <f>IF(Utilidad!C$46&gt;1,Utilidad!C22/100,Utilidad!C22)</f>
        <v>0.54689999999999994</v>
      </c>
      <c r="E25" s="177">
        <f>IF(Utilidad!$E$46&gt;1,Utilidad!E22/100,Utilidad!E22)</f>
        <v>0.52139999999999997</v>
      </c>
      <c r="G25" s="295" t="s">
        <v>49</v>
      </c>
      <c r="H25" s="176">
        <f>Utilidad!B22</f>
        <v>2413</v>
      </c>
      <c r="I25" s="177">
        <f>IF(Utilidad!$D$46&gt;1,Utilidad!D22/100,Utilidad!D22)</f>
        <v>0.54689999999999994</v>
      </c>
      <c r="J25" s="177">
        <f>IF(Utilidad!$F$46&gt;1,Utilidad!F22/100,Utilidad!F22)</f>
        <v>0.52139999999999997</v>
      </c>
      <c r="L25" s="182">
        <f t="shared" si="1"/>
        <v>0</v>
      </c>
      <c r="M25" s="182">
        <f t="shared" si="2"/>
        <v>0</v>
      </c>
      <c r="N25" s="182">
        <f t="shared" si="3"/>
        <v>0</v>
      </c>
      <c r="P25" s="177">
        <f t="shared" si="4"/>
        <v>0</v>
      </c>
      <c r="Q25" s="177">
        <f t="shared" si="5"/>
        <v>0</v>
      </c>
      <c r="R25" s="177">
        <f t="shared" si="6"/>
        <v>0</v>
      </c>
      <c r="T25" s="195" t="str">
        <f t="shared" si="7"/>
        <v>SI</v>
      </c>
    </row>
    <row r="26" spans="2:20" ht="21">
      <c r="B26" s="295" t="s">
        <v>50</v>
      </c>
      <c r="C26" s="176">
        <f>Utilidad!A23</f>
        <v>2413</v>
      </c>
      <c r="D26" s="177">
        <f>IF(Utilidad!C$46&gt;1,Utilidad!C23/100,Utilidad!C23)</f>
        <v>0.54689999999999994</v>
      </c>
      <c r="E26" s="177">
        <f>IF(Utilidad!$E$46&gt;1,Utilidad!E23/100,Utilidad!E23)</f>
        <v>0.52139999999999997</v>
      </c>
      <c r="G26" s="295" t="s">
        <v>50</v>
      </c>
      <c r="H26" s="176">
        <f>Utilidad!B23</f>
        <v>2413</v>
      </c>
      <c r="I26" s="177">
        <f>IF(Utilidad!$D$46&gt;1,Utilidad!D23/100,Utilidad!D23)</f>
        <v>0.54689999999999994</v>
      </c>
      <c r="J26" s="177">
        <f>IF(Utilidad!$F$46&gt;1,Utilidad!F23/100,Utilidad!F23)</f>
        <v>0.52139999999999997</v>
      </c>
      <c r="L26" s="182">
        <f t="shared" si="1"/>
        <v>0</v>
      </c>
      <c r="M26" s="182">
        <f t="shared" si="2"/>
        <v>0</v>
      </c>
      <c r="N26" s="182">
        <f t="shared" si="3"/>
        <v>0</v>
      </c>
      <c r="P26" s="177">
        <f t="shared" si="4"/>
        <v>0</v>
      </c>
      <c r="Q26" s="177">
        <f t="shared" si="5"/>
        <v>0</v>
      </c>
      <c r="R26" s="177">
        <f t="shared" si="6"/>
        <v>0</v>
      </c>
      <c r="T26" s="195" t="str">
        <f t="shared" si="7"/>
        <v>SI</v>
      </c>
    </row>
    <row r="27" spans="2:20" ht="21">
      <c r="B27" s="295" t="s">
        <v>51</v>
      </c>
      <c r="C27" s="176">
        <f>Utilidad!A24</f>
        <v>0</v>
      </c>
      <c r="D27" s="177">
        <f>IF(Utilidad!C$46&gt;1,Utilidad!C24/100,Utilidad!C24)</f>
        <v>0</v>
      </c>
      <c r="E27" s="177">
        <f>IF(Utilidad!$E$46&gt;1,Utilidad!E24/100,Utilidad!E24)</f>
        <v>0</v>
      </c>
      <c r="G27" s="295" t="s">
        <v>51</v>
      </c>
      <c r="H27" s="176">
        <f>Utilidad!B24</f>
        <v>0</v>
      </c>
      <c r="I27" s="177">
        <f>IF(Utilidad!$D$46&gt;1,Utilidad!D24/100,Utilidad!D24)</f>
        <v>0</v>
      </c>
      <c r="J27" s="177">
        <f>IF(Utilidad!$F$46&gt;1,Utilidad!F24/100,Utilidad!F24)</f>
        <v>0</v>
      </c>
      <c r="L27" s="182">
        <f t="shared" si="1"/>
        <v>0</v>
      </c>
      <c r="M27" s="182">
        <f t="shared" si="2"/>
        <v>0</v>
      </c>
      <c r="N27" s="182">
        <f t="shared" si="3"/>
        <v>0</v>
      </c>
      <c r="P27" s="177">
        <f t="shared" si="4"/>
        <v>0</v>
      </c>
      <c r="Q27" s="177">
        <f t="shared" si="5"/>
        <v>0</v>
      </c>
      <c r="R27" s="177">
        <f t="shared" si="6"/>
        <v>0</v>
      </c>
      <c r="T27" s="195" t="str">
        <f t="shared" si="7"/>
        <v>SI</v>
      </c>
    </row>
    <row r="28" spans="2:20" ht="21">
      <c r="B28" s="295" t="s">
        <v>127</v>
      </c>
      <c r="C28" s="176">
        <f>Utilidad!A25</f>
        <v>3933</v>
      </c>
      <c r="D28" s="177">
        <f>IF(Utilidad!C$46&gt;1,Utilidad!C25/100,Utilidad!C25)</f>
        <v>0.49590000000000001</v>
      </c>
      <c r="E28" s="177">
        <f>IF(Utilidad!$E$46&gt;1,Utilidad!E25/100,Utilidad!E25)</f>
        <v>0.45130000000000003</v>
      </c>
      <c r="G28" s="295" t="s">
        <v>127</v>
      </c>
      <c r="H28" s="176">
        <f>Utilidad!B25</f>
        <v>3933</v>
      </c>
      <c r="I28" s="177">
        <f>IF(Utilidad!$D$46&gt;1,Utilidad!D25/100,Utilidad!D25)</f>
        <v>0.49429762727999998</v>
      </c>
      <c r="J28" s="177">
        <f>IF(Utilidad!$F$46&gt;1,Utilidad!F25/100,Utilidad!F25)</f>
        <v>0.44984174072999999</v>
      </c>
      <c r="L28" s="182">
        <f t="shared" si="1"/>
        <v>0</v>
      </c>
      <c r="M28" s="182">
        <f t="shared" si="2"/>
        <v>-3.2312416212946613E-3</v>
      </c>
      <c r="N28" s="182">
        <f t="shared" si="3"/>
        <v>-3.2312414580102805E-3</v>
      </c>
      <c r="P28" s="177">
        <f t="shared" si="4"/>
        <v>0</v>
      </c>
      <c r="Q28" s="177">
        <f t="shared" si="5"/>
        <v>3.2312416212946613E-3</v>
      </c>
      <c r="R28" s="177">
        <f t="shared" si="6"/>
        <v>3.2312414580102805E-3</v>
      </c>
      <c r="T28" s="195" t="str">
        <f t="shared" si="7"/>
        <v>SI</v>
      </c>
    </row>
    <row r="29" spans="2:20" ht="21">
      <c r="B29" s="295" t="s">
        <v>128</v>
      </c>
      <c r="C29" s="176">
        <f>Utilidad!A26</f>
        <v>2933</v>
      </c>
      <c r="D29" s="177">
        <f>IF(Utilidad!C$46&gt;1,Utilidad!C26/100,Utilidad!C26)</f>
        <v>0.49590000000000001</v>
      </c>
      <c r="E29" s="177">
        <f>IF(Utilidad!$E$46&gt;1,Utilidad!E26/100,Utilidad!E26)</f>
        <v>0.45130000000000003</v>
      </c>
      <c r="G29" s="295" t="s">
        <v>128</v>
      </c>
      <c r="H29" s="176">
        <f>Utilidad!B26</f>
        <v>2943</v>
      </c>
      <c r="I29" s="177">
        <f>IF(Utilidad!$D$46&gt;1,Utilidad!D26/100,Utilidad!D26)</f>
        <v>0.49709493309999997</v>
      </c>
      <c r="J29" s="177">
        <f>IF(Utilidad!$F$46&gt;1,Utilidad!F26/100,Utilidad!F26)</f>
        <v>0.45238746392000001</v>
      </c>
      <c r="L29" s="182">
        <f t="shared" si="1"/>
        <v>3.4094783498124785E-3</v>
      </c>
      <c r="M29" s="182">
        <f t="shared" si="2"/>
        <v>2.4096251260333976E-3</v>
      </c>
      <c r="N29" s="182">
        <f t="shared" si="3"/>
        <v>2.4096253489917477E-3</v>
      </c>
      <c r="P29" s="177">
        <f t="shared" si="4"/>
        <v>3.4094783498124785E-3</v>
      </c>
      <c r="Q29" s="177">
        <f t="shared" si="5"/>
        <v>2.4096251260333976E-3</v>
      </c>
      <c r="R29" s="177">
        <f t="shared" si="6"/>
        <v>2.4096253489917477E-3</v>
      </c>
      <c r="T29" s="195" t="str">
        <f t="shared" si="7"/>
        <v>SI</v>
      </c>
    </row>
    <row r="30" spans="2:20" ht="21">
      <c r="B30" s="295" t="s">
        <v>129</v>
      </c>
      <c r="C30" s="176">
        <f>Utilidad!A27</f>
        <v>1000</v>
      </c>
      <c r="D30" s="177">
        <f>IF(Utilidad!C$46&gt;1,Utilidad!C27/100,Utilidad!C27)</f>
        <v>0.49590000000000001</v>
      </c>
      <c r="E30" s="177">
        <f>IF(Utilidad!$E$46&gt;1,Utilidad!E27/100,Utilidad!E27)</f>
        <v>0.45130000000000003</v>
      </c>
      <c r="G30" s="295" t="s">
        <v>129</v>
      </c>
      <c r="H30" s="176">
        <f>Utilidad!B27</f>
        <v>990</v>
      </c>
      <c r="I30" s="177">
        <f>IF(Utilidad!$D$46&gt;1,Utilidad!D27/100,Utilidad!D27)</f>
        <v>0.48598199999999997</v>
      </c>
      <c r="J30" s="177">
        <f>IF(Utilidad!$F$46&gt;1,Utilidad!F27/100,Utilidad!F27)</f>
        <v>0.44227400000000006</v>
      </c>
      <c r="L30" s="182">
        <f t="shared" si="1"/>
        <v>-0.01</v>
      </c>
      <c r="M30" s="182">
        <f t="shared" si="2"/>
        <v>-2.0000000000000077E-2</v>
      </c>
      <c r="N30" s="182">
        <f t="shared" si="3"/>
        <v>-1.9999999999999952E-2</v>
      </c>
      <c r="P30" s="177">
        <f t="shared" si="4"/>
        <v>0.01</v>
      </c>
      <c r="Q30" s="177">
        <f t="shared" si="5"/>
        <v>2.0000000000000077E-2</v>
      </c>
      <c r="R30" s="177">
        <f t="shared" si="6"/>
        <v>1.9999999999999952E-2</v>
      </c>
      <c r="T30" s="195" t="str">
        <f t="shared" si="7"/>
        <v>SI</v>
      </c>
    </row>
    <row r="31" spans="2:20" ht="21">
      <c r="B31" s="295" t="s">
        <v>130</v>
      </c>
      <c r="C31" s="176">
        <f>Utilidad!A28</f>
        <v>750</v>
      </c>
      <c r="D31" s="177">
        <f>IF(Utilidad!C$46&gt;1,Utilidad!C28/100,Utilidad!C28)</f>
        <v>0.42310000000000003</v>
      </c>
      <c r="E31" s="177">
        <f>IF(Utilidad!$E$46&gt;1,Utilidad!E28/100,Utilidad!E28)</f>
        <v>0.37959999999999999</v>
      </c>
      <c r="G31" s="295" t="s">
        <v>130</v>
      </c>
      <c r="H31" s="176">
        <f>Utilidad!B28</f>
        <v>750</v>
      </c>
      <c r="I31" s="177">
        <f>IF(Utilidad!$D$46&gt;1,Utilidad!D28/100,Utilidad!D28)</f>
        <v>0.41463800000000001</v>
      </c>
      <c r="J31" s="177">
        <f>IF(Utilidad!$F$46&gt;1,Utilidad!F28/100,Utilidad!F28)</f>
        <v>0.37200800000000001</v>
      </c>
      <c r="L31" s="182">
        <f t="shared" si="1"/>
        <v>0</v>
      </c>
      <c r="M31" s="182">
        <f t="shared" si="2"/>
        <v>-2.0000000000000059E-2</v>
      </c>
      <c r="N31" s="182">
        <f t="shared" si="3"/>
        <v>-1.9999999999999969E-2</v>
      </c>
      <c r="P31" s="177">
        <f t="shared" si="4"/>
        <v>0</v>
      </c>
      <c r="Q31" s="177">
        <f t="shared" si="5"/>
        <v>2.0000000000000059E-2</v>
      </c>
      <c r="R31" s="177">
        <f t="shared" si="6"/>
        <v>1.9999999999999969E-2</v>
      </c>
      <c r="T31" s="195" t="str">
        <f t="shared" si="7"/>
        <v>SI</v>
      </c>
    </row>
    <row r="32" spans="2:20" ht="21">
      <c r="B32" s="295" t="s">
        <v>131</v>
      </c>
      <c r="C32" s="176">
        <f>Utilidad!A29</f>
        <v>-250</v>
      </c>
      <c r="D32" s="177">
        <f>IF(Utilidad!C$46&gt;1,Utilidad!C29/100,Utilidad!C29)</f>
        <v>0.42310000000000003</v>
      </c>
      <c r="E32" s="177">
        <f>IF(Utilidad!$E$46&gt;1,Utilidad!E29/100,Utilidad!E29)</f>
        <v>0.37959999999999999</v>
      </c>
      <c r="G32" s="295" t="s">
        <v>131</v>
      </c>
      <c r="H32" s="176">
        <f>Utilidad!B29</f>
        <v>-240</v>
      </c>
      <c r="I32" s="177">
        <f>IF(Utilidad!$D$46&gt;1,Utilidad!D29/100,Utilidad!D29)</f>
        <v>0.41463800000000001</v>
      </c>
      <c r="J32" s="177">
        <f>IF(Utilidad!$F$46&gt;1,Utilidad!F29/100,Utilidad!F29)</f>
        <v>0.37200800000000001</v>
      </c>
      <c r="L32" s="182">
        <f t="shared" si="1"/>
        <v>-0.04</v>
      </c>
      <c r="M32" s="182">
        <f t="shared" si="2"/>
        <v>-2.0000000000000059E-2</v>
      </c>
      <c r="N32" s="182">
        <f t="shared" si="3"/>
        <v>-1.9999999999999969E-2</v>
      </c>
      <c r="P32" s="177">
        <f t="shared" si="4"/>
        <v>0.04</v>
      </c>
      <c r="Q32" s="177">
        <f t="shared" si="5"/>
        <v>2.0000000000000059E-2</v>
      </c>
      <c r="R32" s="177">
        <f t="shared" si="6"/>
        <v>1.9999999999999969E-2</v>
      </c>
      <c r="T32" s="195" t="str">
        <f t="shared" si="7"/>
        <v>SI</v>
      </c>
    </row>
    <row r="33" spans="2:20" ht="21">
      <c r="B33" s="295" t="s">
        <v>132</v>
      </c>
      <c r="C33" s="176">
        <f>Utilidad!A30</f>
        <v>1000</v>
      </c>
      <c r="D33" s="177">
        <f>IF(Utilidad!C$46&gt;1,Utilidad!C30/100,Utilidad!C30)</f>
        <v>0.42310000000000003</v>
      </c>
      <c r="E33" s="177">
        <f>IF(Utilidad!$E$46&gt;1,Utilidad!E30/100,Utilidad!E30)</f>
        <v>0.37959999999999999</v>
      </c>
      <c r="G33" s="295" t="s">
        <v>132</v>
      </c>
      <c r="H33" s="176">
        <f>Utilidad!B30</f>
        <v>990</v>
      </c>
      <c r="I33" s="177">
        <f>IF(Utilidad!$D$46&gt;1,Utilidad!D30/100,Utilidad!D30)</f>
        <v>0.41463800000000001</v>
      </c>
      <c r="J33" s="177">
        <f>IF(Utilidad!$F$46&gt;1,Utilidad!F30/100,Utilidad!F30)</f>
        <v>0.37200800000000001</v>
      </c>
      <c r="L33" s="182">
        <f t="shared" si="1"/>
        <v>-0.01</v>
      </c>
      <c r="M33" s="182">
        <f t="shared" si="2"/>
        <v>-2.0000000000000059E-2</v>
      </c>
      <c r="N33" s="182">
        <f t="shared" si="3"/>
        <v>-1.9999999999999969E-2</v>
      </c>
      <c r="P33" s="177">
        <f t="shared" si="4"/>
        <v>0.01</v>
      </c>
      <c r="Q33" s="177">
        <f t="shared" si="5"/>
        <v>2.0000000000000059E-2</v>
      </c>
      <c r="R33" s="177">
        <f t="shared" si="6"/>
        <v>1.9999999999999969E-2</v>
      </c>
      <c r="T33" s="195" t="str">
        <f t="shared" si="7"/>
        <v>SI</v>
      </c>
    </row>
    <row r="34" spans="2:20" ht="21">
      <c r="B34" s="295" t="s">
        <v>133</v>
      </c>
      <c r="C34" s="176">
        <f>Utilidad!A31</f>
        <v>3933</v>
      </c>
      <c r="D34" s="177">
        <f>IF(Utilidad!C$46&gt;1,Utilidad!C31/100,Utilidad!C31)</f>
        <v>0.49590000000000001</v>
      </c>
      <c r="E34" s="177">
        <f>IF(Utilidad!$E$46&gt;1,Utilidad!E31/100,Utilidad!E31)</f>
        <v>0.45130000000000003</v>
      </c>
      <c r="G34" s="295" t="s">
        <v>133</v>
      </c>
      <c r="H34" s="176">
        <f>Utilidad!B31</f>
        <v>3933</v>
      </c>
      <c r="I34" s="177">
        <f>IF(Utilidad!$D$46&gt;1,Utilidad!D31/100,Utilidad!D31)</f>
        <v>0.49429762727999998</v>
      </c>
      <c r="J34" s="177">
        <f>IF(Utilidad!$F$46&gt;1,Utilidad!F31/100,Utilidad!F31)</f>
        <v>0.44984174072999999</v>
      </c>
      <c r="L34" s="182">
        <f t="shared" si="1"/>
        <v>0</v>
      </c>
      <c r="M34" s="182">
        <f t="shared" si="2"/>
        <v>-3.2312416212946613E-3</v>
      </c>
      <c r="N34" s="182">
        <f t="shared" si="3"/>
        <v>-3.2312414580102805E-3</v>
      </c>
      <c r="P34" s="177">
        <f t="shared" si="4"/>
        <v>0</v>
      </c>
      <c r="Q34" s="177">
        <f t="shared" si="5"/>
        <v>3.2312416212946613E-3</v>
      </c>
      <c r="R34" s="177">
        <f t="shared" si="6"/>
        <v>3.2312414580102805E-3</v>
      </c>
      <c r="T34" s="195" t="str">
        <f t="shared" si="7"/>
        <v>SI</v>
      </c>
    </row>
    <row r="35" spans="2:20" ht="21">
      <c r="B35" s="295" t="s">
        <v>134</v>
      </c>
      <c r="C35" s="176">
        <f>Utilidad!A32</f>
        <v>2933</v>
      </c>
      <c r="D35" s="177">
        <f>IF(Utilidad!C$46&gt;1,Utilidad!C32/100,Utilidad!C32)</f>
        <v>0.49590000000000001</v>
      </c>
      <c r="E35" s="177">
        <f>IF(Utilidad!$E$46&gt;1,Utilidad!E32/100,Utilidad!E32)</f>
        <v>0.45130000000000003</v>
      </c>
      <c r="G35" s="295" t="s">
        <v>134</v>
      </c>
      <c r="H35" s="176">
        <f>Utilidad!B32</f>
        <v>2943</v>
      </c>
      <c r="I35" s="177">
        <f>IF(Utilidad!$D$46&gt;1,Utilidad!D32/100,Utilidad!D32)</f>
        <v>0.49709493309999997</v>
      </c>
      <c r="J35" s="177">
        <f>IF(Utilidad!$F$46&gt;1,Utilidad!F32/100,Utilidad!F32)</f>
        <v>0.45238746392000001</v>
      </c>
      <c r="L35" s="182">
        <f t="shared" si="1"/>
        <v>3.4094783498124785E-3</v>
      </c>
      <c r="M35" s="182">
        <f t="shared" si="2"/>
        <v>2.4096251260333976E-3</v>
      </c>
      <c r="N35" s="182">
        <f t="shared" si="3"/>
        <v>2.4096253489917477E-3</v>
      </c>
      <c r="P35" s="177">
        <f t="shared" si="4"/>
        <v>3.4094783498124785E-3</v>
      </c>
      <c r="Q35" s="177">
        <f t="shared" si="5"/>
        <v>2.4096251260333976E-3</v>
      </c>
      <c r="R35" s="177">
        <f t="shared" si="6"/>
        <v>2.4096253489917477E-3</v>
      </c>
      <c r="T35" s="195" t="str">
        <f t="shared" si="7"/>
        <v>SI</v>
      </c>
    </row>
    <row r="36" spans="2:20" ht="21">
      <c r="B36" s="295" t="s">
        <v>135</v>
      </c>
      <c r="C36" s="176">
        <f>Utilidad!A33</f>
        <v>1000</v>
      </c>
      <c r="D36" s="177">
        <f>IF(Utilidad!C$46&gt;1,Utilidad!C33/100,Utilidad!C33)</f>
        <v>0.49590000000000001</v>
      </c>
      <c r="E36" s="177">
        <f>IF(Utilidad!$E$46&gt;1,Utilidad!E33/100,Utilidad!E33)</f>
        <v>0.45130000000000003</v>
      </c>
      <c r="G36" s="295" t="s">
        <v>135</v>
      </c>
      <c r="H36" s="176">
        <f>Utilidad!B33</f>
        <v>990</v>
      </c>
      <c r="I36" s="177">
        <f>IF(Utilidad!$D$46&gt;1,Utilidad!D33/100,Utilidad!D33)</f>
        <v>0.48598199999999997</v>
      </c>
      <c r="J36" s="177">
        <f>IF(Utilidad!$F$46&gt;1,Utilidad!F33/100,Utilidad!F33)</f>
        <v>0.44227400000000006</v>
      </c>
      <c r="L36" s="182">
        <f t="shared" si="1"/>
        <v>-0.01</v>
      </c>
      <c r="M36" s="182">
        <f t="shared" si="2"/>
        <v>-2.0000000000000077E-2</v>
      </c>
      <c r="N36" s="182">
        <f t="shared" si="3"/>
        <v>-1.9999999999999952E-2</v>
      </c>
      <c r="P36" s="177">
        <f t="shared" si="4"/>
        <v>0.01</v>
      </c>
      <c r="Q36" s="177">
        <f t="shared" si="5"/>
        <v>2.0000000000000077E-2</v>
      </c>
      <c r="R36" s="177">
        <f t="shared" si="6"/>
        <v>1.9999999999999952E-2</v>
      </c>
      <c r="T36" s="195" t="str">
        <f t="shared" si="7"/>
        <v>SI</v>
      </c>
    </row>
    <row r="37" spans="2:20" ht="21">
      <c r="B37" s="295" t="s">
        <v>136</v>
      </c>
      <c r="C37" s="176">
        <f>Utilidad!A34</f>
        <v>2413</v>
      </c>
      <c r="D37" s="177">
        <f>IF(Utilidad!C$46&gt;1,Utilidad!C34/100,Utilidad!C34)</f>
        <v>0.54689999999999994</v>
      </c>
      <c r="E37" s="177">
        <f>IF(Utilidad!$E$46&gt;1,Utilidad!E34/100,Utilidad!E34)</f>
        <v>0.52139999999999997</v>
      </c>
      <c r="G37" s="295" t="s">
        <v>136</v>
      </c>
      <c r="H37" s="176">
        <f>Utilidad!B34</f>
        <v>2413</v>
      </c>
      <c r="I37" s="177">
        <f>IF(Utilidad!$D$46&gt;1,Utilidad!D34/100,Utilidad!D34)</f>
        <v>0.54689999999999994</v>
      </c>
      <c r="J37" s="177">
        <f>IF(Utilidad!$F$46&gt;1,Utilidad!F34/100,Utilidad!F34)</f>
        <v>0.52139999999999997</v>
      </c>
      <c r="L37" s="182">
        <f t="shared" si="1"/>
        <v>0</v>
      </c>
      <c r="M37" s="182">
        <f t="shared" si="2"/>
        <v>0</v>
      </c>
      <c r="N37" s="182">
        <f t="shared" si="3"/>
        <v>0</v>
      </c>
      <c r="P37" s="177">
        <f t="shared" si="4"/>
        <v>0</v>
      </c>
      <c r="Q37" s="177">
        <f t="shared" si="5"/>
        <v>0</v>
      </c>
      <c r="R37" s="177">
        <f t="shared" si="6"/>
        <v>0</v>
      </c>
      <c r="T37" s="195" t="str">
        <f t="shared" si="7"/>
        <v>SI</v>
      </c>
    </row>
    <row r="38" spans="2:20" ht="21">
      <c r="B38" s="295" t="s">
        <v>137</v>
      </c>
      <c r="C38" s="176">
        <f>Utilidad!A35</f>
        <v>2413</v>
      </c>
      <c r="D38" s="177">
        <f>IF(Utilidad!C$46&gt;1,Utilidad!C35/100,Utilidad!C35)</f>
        <v>0.54689999999999994</v>
      </c>
      <c r="E38" s="177">
        <f>IF(Utilidad!$E$46&gt;1,Utilidad!E35/100,Utilidad!E35)</f>
        <v>0.52139999999999997</v>
      </c>
      <c r="G38" s="295" t="s">
        <v>137</v>
      </c>
      <c r="H38" s="176">
        <f>Utilidad!B35</f>
        <v>2413</v>
      </c>
      <c r="I38" s="177">
        <f>IF(Utilidad!$D$46&gt;1,Utilidad!D35/100,Utilidad!D35)</f>
        <v>0.54689999999999994</v>
      </c>
      <c r="J38" s="177">
        <f>IF(Utilidad!$F$46&gt;1,Utilidad!F35/100,Utilidad!F35)</f>
        <v>0.52139999999999997</v>
      </c>
      <c r="L38" s="182">
        <f t="shared" si="1"/>
        <v>0</v>
      </c>
      <c r="M38" s="182">
        <f t="shared" si="2"/>
        <v>0</v>
      </c>
      <c r="N38" s="182">
        <f t="shared" si="3"/>
        <v>0</v>
      </c>
      <c r="P38" s="177">
        <f t="shared" si="4"/>
        <v>0</v>
      </c>
      <c r="Q38" s="177">
        <f t="shared" si="5"/>
        <v>0</v>
      </c>
      <c r="R38" s="177">
        <f t="shared" si="6"/>
        <v>0</v>
      </c>
      <c r="T38" s="195" t="str">
        <f t="shared" si="7"/>
        <v>SI</v>
      </c>
    </row>
    <row r="39" spans="2:20" ht="21">
      <c r="B39" s="295" t="s">
        <v>138</v>
      </c>
      <c r="C39" s="176">
        <f>Utilidad!A36</f>
        <v>0</v>
      </c>
      <c r="D39" s="177">
        <f>IF(Utilidad!C$46&gt;1,Utilidad!C36/100,Utilidad!C36)</f>
        <v>0</v>
      </c>
      <c r="E39" s="177">
        <f>IF(Utilidad!$E$46&gt;1,Utilidad!E36/100,Utilidad!E36)</f>
        <v>0</v>
      </c>
      <c r="G39" s="295" t="s">
        <v>138</v>
      </c>
      <c r="H39" s="176">
        <f>Utilidad!B36</f>
        <v>0</v>
      </c>
      <c r="I39" s="177">
        <f>IF(Utilidad!$D$46&gt;1,Utilidad!D36/100,Utilidad!D36)</f>
        <v>0</v>
      </c>
      <c r="J39" s="177">
        <f>IF(Utilidad!$F$46&gt;1,Utilidad!F36/100,Utilidad!F36)</f>
        <v>0</v>
      </c>
      <c r="L39" s="182">
        <f t="shared" si="1"/>
        <v>0</v>
      </c>
      <c r="M39" s="182">
        <f t="shared" si="2"/>
        <v>0</v>
      </c>
      <c r="N39" s="182">
        <f t="shared" si="3"/>
        <v>0</v>
      </c>
      <c r="P39" s="177">
        <f t="shared" si="4"/>
        <v>0</v>
      </c>
      <c r="Q39" s="177">
        <f t="shared" si="5"/>
        <v>0</v>
      </c>
      <c r="R39" s="177">
        <f t="shared" si="6"/>
        <v>0</v>
      </c>
      <c r="T39" s="195" t="str">
        <f t="shared" si="7"/>
        <v>SI</v>
      </c>
    </row>
    <row r="40" spans="2:20" ht="21">
      <c r="B40" s="295" t="s">
        <v>28</v>
      </c>
      <c r="C40" s="176">
        <f>Utilidad!A37</f>
        <v>0</v>
      </c>
      <c r="D40" s="177">
        <f>IF(Utilidad!C$46&gt;1,Utilidad!C37/100,Utilidad!C37)</f>
        <v>0</v>
      </c>
      <c r="E40" s="177">
        <f>IF(Utilidad!$E$46&gt;1,Utilidad!E37/100,Utilidad!E37)</f>
        <v>0</v>
      </c>
      <c r="G40" s="295" t="s">
        <v>28</v>
      </c>
      <c r="H40" s="176">
        <f>Utilidad!B37</f>
        <v>0</v>
      </c>
      <c r="I40" s="177">
        <f>IF(Utilidad!$D$46&gt;1,Utilidad!D37/100,Utilidad!D37)</f>
        <v>0</v>
      </c>
      <c r="J40" s="177">
        <f>IF(Utilidad!$F$46&gt;1,Utilidad!F37/100,Utilidad!F37)</f>
        <v>0</v>
      </c>
      <c r="L40" s="182">
        <f t="shared" si="1"/>
        <v>0</v>
      </c>
      <c r="M40" s="182">
        <f t="shared" si="2"/>
        <v>0</v>
      </c>
      <c r="N40" s="182">
        <f t="shared" si="3"/>
        <v>0</v>
      </c>
      <c r="P40" s="177">
        <f t="shared" si="4"/>
        <v>0</v>
      </c>
      <c r="Q40" s="177">
        <f t="shared" si="5"/>
        <v>0</v>
      </c>
      <c r="R40" s="177">
        <f t="shared" si="6"/>
        <v>0</v>
      </c>
      <c r="T40" s="195" t="str">
        <f t="shared" si="7"/>
        <v>SI</v>
      </c>
    </row>
    <row r="41" spans="2:20" ht="21">
      <c r="B41" s="295" t="s">
        <v>9</v>
      </c>
      <c r="C41" s="176">
        <f>Utilidad!A38</f>
        <v>0</v>
      </c>
      <c r="D41" s="177">
        <f>IF(Utilidad!C$46&gt;1,Utilidad!C38/100,Utilidad!C38)</f>
        <v>0</v>
      </c>
      <c r="E41" s="177">
        <f>IF(Utilidad!$E$46&gt;1,Utilidad!E38/100,Utilidad!E38)</f>
        <v>0</v>
      </c>
      <c r="G41" s="295" t="s">
        <v>9</v>
      </c>
      <c r="H41" s="176">
        <f>Utilidad!B38</f>
        <v>0</v>
      </c>
      <c r="I41" s="177">
        <f>IF(Utilidad!$D$46&gt;1,Utilidad!D38/100,Utilidad!D38)</f>
        <v>0</v>
      </c>
      <c r="J41" s="177">
        <f>IF(Utilidad!$F$46&gt;1,Utilidad!F38/100,Utilidad!F38)</f>
        <v>0</v>
      </c>
      <c r="L41" s="182">
        <f t="shared" si="1"/>
        <v>0</v>
      </c>
      <c r="M41" s="182">
        <f t="shared" si="2"/>
        <v>0</v>
      </c>
      <c r="N41" s="182">
        <f t="shared" si="3"/>
        <v>0</v>
      </c>
      <c r="P41" s="177">
        <f t="shared" si="4"/>
        <v>0</v>
      </c>
      <c r="Q41" s="177">
        <f t="shared" si="5"/>
        <v>0</v>
      </c>
      <c r="R41" s="177">
        <f t="shared" si="6"/>
        <v>0</v>
      </c>
      <c r="T41" s="195" t="str">
        <f t="shared" si="7"/>
        <v>SI</v>
      </c>
    </row>
    <row r="42" spans="2:20" ht="21">
      <c r="B42" s="295" t="s">
        <v>10</v>
      </c>
      <c r="C42" s="176">
        <f>Utilidad!A39</f>
        <v>0</v>
      </c>
      <c r="D42" s="177">
        <f>IF(Utilidad!C$46&gt;1,Utilidad!C39/100,Utilidad!C39)</f>
        <v>0</v>
      </c>
      <c r="E42" s="177">
        <f>IF(Utilidad!$E$46&gt;1,Utilidad!E39/100,Utilidad!E39)</f>
        <v>0</v>
      </c>
      <c r="G42" s="295" t="s">
        <v>10</v>
      </c>
      <c r="H42" s="176">
        <f>Utilidad!B39</f>
        <v>0</v>
      </c>
      <c r="I42" s="177">
        <f>IF(Utilidad!$D$46&gt;1,Utilidad!D39/100,Utilidad!D39)</f>
        <v>0</v>
      </c>
      <c r="J42" s="177">
        <f>IF(Utilidad!$F$46&gt;1,Utilidad!F39/100,Utilidad!F39)</f>
        <v>0</v>
      </c>
      <c r="L42" s="182">
        <f t="shared" si="1"/>
        <v>0</v>
      </c>
      <c r="M42" s="182">
        <f t="shared" si="2"/>
        <v>0</v>
      </c>
      <c r="N42" s="182">
        <f t="shared" si="3"/>
        <v>0</v>
      </c>
      <c r="P42" s="177">
        <f t="shared" si="4"/>
        <v>0</v>
      </c>
      <c r="Q42" s="177">
        <f t="shared" si="5"/>
        <v>0</v>
      </c>
      <c r="R42" s="177">
        <f t="shared" si="6"/>
        <v>0</v>
      </c>
      <c r="T42" s="195" t="str">
        <f t="shared" si="7"/>
        <v>SI</v>
      </c>
    </row>
    <row r="43" spans="2:20" ht="21">
      <c r="B43" s="295" t="s">
        <v>11</v>
      </c>
      <c r="C43" s="176">
        <f>Utilidad!A40</f>
        <v>1834605</v>
      </c>
      <c r="D43" s="177">
        <f>IF(Utilidad!C$46&gt;1,Utilidad!C40/100,Utilidad!C40)</f>
        <v>0.15970000000000001</v>
      </c>
      <c r="E43" s="177">
        <f>IF(Utilidad!$E$46&gt;1,Utilidad!E40/100,Utilidad!E40)</f>
        <v>0.11869999999999999</v>
      </c>
      <c r="G43" s="295" t="s">
        <v>11</v>
      </c>
      <c r="H43" s="176">
        <f>Utilidad!B40</f>
        <v>1834605</v>
      </c>
      <c r="I43" s="177">
        <f>IF(Utilidad!$D$46&gt;1,Utilidad!D40/100,Utilidad!D40)</f>
        <v>0.16027230537000001</v>
      </c>
      <c r="J43" s="177">
        <f>IF(Utilidad!$F$46&gt;1,Utilidad!F40/100,Utilidad!F40)</f>
        <v>0.11513899999999999</v>
      </c>
      <c r="L43" s="182">
        <f t="shared" si="1"/>
        <v>0</v>
      </c>
      <c r="M43" s="182">
        <f t="shared" si="2"/>
        <v>3.5836278647463872E-3</v>
      </c>
      <c r="N43" s="182">
        <f t="shared" si="3"/>
        <v>-2.9999999999999961E-2</v>
      </c>
      <c r="P43" s="177">
        <f t="shared" si="4"/>
        <v>0</v>
      </c>
      <c r="Q43" s="177">
        <f t="shared" si="5"/>
        <v>3.5836278647463872E-3</v>
      </c>
      <c r="R43" s="177">
        <f t="shared" si="6"/>
        <v>2.9999999999999961E-2</v>
      </c>
      <c r="T43" s="195" t="str">
        <f t="shared" si="7"/>
        <v>SI</v>
      </c>
    </row>
    <row r="44" spans="2:20" ht="21">
      <c r="B44" s="295" t="s">
        <v>12</v>
      </c>
      <c r="C44" s="176">
        <f>Utilidad!A41</f>
        <v>1061403.5231729627</v>
      </c>
      <c r="D44" s="177">
        <f>IF(Utilidad!C$46&gt;1,Utilidad!C41/100,Utilidad!C41)</f>
        <v>5.2832999999999998E-2</v>
      </c>
      <c r="E44" s="177">
        <f>IF(Utilidad!$E$46&gt;1,Utilidad!E41/100,Utilidad!E41)</f>
        <v>3.333E-3</v>
      </c>
      <c r="G44" s="295" t="s">
        <v>12</v>
      </c>
      <c r="H44" s="176">
        <f>Utilidad!B41</f>
        <v>1072808.2402999999</v>
      </c>
      <c r="I44" s="177">
        <f>IF(Utilidad!$D$46&gt;1,Utilidad!D41/100,Utilidad!D41)</f>
        <v>5.8116300000000003E-2</v>
      </c>
      <c r="J44" s="177">
        <f>IF(Utilidad!$F$46&gt;1,Utilidad!F41/100,Utilidad!F41)</f>
        <v>2.9997000000000001E-3</v>
      </c>
      <c r="L44" s="182">
        <f t="shared" si="1"/>
        <v>1.0744939957372612E-2</v>
      </c>
      <c r="M44" s="182">
        <f t="shared" si="2"/>
        <v>0.10000000000000009</v>
      </c>
      <c r="N44" s="182">
        <f t="shared" si="3"/>
        <v>-9.9999999999999978E-2</v>
      </c>
      <c r="P44" s="177">
        <f t="shared" si="4"/>
        <v>1.0744939957372612E-2</v>
      </c>
      <c r="Q44" s="177">
        <f t="shared" si="5"/>
        <v>0.10000000000000009</v>
      </c>
      <c r="R44" s="177">
        <f t="shared" si="6"/>
        <v>9.9999999999999978E-2</v>
      </c>
      <c r="T44" s="195" t="str">
        <f t="shared" si="7"/>
        <v>SI</v>
      </c>
    </row>
    <row r="45" spans="2:20" ht="21">
      <c r="B45" s="295" t="s">
        <v>13</v>
      </c>
      <c r="C45" s="176">
        <f>Utilidad!A42</f>
        <v>773201.47682703729</v>
      </c>
      <c r="D45" s="177">
        <f>IF(Utilidad!C$46&gt;1,Utilidad!C42/100,Utilidad!C42)</f>
        <v>0.30640000000000001</v>
      </c>
      <c r="E45" s="177">
        <f>IF(Utilidad!$E$46&gt;1,Utilidad!E42/100,Utilidad!E42)</f>
        <v>0.27863299999999996</v>
      </c>
      <c r="G45" s="295" t="s">
        <v>13</v>
      </c>
      <c r="H45" s="176">
        <f>Utilidad!B42</f>
        <v>761796.75971000001</v>
      </c>
      <c r="I45" s="177">
        <f>IF(Utilidad!$D$46&gt;1,Utilidad!D42/100,Utilidad!D42)</f>
        <v>0.30413456646999998</v>
      </c>
      <c r="J45" s="177">
        <f>IF(Utilidad!$F$46&gt;1,Utilidad!F42/100,Utilidad!F42)</f>
        <v>0.27306034000000001</v>
      </c>
      <c r="L45" s="182">
        <f t="shared" si="1"/>
        <v>-1.4749993965141473E-2</v>
      </c>
      <c r="M45" s="182">
        <f t="shared" si="2"/>
        <v>-7.3937125652742399E-3</v>
      </c>
      <c r="N45" s="182">
        <f t="shared" si="3"/>
        <v>-1.9999999999999827E-2</v>
      </c>
      <c r="P45" s="177">
        <f t="shared" si="4"/>
        <v>1.4749993965141473E-2</v>
      </c>
      <c r="Q45" s="177">
        <f t="shared" si="5"/>
        <v>7.3937125652742399E-3</v>
      </c>
      <c r="R45" s="177">
        <f t="shared" si="6"/>
        <v>1.9999999999999827E-2</v>
      </c>
      <c r="T45" s="195" t="str">
        <f t="shared" si="7"/>
        <v>SI</v>
      </c>
    </row>
    <row r="46" spans="2:20" ht="21">
      <c r="B46" s="295" t="s">
        <v>26</v>
      </c>
      <c r="C46" s="176">
        <f>Utilidad!A43</f>
        <v>211423.4722726765</v>
      </c>
      <c r="D46" s="177">
        <f>IF(Utilidad!C$46&gt;1,Utilidad!C43/100,Utilidad!C43)</f>
        <v>5.8282999999999995E-2</v>
      </c>
      <c r="E46" s="177">
        <f>IF(Utilidad!$E$46&gt;1,Utilidad!E43/100,Utilidad!E43)</f>
        <v>2.8499999999999997E-3</v>
      </c>
      <c r="G46" s="295" t="s">
        <v>26</v>
      </c>
      <c r="H46" s="176">
        <f>Utilidad!B43</f>
        <v>203770.97003</v>
      </c>
      <c r="I46" s="177">
        <f>IF(Utilidad!$D$46&gt;1,Utilidad!D43/100,Utilidad!D43)</f>
        <v>6.4111299999999996E-2</v>
      </c>
      <c r="J46" s="177">
        <f>IF(Utilidad!$F$46&gt;1,Utilidad!F43/100,Utilidad!F43)</f>
        <v>2.565E-3</v>
      </c>
      <c r="L46" s="182">
        <f t="shared" si="1"/>
        <v>-3.6195140304984406E-2</v>
      </c>
      <c r="M46" s="182">
        <f t="shared" si="2"/>
        <v>0.10000000000000003</v>
      </c>
      <c r="N46" s="182">
        <f t="shared" si="3"/>
        <v>-9.9999999999999895E-2</v>
      </c>
      <c r="P46" s="177">
        <f t="shared" si="4"/>
        <v>3.6195140304984406E-2</v>
      </c>
      <c r="Q46" s="177">
        <f t="shared" si="5"/>
        <v>0.10000000000000003</v>
      </c>
      <c r="R46" s="177">
        <f t="shared" si="6"/>
        <v>9.9999999999999895E-2</v>
      </c>
      <c r="T46" s="195" t="str">
        <f t="shared" si="7"/>
        <v>SI</v>
      </c>
    </row>
    <row r="47" spans="2:20" ht="21">
      <c r="B47" s="295" t="s">
        <v>27</v>
      </c>
      <c r="C47" s="176">
        <f>Utilidad!A44</f>
        <v>561778.00455436076</v>
      </c>
      <c r="D47" s="177">
        <f>IF(Utilidad!C$46&gt;1,Utilidad!C44/100,Utilidad!C44)</f>
        <v>0.39977800000000002</v>
      </c>
      <c r="E47" s="177">
        <f>IF(Utilidad!$E$46&gt;1,Utilidad!E44/100,Utilidad!E44)</f>
        <v>0.37942399999999998</v>
      </c>
      <c r="G47" s="295" t="s">
        <v>27</v>
      </c>
      <c r="H47" s="176">
        <f>Utilidad!B44</f>
        <v>558025.78968000005</v>
      </c>
      <c r="I47" s="177">
        <f>IF(Utilidad!$D$46&gt;1,Utilidad!D44/100,Utilidad!D44)</f>
        <v>0.39178244000000001</v>
      </c>
      <c r="J47" s="177">
        <f>IF(Utilidad!$F$46&gt;1,Utilidad!F44/100,Utilidad!F44)</f>
        <v>0.37183551999999997</v>
      </c>
      <c r="L47" s="182">
        <f t="shared" si="1"/>
        <v>-6.6791772620880983E-3</v>
      </c>
      <c r="M47" s="182">
        <f t="shared" si="2"/>
        <v>-2.0000000000000032E-2</v>
      </c>
      <c r="N47" s="182">
        <f t="shared" si="3"/>
        <v>-2.0000000000000025E-2</v>
      </c>
      <c r="P47" s="177">
        <f t="shared" si="4"/>
        <v>6.6791772620880983E-3</v>
      </c>
      <c r="Q47" s="177">
        <f t="shared" si="5"/>
        <v>2.0000000000000032E-2</v>
      </c>
      <c r="R47" s="177">
        <f t="shared" si="6"/>
        <v>2.0000000000000025E-2</v>
      </c>
      <c r="T47" s="195" t="str">
        <f t="shared" si="7"/>
        <v>SI</v>
      </c>
    </row>
    <row r="48" spans="2:20" ht="21">
      <c r="B48" s="295" t="s">
        <v>38</v>
      </c>
      <c r="C48" s="176">
        <f>Utilidad!A45</f>
        <v>0</v>
      </c>
      <c r="D48" s="177">
        <f>IF(Utilidad!C$46&gt;1,Utilidad!C45/100,Utilidad!C45)</f>
        <v>0</v>
      </c>
      <c r="E48" s="177">
        <f>IF(Utilidad!$E$46&gt;1,Utilidad!E45/100,Utilidad!E45)</f>
        <v>0</v>
      </c>
      <c r="G48" s="295" t="s">
        <v>38</v>
      </c>
      <c r="H48" s="176">
        <f>Utilidad!B45</f>
        <v>0</v>
      </c>
      <c r="I48" s="177">
        <f>IF(Utilidad!$D$46&gt;1,Utilidad!D45/100,Utilidad!D45)</f>
        <v>0</v>
      </c>
      <c r="J48" s="177">
        <f>IF(Utilidad!$F$46&gt;1,Utilidad!F45/100,Utilidad!F45)</f>
        <v>0</v>
      </c>
      <c r="L48" s="182">
        <f t="shared" si="1"/>
        <v>0</v>
      </c>
      <c r="M48" s="182">
        <f t="shared" si="2"/>
        <v>0</v>
      </c>
      <c r="N48" s="182">
        <f t="shared" si="3"/>
        <v>0</v>
      </c>
      <c r="P48" s="177">
        <f t="shared" si="4"/>
        <v>0</v>
      </c>
      <c r="Q48" s="177">
        <f t="shared" si="5"/>
        <v>0</v>
      </c>
      <c r="R48" s="177">
        <f t="shared" si="6"/>
        <v>0</v>
      </c>
      <c r="T48" s="195" t="str">
        <f t="shared" si="7"/>
        <v>SI</v>
      </c>
    </row>
    <row r="49" spans="2:20" ht="21">
      <c r="B49" s="295" t="s">
        <v>14</v>
      </c>
      <c r="C49" s="176">
        <f>Utilidad!A46</f>
        <v>18407</v>
      </c>
      <c r="D49" s="177">
        <f>IF(Utilidad!C$46&gt;1,Utilidad!C46/100,Utilidad!C46)</f>
        <v>0.47082999999999997</v>
      </c>
      <c r="E49" s="177">
        <f>IF(Utilidad!$E$46&gt;1,Utilidad!E46/100,Utilidad!E46)</f>
        <v>0.45084400000000002</v>
      </c>
      <c r="G49" s="295" t="s">
        <v>14</v>
      </c>
      <c r="H49" s="176">
        <f>Utilidad!B46</f>
        <v>21192.93</v>
      </c>
      <c r="I49" s="177">
        <f>IF(Utilidad!$D$46&gt;1,Utilidad!D46/100,Utilidad!D46)</f>
        <v>0.46152391564</v>
      </c>
      <c r="J49" s="177">
        <f>IF(Utilidad!$F$46&gt;1,Utilidad!F46/100,Utilidad!F46)</f>
        <v>0.43860703658</v>
      </c>
      <c r="L49" s="182">
        <f t="shared" si="1"/>
        <v>0.1513516596946814</v>
      </c>
      <c r="M49" s="182">
        <f t="shared" si="2"/>
        <v>-1.976527485504315E-2</v>
      </c>
      <c r="N49" s="182">
        <f t="shared" si="3"/>
        <v>-2.7142345068360729E-2</v>
      </c>
      <c r="P49" s="177">
        <f t="shared" si="4"/>
        <v>0.1513516596946814</v>
      </c>
      <c r="Q49" s="177">
        <f t="shared" si="5"/>
        <v>1.976527485504315E-2</v>
      </c>
      <c r="R49" s="177">
        <f t="shared" si="6"/>
        <v>2.7142345068360729E-2</v>
      </c>
      <c r="T49" s="195" t="str">
        <f t="shared" si="7"/>
        <v>SI</v>
      </c>
    </row>
    <row r="50" spans="2:20" ht="21">
      <c r="B50" s="295" t="s">
        <v>39</v>
      </c>
      <c r="C50" s="176">
        <f>Utilidad!A47</f>
        <v>565914.00455436076</v>
      </c>
      <c r="D50" s="177">
        <f>IF(Utilidad!C$46&gt;1,Utilidad!C47/100,Utilidad!C47)</f>
        <v>0.36314999999999997</v>
      </c>
      <c r="E50" s="177">
        <f>IF(Utilidad!$E$46&gt;1,Utilidad!E47/100,Utilidad!E47)</f>
        <v>0.34268300000000002</v>
      </c>
      <c r="G50" s="295" t="s">
        <v>39</v>
      </c>
      <c r="H50" s="176">
        <f>Utilidad!B47</f>
        <v>554962.39968000003</v>
      </c>
      <c r="I50" s="177">
        <f>IF(Utilidad!$D$46&gt;1,Utilidad!D47/100,Utilidad!D47)</f>
        <v>0.39507435901999999</v>
      </c>
      <c r="J50" s="177">
        <f>IF(Utilidad!$F$46&gt;1,Utilidad!F47/100,Utilidad!F47)</f>
        <v>0.37492236981999999</v>
      </c>
      <c r="L50" s="182">
        <f t="shared" si="1"/>
        <v>-1.9352065483844608E-2</v>
      </c>
      <c r="M50" s="182">
        <f t="shared" si="2"/>
        <v>8.7909566349993168E-2</v>
      </c>
      <c r="N50" s="182">
        <f t="shared" si="3"/>
        <v>9.4079279742502464E-2</v>
      </c>
      <c r="P50" s="177">
        <f t="shared" si="4"/>
        <v>1.9352065483844608E-2</v>
      </c>
      <c r="Q50" s="177">
        <f t="shared" si="5"/>
        <v>8.7909566349993168E-2</v>
      </c>
      <c r="R50" s="177">
        <f t="shared" si="6"/>
        <v>9.4079279742502464E-2</v>
      </c>
      <c r="T50" s="195" t="str">
        <f t="shared" si="7"/>
        <v>SI</v>
      </c>
    </row>
    <row r="51" spans="2:20" ht="21">
      <c r="B51" s="295" t="s">
        <v>15</v>
      </c>
      <c r="C51" s="176">
        <f>Utilidad!A48</f>
        <v>139295.21216821871</v>
      </c>
      <c r="D51" s="177">
        <f>IF(Utilidad!C$46&gt;1,Utilidad!C48/100,Utilidad!C48)</f>
        <v>5.2949999999999997E-2</v>
      </c>
      <c r="E51" s="177">
        <f>IF(Utilidad!$E$46&gt;1,Utilidad!E48/100,Utilidad!E48)</f>
        <v>6.0000000000000001E-3</v>
      </c>
      <c r="G51" s="295" t="s">
        <v>15</v>
      </c>
      <c r="H51" s="176">
        <f>Utilidad!B48</f>
        <v>85400.163704000006</v>
      </c>
      <c r="I51" s="177">
        <f>IF(Utilidad!$D$46&gt;1,Utilidad!D48/100,Utilidad!D48)</f>
        <v>4.6595999999999999E-2</v>
      </c>
      <c r="J51" s="177">
        <f>IF(Utilidad!$F$46&gt;1,Utilidad!F48/100,Utilidad!F48)</f>
        <v>6.7200000000000003E-3</v>
      </c>
      <c r="L51" s="182">
        <f t="shared" si="1"/>
        <v>-0.38691242595713049</v>
      </c>
      <c r="M51" s="182">
        <f t="shared" si="2"/>
        <v>-0.11999999999999998</v>
      </c>
      <c r="N51" s="182">
        <f t="shared" si="3"/>
        <v>0.12000000000000002</v>
      </c>
      <c r="P51" s="177">
        <f t="shared" si="4"/>
        <v>0.38691242595713049</v>
      </c>
      <c r="Q51" s="177">
        <f t="shared" si="5"/>
        <v>0.11999999999999998</v>
      </c>
      <c r="R51" s="177">
        <f t="shared" si="6"/>
        <v>0.12000000000000002</v>
      </c>
      <c r="T51" s="195" t="str">
        <f t="shared" si="7"/>
        <v>SI</v>
      </c>
    </row>
    <row r="52" spans="2:20" ht="21">
      <c r="B52" s="295" t="s">
        <v>16</v>
      </c>
      <c r="C52" s="176">
        <f>Utilidad!A49</f>
        <v>426618.79238614207</v>
      </c>
      <c r="D52" s="177">
        <f>IF(Utilidad!C$46&gt;1,Utilidad!C49/100,Utilidad!C49)</f>
        <v>0.46443299999999998</v>
      </c>
      <c r="E52" s="177">
        <f>IF(Utilidad!$E$46&gt;1,Utilidad!E49/100,Utilidad!E49)</f>
        <v>0.44986700000000002</v>
      </c>
      <c r="G52" s="295" t="s">
        <v>16</v>
      </c>
      <c r="H52" s="176">
        <f>Utilidad!B49</f>
        <v>475442.55596999999</v>
      </c>
      <c r="I52" s="177">
        <f>IF(Utilidad!$D$46&gt;1,Utilidad!D49/100,Utilidad!D49)</f>
        <v>0.45781639824000003</v>
      </c>
      <c r="J52" s="177">
        <f>IF(Utilidad!$F$46&gt;1,Utilidad!F49/100,Utilidad!F49)</f>
        <v>0.44086965999999994</v>
      </c>
      <c r="L52" s="182">
        <f t="shared" si="1"/>
        <v>0.1144435370762253</v>
      </c>
      <c r="M52" s="182">
        <f t="shared" si="2"/>
        <v>-1.4246622785202499E-2</v>
      </c>
      <c r="N52" s="182">
        <f t="shared" si="3"/>
        <v>-2.0000000000000167E-2</v>
      </c>
      <c r="P52" s="177">
        <f t="shared" si="4"/>
        <v>0.1144435370762253</v>
      </c>
      <c r="Q52" s="177">
        <f t="shared" si="5"/>
        <v>1.4246622785202499E-2</v>
      </c>
      <c r="R52" s="177">
        <f t="shared" si="6"/>
        <v>2.0000000000000167E-2</v>
      </c>
      <c r="T52" s="195" t="str">
        <f t="shared" si="7"/>
        <v>SI</v>
      </c>
    </row>
    <row r="53" spans="2:20" ht="21">
      <c r="B53" s="295" t="s">
        <v>17</v>
      </c>
      <c r="C53" s="176">
        <f>Utilidad!A50</f>
        <v>104563.4262430596</v>
      </c>
      <c r="D53" s="177">
        <f>IF(Utilidad!C$46&gt;1,Utilidad!C50/100,Utilidad!C50)</f>
        <v>9.6117000000000008E-2</v>
      </c>
      <c r="E53" s="177">
        <f>IF(Utilidad!$E$46&gt;1,Utilidad!E50/100,Utilidad!E50)</f>
        <v>5.9017E-2</v>
      </c>
      <c r="G53" s="295" t="s">
        <v>17</v>
      </c>
      <c r="H53" s="176">
        <f>Utilidad!B50</f>
        <v>117510.73964</v>
      </c>
      <c r="I53" s="177">
        <f>IF(Utilidad!$D$46&gt;1,Utilidad!D50/100,Utilidad!D50)</f>
        <v>8.9365182362000001E-2</v>
      </c>
      <c r="J53" s="177">
        <f>IF(Utilidad!$F$46&gt;1,Utilidad!F50/100,Utilidad!F50)</f>
        <v>6.6099039999999998E-2</v>
      </c>
      <c r="L53" s="182">
        <f t="shared" ref="L53:L65" si="8">+IF(C53&lt;&gt;0,(H53-C53)/C53,ABS(H53-C53))</f>
        <v>0.12382258177772536</v>
      </c>
      <c r="M53" s="182">
        <f t="shared" ref="M53:M65" si="9">+IF(D53&lt;&gt;0,(I53-D53)/D53,0)</f>
        <v>-7.0245821634050243E-2</v>
      </c>
      <c r="N53" s="182">
        <f t="shared" ref="N53:N65" si="10">+IF(E53&lt;&gt;0,(J53-E53)/E53,0)</f>
        <v>0.11999999999999997</v>
      </c>
      <c r="P53" s="177">
        <f t="shared" ref="P53:P65" si="11">+IF(L53&lt;&gt;"",ABS(L53),0)</f>
        <v>0.12382258177772536</v>
      </c>
      <c r="Q53" s="177">
        <f t="shared" ref="Q53:Q65" si="12">+IF(L53&lt;&gt;"",ABS(M53),0)</f>
        <v>7.0245821634050243E-2</v>
      </c>
      <c r="R53" s="177">
        <f t="shared" ref="R53:R65" si="13">+IF(M53&lt;&gt;"",ABS(N53),0)</f>
        <v>0.11999999999999997</v>
      </c>
      <c r="T53" s="195" t="str">
        <f t="shared" ref="T53:T65" si="14">IF(J53&lt;=I53,"SI","NO")</f>
        <v>SI</v>
      </c>
    </row>
    <row r="54" spans="2:20" ht="21">
      <c r="B54" s="295" t="s">
        <v>18</v>
      </c>
      <c r="C54" s="176">
        <f>Utilidad!A51</f>
        <v>322055.36614308238</v>
      </c>
      <c r="D54" s="177">
        <f>IF(Utilidad!C$46&gt;1,Utilidad!C51/100,Utilidad!C51)</f>
        <v>0.58401700000000001</v>
      </c>
      <c r="E54" s="177">
        <f>IF(Utilidad!$E$46&gt;1,Utilidad!E51/100,Utilidad!E51)</f>
        <v>0.57541699999999996</v>
      </c>
      <c r="G54" s="295" t="s">
        <v>18</v>
      </c>
      <c r="H54" s="176">
        <f>Utilidad!B51</f>
        <v>357931.81634000002</v>
      </c>
      <c r="I54" s="177">
        <f>IF(Utilidad!$D$46&gt;1,Utilidad!D51/100,Utilidad!D51)</f>
        <v>0.57878070741999998</v>
      </c>
      <c r="J54" s="177">
        <f>IF(Utilidad!$F$46&gt;1,Utilidad!F51/100,Utilidad!F51)</f>
        <v>0.56390866000000006</v>
      </c>
      <c r="L54" s="182">
        <f t="shared" si="8"/>
        <v>0.11139839284956515</v>
      </c>
      <c r="M54" s="182">
        <f t="shared" si="9"/>
        <v>-8.9659934214244164E-3</v>
      </c>
      <c r="N54" s="182">
        <f t="shared" si="10"/>
        <v>-1.999999999999982E-2</v>
      </c>
      <c r="O54" s="179"/>
      <c r="P54" s="177">
        <f t="shared" si="11"/>
        <v>0.11139839284956515</v>
      </c>
      <c r="Q54" s="177">
        <f t="shared" si="12"/>
        <v>8.9659934214244164E-3</v>
      </c>
      <c r="R54" s="177">
        <f t="shared" si="13"/>
        <v>1.999999999999982E-2</v>
      </c>
      <c r="T54" s="195" t="str">
        <f t="shared" si="14"/>
        <v>SI</v>
      </c>
    </row>
    <row r="55" spans="2:20" ht="21">
      <c r="B55" s="295" t="s">
        <v>56</v>
      </c>
      <c r="C55" s="176">
        <f>Utilidad!A52</f>
        <v>0</v>
      </c>
      <c r="D55" s="177">
        <f>IF(Utilidad!C$46&gt;1,Utilidad!C52/100,Utilidad!C52)</f>
        <v>0</v>
      </c>
      <c r="E55" s="177">
        <f>IF(Utilidad!$E$46&gt;1,Utilidad!E52/100,Utilidad!E52)</f>
        <v>0</v>
      </c>
      <c r="G55" s="295" t="s">
        <v>56</v>
      </c>
      <c r="H55" s="176">
        <f>Utilidad!B52</f>
        <v>0</v>
      </c>
      <c r="I55" s="177">
        <f>IF(Utilidad!$D$46&gt;1,Utilidad!D52/100,Utilidad!D52)</f>
        <v>0</v>
      </c>
      <c r="J55" s="177">
        <f>IF(Utilidad!$F$46&gt;1,Utilidad!F52/100,Utilidad!F52)</f>
        <v>0</v>
      </c>
      <c r="L55" s="182">
        <f t="shared" si="8"/>
        <v>0</v>
      </c>
      <c r="M55" s="182">
        <f t="shared" si="9"/>
        <v>0</v>
      </c>
      <c r="N55" s="182">
        <f t="shared" si="10"/>
        <v>0</v>
      </c>
      <c r="O55" s="3"/>
      <c r="P55" s="177">
        <f t="shared" si="11"/>
        <v>0</v>
      </c>
      <c r="Q55" s="177">
        <f t="shared" si="12"/>
        <v>0</v>
      </c>
      <c r="R55" s="177">
        <f t="shared" si="13"/>
        <v>0</v>
      </c>
      <c r="T55" s="195" t="str">
        <f t="shared" si="14"/>
        <v>SI</v>
      </c>
    </row>
    <row r="56" spans="2:20" ht="21">
      <c r="B56" s="295" t="s">
        <v>57</v>
      </c>
      <c r="C56" s="176">
        <f>Utilidad!A53</f>
        <v>322055.36614308238</v>
      </c>
      <c r="D56" s="177">
        <f>IF(Utilidad!C$46&gt;1,Utilidad!C53/100,Utilidad!C53)</f>
        <v>0.58401700000000001</v>
      </c>
      <c r="E56" s="177">
        <f>IF(Utilidad!$E$46&gt;1,Utilidad!E53/100,Utilidad!E53)</f>
        <v>0.57541699999999996</v>
      </c>
      <c r="G56" s="295" t="s">
        <v>57</v>
      </c>
      <c r="H56" s="176">
        <f>Utilidad!B53</f>
        <v>357931.81634000002</v>
      </c>
      <c r="I56" s="177">
        <f>IF(Utilidad!$D$46&gt;1,Utilidad!D53/100,Utilidad!D53)</f>
        <v>0.57878070741999998</v>
      </c>
      <c r="J56" s="177">
        <f>IF(Utilidad!$F$46&gt;1,Utilidad!F53/100,Utilidad!F53)</f>
        <v>0.56390866000000006</v>
      </c>
      <c r="L56" s="182">
        <f t="shared" si="8"/>
        <v>0.11139839284956515</v>
      </c>
      <c r="M56" s="182">
        <f t="shared" si="9"/>
        <v>-8.9659934214244164E-3</v>
      </c>
      <c r="N56" s="182">
        <f t="shared" si="10"/>
        <v>-1.999999999999982E-2</v>
      </c>
      <c r="O56" s="178"/>
      <c r="P56" s="177">
        <f t="shared" si="11"/>
        <v>0.11139839284956515</v>
      </c>
      <c r="Q56" s="177">
        <f t="shared" si="12"/>
        <v>8.9659934214244164E-3</v>
      </c>
      <c r="R56" s="177">
        <f t="shared" si="13"/>
        <v>1.999999999999982E-2</v>
      </c>
      <c r="T56" s="195" t="str">
        <f t="shared" si="14"/>
        <v>SI</v>
      </c>
    </row>
    <row r="57" spans="2:20" ht="21">
      <c r="B57" s="295" t="s">
        <v>58</v>
      </c>
      <c r="C57" s="176">
        <f>Utilidad!A54</f>
        <v>110227.2116941225</v>
      </c>
      <c r="D57" s="177">
        <f>IF(Utilidad!C$46&gt;1,Utilidad!C54/100,Utilidad!C54)</f>
        <v>0.46076700000000004</v>
      </c>
      <c r="E57" s="177">
        <f>IF(Utilidad!$E$46&gt;1,Utilidad!E54/100,Utilidad!E54)</f>
        <v>0.44455</v>
      </c>
      <c r="G57" s="295" t="s">
        <v>58</v>
      </c>
      <c r="H57" s="176">
        <f>Utilidad!B54</f>
        <v>188804.81633999999</v>
      </c>
      <c r="I57" s="177">
        <f>IF(Utilidad!$D$46&gt;1,Utilidad!D54/100,Utilidad!D54)</f>
        <v>0.51605904000000002</v>
      </c>
      <c r="J57" s="177">
        <f>IF(Utilidad!$F$46&gt;1,Utilidad!F54/100,Utilidad!F54)</f>
        <v>0.49476243791999996</v>
      </c>
      <c r="L57" s="182">
        <f t="shared" si="8"/>
        <v>0.71286938531955435</v>
      </c>
      <c r="M57" s="182">
        <f t="shared" si="9"/>
        <v>0.11999999999999997</v>
      </c>
      <c r="N57" s="182">
        <f t="shared" si="10"/>
        <v>0.11295115941963775</v>
      </c>
      <c r="P57" s="177">
        <f t="shared" si="11"/>
        <v>0.71286938531955435</v>
      </c>
      <c r="Q57" s="177">
        <f t="shared" si="12"/>
        <v>0.11999999999999997</v>
      </c>
      <c r="R57" s="177">
        <f t="shared" si="13"/>
        <v>0.11295115941963775</v>
      </c>
      <c r="T57" s="195" t="str">
        <f t="shared" si="14"/>
        <v>SI</v>
      </c>
    </row>
    <row r="58" spans="2:20" ht="21">
      <c r="B58" s="295" t="s">
        <v>59</v>
      </c>
      <c r="C58" s="176">
        <f>Utilidad!A55</f>
        <v>211828.15444896001</v>
      </c>
      <c r="D58" s="177">
        <f>IF(Utilidad!C$46&gt;1,Utilidad!C55/100,Utilidad!C55)</f>
        <v>0.64815100000000003</v>
      </c>
      <c r="E58" s="177">
        <f>IF(Utilidad!$E$46&gt;1,Utilidad!E55/100,Utilidad!E55)</f>
        <v>0.640459</v>
      </c>
      <c r="G58" s="295" t="s">
        <v>59</v>
      </c>
      <c r="H58" s="176">
        <f>Utilidad!B55</f>
        <v>170313.66046000001</v>
      </c>
      <c r="I58" s="177">
        <f>IF(Utilidad!$D$46&gt;1,Utilidad!D55/100,Utilidad!D55)</f>
        <v>0.64744696724999995</v>
      </c>
      <c r="J58" s="177">
        <f>IF(Utilidad!$F$46&gt;1,Utilidad!F55/100,Utilidad!F55)</f>
        <v>0.63973870123999999</v>
      </c>
      <c r="L58" s="182">
        <f t="shared" si="8"/>
        <v>-0.19598194629488172</v>
      </c>
      <c r="M58" s="182">
        <f t="shared" si="9"/>
        <v>-1.0862171777874031E-3</v>
      </c>
      <c r="N58" s="182">
        <f t="shared" si="10"/>
        <v>-1.1246602202483148E-3</v>
      </c>
      <c r="P58" s="177">
        <f t="shared" si="11"/>
        <v>0.19598194629488172</v>
      </c>
      <c r="Q58" s="177">
        <f t="shared" si="12"/>
        <v>1.0862171777874031E-3</v>
      </c>
      <c r="R58" s="177">
        <f t="shared" si="13"/>
        <v>1.1246602202483148E-3</v>
      </c>
      <c r="T58" s="195" t="str">
        <f t="shared" si="14"/>
        <v>SI</v>
      </c>
    </row>
    <row r="59" spans="2:20" ht="21">
      <c r="B59" s="295" t="s">
        <v>19</v>
      </c>
      <c r="C59" s="176">
        <f>Utilidad!A56</f>
        <v>595.16665027320005</v>
      </c>
      <c r="D59" s="177">
        <f>IF(Utilidad!C$46&gt;1,Utilidad!C56/100,Utilidad!C56)</f>
        <v>0.46378300000000006</v>
      </c>
      <c r="E59" s="177">
        <f>IF(Utilidad!$E$46&gt;1,Utilidad!E56/100,Utilidad!E56)</f>
        <v>0.44569999999999999</v>
      </c>
      <c r="G59" s="295" t="s">
        <v>19</v>
      </c>
      <c r="H59" s="176">
        <f>Utilidad!B56</f>
        <v>1186.6604602</v>
      </c>
      <c r="I59" s="177">
        <f>IF(Utilidad!$D$46&gt;1,Utilidad!D56/100,Utilidad!D56)</f>
        <v>0.45460800603000001</v>
      </c>
      <c r="J59" s="177">
        <f>IF(Utilidad!$F$46&gt;1,Utilidad!F56/100,Utilidad!F56)</f>
        <v>0.44572163932999997</v>
      </c>
      <c r="L59" s="182">
        <f t="shared" si="8"/>
        <v>0.99382888751459086</v>
      </c>
      <c r="M59" s="182">
        <f t="shared" si="9"/>
        <v>-1.9782945838894578E-2</v>
      </c>
      <c r="N59" s="182">
        <f t="shared" si="10"/>
        <v>4.8551334978661701E-5</v>
      </c>
      <c r="O59" s="205"/>
      <c r="P59" s="177">
        <f t="shared" si="11"/>
        <v>0.99382888751459086</v>
      </c>
      <c r="Q59" s="177">
        <f t="shared" si="12"/>
        <v>1.9782945838894578E-2</v>
      </c>
      <c r="R59" s="177">
        <f t="shared" si="13"/>
        <v>4.8551334978661701E-5</v>
      </c>
      <c r="T59" s="195" t="str">
        <f t="shared" si="14"/>
        <v>SI</v>
      </c>
    </row>
    <row r="60" spans="2:20" ht="21">
      <c r="B60" s="295" t="s">
        <v>25</v>
      </c>
      <c r="C60" s="176">
        <f>Utilidad!A57</f>
        <v>0</v>
      </c>
      <c r="D60" s="177">
        <f>IF(Utilidad!C$46&gt;1,Utilidad!C57/100,Utilidad!C57)</f>
        <v>0</v>
      </c>
      <c r="E60" s="177">
        <f>IF(Utilidad!$E$46&gt;1,Utilidad!E57/100,Utilidad!E57)</f>
        <v>0</v>
      </c>
      <c r="G60" s="295" t="s">
        <v>25</v>
      </c>
      <c r="H60" s="176">
        <f>Utilidad!B57</f>
        <v>0</v>
      </c>
      <c r="I60" s="177">
        <f>IF(Utilidad!$D$46&gt;1,Utilidad!D57/100,Utilidad!D57)</f>
        <v>0</v>
      </c>
      <c r="J60" s="177">
        <f>IF(Utilidad!$F$46&gt;1,Utilidad!F57/100,Utilidad!F57)</f>
        <v>0</v>
      </c>
      <c r="L60" s="182">
        <f t="shared" si="8"/>
        <v>0</v>
      </c>
      <c r="M60" s="182">
        <f t="shared" si="9"/>
        <v>0</v>
      </c>
      <c r="N60" s="182">
        <f t="shared" si="10"/>
        <v>0</v>
      </c>
      <c r="O60" s="205"/>
      <c r="P60" s="177">
        <f t="shared" si="11"/>
        <v>0</v>
      </c>
      <c r="Q60" s="177">
        <f t="shared" si="12"/>
        <v>0</v>
      </c>
      <c r="R60" s="177">
        <f t="shared" si="13"/>
        <v>0</v>
      </c>
      <c r="T60" s="195" t="str">
        <f t="shared" si="14"/>
        <v>SI</v>
      </c>
    </row>
    <row r="61" spans="2:20" ht="21">
      <c r="B61" s="295" t="s">
        <v>20</v>
      </c>
      <c r="C61" s="176">
        <f>Utilidad!A58</f>
        <v>169127</v>
      </c>
      <c r="D61" s="177">
        <f>IF(Utilidad!C$46&gt;1,Utilidad!C58/100,Utilidad!C58)</f>
        <v>0.64879999999999993</v>
      </c>
      <c r="E61" s="177">
        <f>IF(Utilidad!$E$46&gt;1,Utilidad!E58/100,Utilidad!E58)</f>
        <v>0.6411</v>
      </c>
      <c r="G61" s="295" t="s">
        <v>20</v>
      </c>
      <c r="H61" s="176">
        <f>Utilidad!B58</f>
        <v>169127</v>
      </c>
      <c r="I61" s="177">
        <f>IF(Utilidad!$D$46&gt;1,Utilidad!D58/100,Utilidad!D58)</f>
        <v>0.64879999999999993</v>
      </c>
      <c r="J61" s="177">
        <f>IF(Utilidad!$F$46&gt;1,Utilidad!F58/100,Utilidad!F58)</f>
        <v>0.6411</v>
      </c>
      <c r="L61" s="182">
        <f t="shared" si="8"/>
        <v>0</v>
      </c>
      <c r="M61" s="182">
        <f t="shared" si="9"/>
        <v>0</v>
      </c>
      <c r="N61" s="182">
        <f t="shared" si="10"/>
        <v>0</v>
      </c>
      <c r="P61" s="177">
        <f t="shared" si="11"/>
        <v>0</v>
      </c>
      <c r="Q61" s="177">
        <f t="shared" si="12"/>
        <v>0</v>
      </c>
      <c r="R61" s="177">
        <f t="shared" si="13"/>
        <v>0</v>
      </c>
      <c r="T61" s="195" t="str">
        <f t="shared" si="14"/>
        <v>SI</v>
      </c>
    </row>
    <row r="62" spans="2:20" ht="21">
      <c r="B62" s="295" t="s">
        <v>40</v>
      </c>
      <c r="C62" s="176">
        <f>Utilidad!A59</f>
        <v>1626912.84555104</v>
      </c>
      <c r="D62" s="177">
        <f>IF(Utilidad!C$46&gt;1,Utilidad!C59/100,Utilidad!C59)</f>
        <v>8.3971999999999991E-2</v>
      </c>
      <c r="E62" s="177">
        <f>IF(Utilidad!$E$46&gt;1,Utilidad!E59/100,Utilidad!E59)</f>
        <v>3.6970999999999997E-2</v>
      </c>
      <c r="G62" s="295" t="s">
        <v>40</v>
      </c>
      <c r="H62" s="176">
        <f>Utilidad!B59</f>
        <v>1668294.93</v>
      </c>
      <c r="I62" s="177">
        <f>IF(Utilidad!$D$46&gt;1,Utilidad!D59/100,Utilidad!D59)</f>
        <v>0.11228636551999999</v>
      </c>
      <c r="J62" s="177">
        <f>IF(Utilidad!$F$46&gt;1,Utilidad!F59/100,Utilidad!F59)</f>
        <v>6.3235547217000004E-2</v>
      </c>
      <c r="L62" s="182">
        <f t="shared" si="8"/>
        <v>2.5435956549315759E-2</v>
      </c>
      <c r="M62" s="182">
        <f t="shared" si="9"/>
        <v>0.33718817605868623</v>
      </c>
      <c r="N62" s="182">
        <f t="shared" si="10"/>
        <v>0.71040943488139374</v>
      </c>
      <c r="P62" s="177">
        <f t="shared" si="11"/>
        <v>2.5435956549315759E-2</v>
      </c>
      <c r="Q62" s="177">
        <f t="shared" si="12"/>
        <v>0.33718817605868623</v>
      </c>
      <c r="R62" s="177">
        <f t="shared" si="13"/>
        <v>0.71040943488139374</v>
      </c>
      <c r="T62" s="195" t="str">
        <f t="shared" si="14"/>
        <v>SI</v>
      </c>
    </row>
    <row r="63" spans="2:20" ht="21">
      <c r="B63" s="295" t="s">
        <v>55</v>
      </c>
      <c r="C63" s="176">
        <f>Utilidad!A60</f>
        <v>6125.3333333333003</v>
      </c>
      <c r="D63" s="177">
        <f>IF(Utilidad!C$46&gt;1,Utilidad!C60/100,Utilidad!C60)</f>
        <v>0.37</v>
      </c>
      <c r="E63" s="177">
        <f>IF(Utilidad!$E$46&gt;1,Utilidad!E60/100,Utilidad!E60)</f>
        <v>0.35249999999999998</v>
      </c>
      <c r="G63" s="295" t="s">
        <v>55</v>
      </c>
      <c r="H63" s="176">
        <f>Utilidad!B60</f>
        <v>5880.32</v>
      </c>
      <c r="I63" s="177">
        <f>IF(Utilidad!$D$46&gt;1,Utilidad!D60/100,Utilidad!D60)</f>
        <v>0.40700000000000003</v>
      </c>
      <c r="J63" s="177">
        <f>IF(Utilidad!$F$46&gt;1,Utilidad!F60/100,Utilidad!F60)</f>
        <v>0.35954999999999998</v>
      </c>
      <c r="L63" s="182">
        <f t="shared" si="8"/>
        <v>-3.9999999999994866E-2</v>
      </c>
      <c r="M63" s="182">
        <f t="shared" si="9"/>
        <v>0.10000000000000009</v>
      </c>
      <c r="N63" s="182">
        <f t="shared" si="10"/>
        <v>2.0000000000000004E-2</v>
      </c>
      <c r="P63" s="177">
        <f t="shared" si="11"/>
        <v>3.9999999999994866E-2</v>
      </c>
      <c r="Q63" s="177">
        <f t="shared" si="12"/>
        <v>0.10000000000000009</v>
      </c>
      <c r="R63" s="177">
        <f t="shared" si="13"/>
        <v>2.0000000000000004E-2</v>
      </c>
      <c r="T63" s="195" t="str">
        <f t="shared" si="14"/>
        <v>SI</v>
      </c>
    </row>
    <row r="64" spans="2:20" ht="21">
      <c r="B64" s="295" t="s">
        <v>53</v>
      </c>
      <c r="C64" s="176">
        <f>Utilidad!A61</f>
        <v>24501.333333333299</v>
      </c>
      <c r="D64" s="177">
        <f>IF(Utilidad!C$46&gt;1,Utilidad!C61/100,Utilidad!C61)</f>
        <v>0.37</v>
      </c>
      <c r="E64" s="177">
        <f>IF(Utilidad!$E$46&gt;1,Utilidad!E61/100,Utilidad!E61)</f>
        <v>0.35249999999999998</v>
      </c>
      <c r="G64" s="295" t="s">
        <v>53</v>
      </c>
      <c r="H64" s="176">
        <f>Utilidad!B61</f>
        <v>24256.32</v>
      </c>
      <c r="I64" s="177">
        <f>IF(Utilidad!$D$46&gt;1,Utilidad!D61/100,Utilidad!D61)</f>
        <v>0.37740000000000001</v>
      </c>
      <c r="J64" s="177">
        <f>IF(Utilidad!$F$46&gt;1,Utilidad!F61/100,Utilidad!F61)</f>
        <v>0.35954999999999998</v>
      </c>
      <c r="L64" s="182">
        <f t="shared" si="8"/>
        <v>-9.9999999999986402E-3</v>
      </c>
      <c r="M64" s="182">
        <f t="shared" si="9"/>
        <v>2.0000000000000049E-2</v>
      </c>
      <c r="N64" s="182">
        <f t="shared" si="10"/>
        <v>2.0000000000000004E-2</v>
      </c>
      <c r="P64" s="177">
        <f t="shared" si="11"/>
        <v>9.9999999999986402E-3</v>
      </c>
      <c r="Q64" s="177">
        <f t="shared" si="12"/>
        <v>2.0000000000000049E-2</v>
      </c>
      <c r="R64" s="177">
        <f t="shared" si="13"/>
        <v>2.0000000000000004E-2</v>
      </c>
      <c r="T64" s="195" t="str">
        <f t="shared" si="14"/>
        <v>SI</v>
      </c>
    </row>
    <row r="65" spans="2:20" ht="21">
      <c r="B65" s="295" t="s">
        <v>54</v>
      </c>
      <c r="C65" s="176">
        <f>Utilidad!A62</f>
        <v>537276.67122102738</v>
      </c>
      <c r="D65" s="177">
        <f>IF(Utilidad!C$46&gt;1,Utilidad!C62/100,Utilidad!C62)</f>
        <v>0.39977800000000002</v>
      </c>
      <c r="E65" s="177">
        <f>IF(Utilidad!$E$46&gt;1,Utilidad!E62/100,Utilidad!E62)</f>
        <v>0.37942399999999998</v>
      </c>
      <c r="G65" s="295" t="s">
        <v>54</v>
      </c>
      <c r="H65" s="176">
        <f>Utilidad!B62</f>
        <v>533769.46967999998</v>
      </c>
      <c r="I65" s="177">
        <f>IF(Utilidad!$D$46&gt;1,Utilidad!D62/100,Utilidad!D62)</f>
        <v>0.39243602752999995</v>
      </c>
      <c r="J65" s="177">
        <f>IF(Utilidad!$F$46&gt;1,Utilidad!F62/100,Utilidad!F62)</f>
        <v>0.37239381627000001</v>
      </c>
      <c r="L65" s="182">
        <f t="shared" si="8"/>
        <v>-6.5277383681239245E-3</v>
      </c>
      <c r="M65" s="182">
        <f t="shared" si="9"/>
        <v>-1.8365123818719561E-2</v>
      </c>
      <c r="N65" s="182">
        <f t="shared" si="10"/>
        <v>-1.8528568909715708E-2</v>
      </c>
      <c r="O65" s="206"/>
      <c r="P65" s="177">
        <f t="shared" si="11"/>
        <v>6.5277383681239245E-3</v>
      </c>
      <c r="Q65" s="177">
        <f t="shared" si="12"/>
        <v>1.8365123818719561E-2</v>
      </c>
      <c r="R65" s="177">
        <f t="shared" si="13"/>
        <v>1.8528568909715708E-2</v>
      </c>
      <c r="T65" s="195" t="str">
        <f t="shared" si="14"/>
        <v>SI</v>
      </c>
    </row>
    <row r="69" spans="2:20" ht="16" thickBot="1"/>
    <row r="70" spans="2:20" ht="16" thickBot="1">
      <c r="B70" s="204" t="s">
        <v>122</v>
      </c>
      <c r="C70" s="200" t="s">
        <v>114</v>
      </c>
      <c r="D70" s="201" t="s">
        <v>115</v>
      </c>
      <c r="E70" s="200" t="s">
        <v>116</v>
      </c>
      <c r="F70" s="200" t="s">
        <v>117</v>
      </c>
      <c r="G70" s="200" t="s">
        <v>126</v>
      </c>
      <c r="H70" s="200" t="s">
        <v>125</v>
      </c>
      <c r="I70" s="200" t="s">
        <v>118</v>
      </c>
      <c r="J70" s="200" t="s">
        <v>123</v>
      </c>
    </row>
    <row r="71" spans="2:20">
      <c r="B71" s="202" t="s">
        <v>112</v>
      </c>
      <c r="C71" s="197">
        <f>+I43</f>
        <v>0.16027230537000001</v>
      </c>
      <c r="D71" s="197">
        <f>+C72</f>
        <v>0.30413456646999998</v>
      </c>
      <c r="E71" s="197">
        <f>+I50</f>
        <v>0.39507435901999999</v>
      </c>
      <c r="F71" s="197">
        <f>E72</f>
        <v>0.45781639824000003</v>
      </c>
      <c r="G71" s="197">
        <f>F72</f>
        <v>0.57878070741999998</v>
      </c>
      <c r="H71" s="197">
        <f>+F72</f>
        <v>0.57878070741999998</v>
      </c>
      <c r="I71" s="197">
        <f>+H72</f>
        <v>0.64744696724999995</v>
      </c>
      <c r="J71" s="207"/>
    </row>
    <row r="72" spans="2:20">
      <c r="B72" s="202" t="s">
        <v>113</v>
      </c>
      <c r="C72" s="197">
        <f>+I45</f>
        <v>0.30413456646999998</v>
      </c>
      <c r="D72" s="197">
        <f>+I47</f>
        <v>0.39178244000000001</v>
      </c>
      <c r="E72" s="197">
        <f>+I52</f>
        <v>0.45781639824000003</v>
      </c>
      <c r="F72" s="197">
        <f>+I54</f>
        <v>0.57878070741999998</v>
      </c>
      <c r="G72" s="197">
        <f>+I56</f>
        <v>0.57878070741999998</v>
      </c>
      <c r="H72" s="197">
        <f>+I58</f>
        <v>0.64744696724999995</v>
      </c>
      <c r="I72" s="197">
        <f>+I61</f>
        <v>0.64879999999999993</v>
      </c>
      <c r="J72" s="208"/>
    </row>
    <row r="73" spans="2:20" ht="16" thickBot="1">
      <c r="B73" s="203" t="s">
        <v>88</v>
      </c>
      <c r="C73" s="198">
        <f>+I44</f>
        <v>5.8116300000000003E-2</v>
      </c>
      <c r="D73" s="198">
        <f>+I46</f>
        <v>6.4111299999999996E-2</v>
      </c>
      <c r="E73" s="198">
        <f>+I51</f>
        <v>4.6595999999999999E-2</v>
      </c>
      <c r="F73" s="198">
        <f>+I53</f>
        <v>8.9365182362000001E-2</v>
      </c>
      <c r="G73" s="198">
        <f>+I55</f>
        <v>0</v>
      </c>
      <c r="H73" s="198">
        <f>+I57</f>
        <v>0.51605904000000002</v>
      </c>
      <c r="I73" s="198">
        <f>+I59</f>
        <v>0.45460800603000001</v>
      </c>
      <c r="J73" s="209"/>
    </row>
    <row r="74" spans="2:20" ht="16" thickBot="1">
      <c r="B74" s="204" t="s">
        <v>119</v>
      </c>
      <c r="C74" s="199">
        <f>+(C71-C73)/(C72-C73)*100</f>
        <v>41.52374814918759</v>
      </c>
      <c r="D74" s="199">
        <f t="shared" ref="D74:I74" si="15">+(D71-D73)/(D72-D73)*100</f>
        <v>73.251268473018399</v>
      </c>
      <c r="E74" s="199">
        <f t="shared" si="15"/>
        <v>84.742478853546089</v>
      </c>
      <c r="F74" s="199">
        <f t="shared" si="15"/>
        <v>75.28392480690826</v>
      </c>
      <c r="G74" s="199">
        <f t="shared" si="15"/>
        <v>100</v>
      </c>
      <c r="H74" s="199">
        <f t="shared" si="15"/>
        <v>47.737770686233269</v>
      </c>
      <c r="I74" s="199">
        <f t="shared" si="15"/>
        <v>99.303249983514249</v>
      </c>
      <c r="J74" s="199">
        <f>+C74*D74*E74*F74*H74*I74/10000000000</f>
        <v>9.1990019321326262</v>
      </c>
    </row>
    <row r="75" spans="2:20" ht="16" thickBot="1">
      <c r="B75" s="204" t="s">
        <v>120</v>
      </c>
      <c r="C75" s="199">
        <f>+(C72/C71)*C74</f>
        <v>78.7959411478367</v>
      </c>
      <c r="D75" s="199">
        <f t="shared" ref="D75:I75" si="16">+(D72/D71)*D74</f>
        <v>94.361390842711288</v>
      </c>
      <c r="E75" s="199">
        <f t="shared" si="16"/>
        <v>98.200492036224077</v>
      </c>
      <c r="F75" s="199">
        <f t="shared" si="16"/>
        <v>95.175453357733019</v>
      </c>
      <c r="G75" s="199">
        <f t="shared" si="16"/>
        <v>100</v>
      </c>
      <c r="H75" s="199">
        <f t="shared" si="16"/>
        <v>53.40135643403385</v>
      </c>
      <c r="I75" s="199">
        <f t="shared" si="16"/>
        <v>99.510773620515479</v>
      </c>
      <c r="J75" s="199">
        <f>+C75*D75*E75*F75*H75*I75/10000000000</f>
        <v>36.928289336075359</v>
      </c>
    </row>
    <row r="76" spans="2:20" ht="16" thickBot="1"/>
    <row r="77" spans="2:20" ht="16" thickBot="1">
      <c r="B77" s="204" t="s">
        <v>124</v>
      </c>
      <c r="C77" s="200" t="s">
        <v>114</v>
      </c>
      <c r="D77" s="201" t="s">
        <v>115</v>
      </c>
      <c r="E77" s="200" t="s">
        <v>116</v>
      </c>
      <c r="F77" s="200" t="s">
        <v>117</v>
      </c>
      <c r="G77" s="200" t="s">
        <v>126</v>
      </c>
      <c r="H77" s="200" t="s">
        <v>125</v>
      </c>
      <c r="I77" s="200" t="s">
        <v>118</v>
      </c>
      <c r="J77" s="200" t="s">
        <v>123</v>
      </c>
    </row>
    <row r="78" spans="2:20">
      <c r="B78" s="202" t="s">
        <v>112</v>
      </c>
      <c r="C78" s="197">
        <f>+J43</f>
        <v>0.11513899999999999</v>
      </c>
      <c r="D78" s="197">
        <f>+C79</f>
        <v>0.27306034000000001</v>
      </c>
      <c r="E78" s="197">
        <f>+J50</f>
        <v>0.37492236981999999</v>
      </c>
      <c r="F78" s="197">
        <f>+E79</f>
        <v>0.44086965999999994</v>
      </c>
      <c r="G78" s="197">
        <f>+J54</f>
        <v>0.56390866000000006</v>
      </c>
      <c r="H78" s="197">
        <f>+F79</f>
        <v>0.56390866000000006</v>
      </c>
      <c r="I78" s="197">
        <f>+H79</f>
        <v>0.63973870123999999</v>
      </c>
      <c r="J78" s="207"/>
    </row>
    <row r="79" spans="2:20">
      <c r="B79" s="202" t="s">
        <v>113</v>
      </c>
      <c r="C79" s="197">
        <f>+J45</f>
        <v>0.27306034000000001</v>
      </c>
      <c r="D79" s="197">
        <f>+J47</f>
        <v>0.37183551999999997</v>
      </c>
      <c r="E79" s="197">
        <f>+J52</f>
        <v>0.44086965999999994</v>
      </c>
      <c r="F79" s="197">
        <f>+J54</f>
        <v>0.56390866000000006</v>
      </c>
      <c r="G79" s="197">
        <f>+J56</f>
        <v>0.56390866000000006</v>
      </c>
      <c r="H79" s="197">
        <f>+J58</f>
        <v>0.63973870123999999</v>
      </c>
      <c r="I79" s="197">
        <f>+J61</f>
        <v>0.6411</v>
      </c>
      <c r="J79" s="208"/>
    </row>
    <row r="80" spans="2:20" ht="16" thickBot="1">
      <c r="B80" s="203" t="s">
        <v>88</v>
      </c>
      <c r="C80" s="198">
        <f>+J44</f>
        <v>2.9997000000000001E-3</v>
      </c>
      <c r="D80" s="198">
        <f>+J46</f>
        <v>2.565E-3</v>
      </c>
      <c r="E80" s="198">
        <f>+J51</f>
        <v>6.7200000000000003E-3</v>
      </c>
      <c r="F80" s="198">
        <f>+J53</f>
        <v>6.6099039999999998E-2</v>
      </c>
      <c r="G80" s="198">
        <f>+J55</f>
        <v>0</v>
      </c>
      <c r="H80" s="198">
        <f>+J57</f>
        <v>0.49476243791999996</v>
      </c>
      <c r="I80" s="198">
        <f>+J59</f>
        <v>0.44572163932999997</v>
      </c>
      <c r="J80" s="209"/>
    </row>
    <row r="81" spans="2:10" ht="16" thickBot="1">
      <c r="B81" s="204" t="s">
        <v>119</v>
      </c>
      <c r="C81" s="199">
        <f>+(C78-C80)/(C79-C80)*100</f>
        <v>41.523748147823383</v>
      </c>
      <c r="D81" s="199">
        <f t="shared" ref="D81" si="17">+(D78-D80)/(D79-D80)*100</f>
        <v>73.251268473854893</v>
      </c>
      <c r="E81" s="199">
        <f t="shared" ref="E81" si="18">+(E78-E80)/(E79-E80)*100</f>
        <v>84.81000994449704</v>
      </c>
      <c r="F81" s="199">
        <f t="shared" ref="F81:G81" si="19">+(F78-F80)/(F79-F80)*100</f>
        <v>75.283924806435024</v>
      </c>
      <c r="G81" s="199">
        <f t="shared" si="19"/>
        <v>100</v>
      </c>
      <c r="H81" s="199">
        <f t="shared" ref="H81" si="20">+(H78-H80)/(H79-H80)*100</f>
        <v>47.694857417711574</v>
      </c>
      <c r="I81" s="199">
        <f t="shared" ref="I81" si="21">+(I78-I80)/(I79-I80)*100</f>
        <v>99.303249983605241</v>
      </c>
      <c r="J81" s="199">
        <f>+C81*D81*E81*F81*H81*I81/10000000000</f>
        <v>9.1980566789605245</v>
      </c>
    </row>
    <row r="82" spans="2:10" ht="16" thickBot="1">
      <c r="B82" s="204" t="s">
        <v>121</v>
      </c>
      <c r="C82" s="199">
        <f>+(C79/C78)*C81</f>
        <v>98.476526522889941</v>
      </c>
      <c r="D82" s="199">
        <f t="shared" ref="D82:I82" si="22">+(D79/D78)*D81</f>
        <v>99.748735036495731</v>
      </c>
      <c r="E82" s="199">
        <f t="shared" si="22"/>
        <v>99.727739016420969</v>
      </c>
      <c r="F82" s="199">
        <f t="shared" si="22"/>
        <v>96.294349575195412</v>
      </c>
      <c r="G82" s="199">
        <f t="shared" si="22"/>
        <v>100</v>
      </c>
      <c r="H82" s="199">
        <f t="shared" si="22"/>
        <v>54.108490088153246</v>
      </c>
      <c r="I82" s="199">
        <f t="shared" si="22"/>
        <v>99.514557179503555</v>
      </c>
      <c r="J82" s="199">
        <f>+C82*D82*E82*F82*H82*I82/10000000000</f>
        <v>50.793591918373373</v>
      </c>
    </row>
  </sheetData>
  <mergeCells count="3">
    <mergeCell ref="B2:E2"/>
    <mergeCell ref="G2:J2"/>
    <mergeCell ref="L2:N2"/>
  </mergeCells>
  <conditionalFormatting sqref="O56 L4:M65">
    <cfRule type="expression" dxfId="3" priority="4">
      <formula>ABS(L4)&gt;=10%</formula>
    </cfRule>
  </conditionalFormatting>
  <conditionalFormatting sqref="N4:N65">
    <cfRule type="expression" dxfId="2" priority="3">
      <formula>ABS(N4)&gt;=10%</formula>
    </cfRule>
  </conditionalFormatting>
  <conditionalFormatting sqref="T4:T65">
    <cfRule type="containsText" dxfId="1" priority="1" operator="containsText" text="NO">
      <formula>NOT(ISERROR(SEARCH("NO",T4)))</formula>
    </cfRule>
    <cfRule type="containsText" dxfId="0" priority="2" operator="containsText" text="SI">
      <formula>NOT(ISERROR(SEARCH("SI",T4)))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B6A0-6FCA-C849-9CF3-CFCFDB97FCAC}">
  <dimension ref="A1:E2"/>
  <sheetViews>
    <sheetView tabSelected="1" zoomScale="90" zoomScaleNormal="90" workbookViewId="0">
      <selection activeCell="H12" sqref="H12"/>
    </sheetView>
  </sheetViews>
  <sheetFormatPr baseColWidth="10" defaultRowHeight="15"/>
  <cols>
    <col min="1" max="1" width="17.5" customWidth="1"/>
    <col min="2" max="2" width="10.83203125" style="186"/>
    <col min="3" max="3" width="10.83203125" style="3"/>
  </cols>
  <sheetData>
    <row r="1" spans="1:5" ht="19">
      <c r="A1" s="191" t="s">
        <v>75</v>
      </c>
      <c r="B1" s="187">
        <v>248851</v>
      </c>
      <c r="C1" s="188">
        <v>0.65590000000000004</v>
      </c>
      <c r="D1" s="193">
        <v>0.64746003162470001</v>
      </c>
      <c r="E1" s="193">
        <v>0</v>
      </c>
    </row>
    <row r="2" spans="1:5" ht="19">
      <c r="A2" s="191" t="s">
        <v>71</v>
      </c>
      <c r="B2" s="189">
        <v>178774</v>
      </c>
      <c r="C2" s="190">
        <v>0.64739999999999998</v>
      </c>
      <c r="D2" s="193">
        <v>0.63906940764419995</v>
      </c>
      <c r="E2" s="1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4"/>
  <sheetViews>
    <sheetView view="pageBreakPreview" zoomScale="110" zoomScaleNormal="60" zoomScaleSheetLayoutView="110" workbookViewId="0">
      <selection activeCell="M12" sqref="M12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16" thickBot="1">
      <c r="A2" s="64"/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139"/>
    </row>
    <row r="3" spans="1:15" ht="16" thickBot="1">
      <c r="A3" s="64"/>
      <c r="B3" s="67"/>
      <c r="C3" s="232"/>
      <c r="D3" s="233"/>
      <c r="E3" s="238" t="s">
        <v>60</v>
      </c>
      <c r="F3" s="238"/>
      <c r="G3" s="238"/>
      <c r="H3" s="238"/>
      <c r="I3" s="238"/>
      <c r="J3" s="238"/>
      <c r="K3" s="238"/>
      <c r="L3" s="238"/>
      <c r="M3" s="238"/>
      <c r="N3" s="239"/>
      <c r="O3" s="138"/>
    </row>
    <row r="4" spans="1:15" ht="16" thickBot="1">
      <c r="A4" s="64"/>
      <c r="B4" s="67"/>
      <c r="C4" s="234"/>
      <c r="D4" s="235"/>
      <c r="E4" s="240"/>
      <c r="F4" s="240"/>
      <c r="G4" s="240"/>
      <c r="H4" s="240"/>
      <c r="I4" s="240"/>
      <c r="J4" s="240"/>
      <c r="K4" s="240"/>
      <c r="L4" s="240"/>
      <c r="M4" s="240"/>
      <c r="N4" s="241"/>
      <c r="O4" s="138"/>
    </row>
    <row r="5" spans="1:15" ht="16" thickBot="1">
      <c r="A5" s="64"/>
      <c r="B5" s="67"/>
      <c r="C5" s="234"/>
      <c r="D5" s="235"/>
      <c r="E5" s="240" t="s">
        <v>61</v>
      </c>
      <c r="F5" s="240"/>
      <c r="G5" s="240"/>
      <c r="H5" s="240"/>
      <c r="I5" s="240"/>
      <c r="J5" s="240"/>
      <c r="K5" s="240"/>
      <c r="L5" s="240"/>
      <c r="M5" s="243">
        <v>44926</v>
      </c>
      <c r="N5" s="244"/>
      <c r="O5" s="138"/>
    </row>
    <row r="6" spans="1:15" ht="16" thickBot="1">
      <c r="A6" s="64"/>
      <c r="B6" s="67"/>
      <c r="C6" s="236"/>
      <c r="D6" s="237"/>
      <c r="E6" s="242"/>
      <c r="F6" s="242"/>
      <c r="G6" s="242"/>
      <c r="H6" s="242"/>
      <c r="I6" s="242"/>
      <c r="J6" s="242"/>
      <c r="K6" s="242"/>
      <c r="L6" s="242"/>
      <c r="M6" s="245"/>
      <c r="N6" s="246"/>
      <c r="O6" s="138"/>
    </row>
    <row r="7" spans="1:15" ht="16" thickBot="1">
      <c r="A7" s="64"/>
      <c r="B7" s="68"/>
      <c r="C7" s="69"/>
      <c r="D7" s="69"/>
      <c r="E7" s="69"/>
      <c r="F7" s="69"/>
      <c r="G7" s="69"/>
      <c r="H7" s="69"/>
      <c r="I7" s="69"/>
      <c r="J7" s="69"/>
      <c r="K7" s="70"/>
      <c r="L7" s="71"/>
      <c r="M7" s="72"/>
      <c r="N7" s="72"/>
      <c r="O7" s="138"/>
    </row>
    <row r="8" spans="1:15" ht="16" thickBot="1">
      <c r="A8" s="64"/>
      <c r="B8" s="68"/>
      <c r="C8" s="224"/>
      <c r="D8" s="225"/>
      <c r="E8" s="225"/>
      <c r="F8" s="73" t="s">
        <v>62</v>
      </c>
      <c r="G8" s="73" t="s">
        <v>63</v>
      </c>
      <c r="H8" s="74" t="s">
        <v>64</v>
      </c>
      <c r="I8" s="74" t="s">
        <v>63</v>
      </c>
      <c r="J8" s="228"/>
      <c r="K8" s="229"/>
      <c r="L8" s="73" t="s">
        <v>62</v>
      </c>
      <c r="M8" s="73" t="s">
        <v>63</v>
      </c>
      <c r="N8" s="74" t="s">
        <v>64</v>
      </c>
      <c r="O8" s="138"/>
    </row>
    <row r="9" spans="1:15" ht="16" thickBot="1">
      <c r="A9" s="64"/>
      <c r="B9" s="68"/>
      <c r="C9" s="226"/>
      <c r="D9" s="227"/>
      <c r="E9" s="227"/>
      <c r="F9" s="75" t="s">
        <v>22</v>
      </c>
      <c r="G9" s="75" t="s">
        <v>65</v>
      </c>
      <c r="H9" s="76" t="s">
        <v>66</v>
      </c>
      <c r="I9" s="76" t="s">
        <v>67</v>
      </c>
      <c r="J9" s="230"/>
      <c r="K9" s="231"/>
      <c r="L9" s="75" t="s">
        <v>22</v>
      </c>
      <c r="M9" s="75" t="s">
        <v>65</v>
      </c>
      <c r="N9" s="76" t="s">
        <v>66</v>
      </c>
      <c r="O9" s="138"/>
    </row>
    <row r="10" spans="1:15" ht="16" thickBot="1">
      <c r="A10" s="64"/>
      <c r="B10" s="68"/>
      <c r="C10" s="247" t="s">
        <v>31</v>
      </c>
      <c r="D10" s="248"/>
      <c r="E10" s="248"/>
      <c r="F10" s="248"/>
      <c r="G10" s="248"/>
      <c r="H10" s="248"/>
      <c r="I10" s="249" t="s">
        <v>68</v>
      </c>
      <c r="J10" s="248"/>
      <c r="K10" s="248"/>
      <c r="L10" s="248"/>
      <c r="M10" s="248"/>
      <c r="N10" s="250"/>
      <c r="O10" s="138"/>
    </row>
    <row r="11" spans="1:15" ht="16" thickBot="1">
      <c r="A11" s="64"/>
      <c r="B11" s="309"/>
      <c r="C11" s="251" t="s">
        <v>69</v>
      </c>
      <c r="D11" s="251"/>
      <c r="E11" s="252"/>
      <c r="F11" s="77">
        <f>Utilidad!O95</f>
        <v>750</v>
      </c>
      <c r="G11" s="78">
        <f>Utilidad!P95</f>
        <v>0.41463800000000001</v>
      </c>
      <c r="H11" s="79">
        <f t="shared" ref="H11:H23" si="0">+F11*G11</f>
        <v>310.9785</v>
      </c>
      <c r="I11" s="78">
        <f>Utilidad!Q95</f>
        <v>0.37200800000000001</v>
      </c>
      <c r="J11" s="80" t="s">
        <v>70</v>
      </c>
      <c r="K11" s="81"/>
      <c r="L11" s="82">
        <f>Flujos!H61</f>
        <v>169127</v>
      </c>
      <c r="M11" s="83">
        <f>Flujos!I61</f>
        <v>0.64879999999999993</v>
      </c>
      <c r="N11" s="84">
        <f>+M11*L11</f>
        <v>109729.59759999999</v>
      </c>
      <c r="O11" s="138"/>
    </row>
    <row r="12" spans="1:15" ht="16" thickBot="1">
      <c r="A12" s="64"/>
      <c r="B12" s="309"/>
      <c r="C12" s="254" t="s">
        <v>1</v>
      </c>
      <c r="D12" s="254"/>
      <c r="E12" s="255"/>
      <c r="F12" s="85">
        <f>Utilidad!O70</f>
        <v>5330.16</v>
      </c>
      <c r="G12" s="78">
        <f>Utilidad!P70</f>
        <v>0.58339399999999997</v>
      </c>
      <c r="H12" s="86">
        <f t="shared" si="0"/>
        <v>3109.5833630399998</v>
      </c>
      <c r="I12" s="87">
        <f>Utilidad!Q70</f>
        <v>0.57428000000000001</v>
      </c>
      <c r="J12" s="88" t="s">
        <v>71</v>
      </c>
      <c r="K12" s="89"/>
      <c r="L12" s="90">
        <f>'Datos Extra'!B2</f>
        <v>178774</v>
      </c>
      <c r="M12" s="185">
        <f>'Datos Extra'!C2</f>
        <v>0.64739999999999998</v>
      </c>
      <c r="N12" s="92">
        <f>+M12*L12</f>
        <v>115738.2876</v>
      </c>
      <c r="O12" s="138"/>
    </row>
    <row r="13" spans="1:15" ht="16" thickBot="1">
      <c r="A13" s="64"/>
      <c r="B13" s="309"/>
      <c r="C13" s="254" t="s">
        <v>8</v>
      </c>
      <c r="D13" s="254"/>
      <c r="E13" s="255"/>
      <c r="F13" s="85">
        <f>Utilidad!O76</f>
        <v>1295.9100000000001</v>
      </c>
      <c r="G13" s="78">
        <f>Utilidad!P76</f>
        <v>0.48020000000000002</v>
      </c>
      <c r="H13" s="86">
        <f t="shared" si="0"/>
        <v>622.29598200000009</v>
      </c>
      <c r="I13" s="87">
        <f>Utilidad!Q76</f>
        <v>0.46403</v>
      </c>
      <c r="J13" s="310"/>
      <c r="K13" s="310"/>
      <c r="L13" s="256"/>
      <c r="M13" s="257"/>
      <c r="N13" s="312"/>
      <c r="O13" s="138"/>
    </row>
    <row r="14" spans="1:15" ht="16" thickBot="1">
      <c r="A14" s="64"/>
      <c r="B14" s="309"/>
      <c r="C14" s="254" t="s">
        <v>106</v>
      </c>
      <c r="D14" s="254"/>
      <c r="E14" s="255"/>
      <c r="F14" s="85">
        <f>Utilidad!O79</f>
        <v>4063.95</v>
      </c>
      <c r="G14" s="87">
        <f>Utilidad!P79</f>
        <v>0.35377999999999998</v>
      </c>
      <c r="H14" s="86">
        <f t="shared" si="0"/>
        <v>1437.7442309999999</v>
      </c>
      <c r="I14" s="87">
        <f>Utilidad!Q79</f>
        <v>0.33515999999999996</v>
      </c>
      <c r="J14" s="311"/>
      <c r="K14" s="311"/>
      <c r="L14" s="258"/>
      <c r="M14" s="259"/>
      <c r="N14" s="313"/>
      <c r="O14" s="138"/>
    </row>
    <row r="15" spans="1:15" ht="16" thickBot="1">
      <c r="A15" s="64"/>
      <c r="B15" s="309"/>
      <c r="C15" s="254" t="s">
        <v>107</v>
      </c>
      <c r="D15" s="260"/>
      <c r="E15" s="261"/>
      <c r="F15" s="85">
        <f>Utilidad!O82</f>
        <v>990</v>
      </c>
      <c r="G15" s="87">
        <f>Utilidad!P82</f>
        <v>0.48598199999999997</v>
      </c>
      <c r="H15" s="86">
        <f t="shared" si="0"/>
        <v>481.12217999999996</v>
      </c>
      <c r="I15" s="87">
        <f>Utilidad!Q82</f>
        <v>0.44227400000000006</v>
      </c>
      <c r="J15" s="311"/>
      <c r="K15" s="311"/>
      <c r="L15" s="258"/>
      <c r="M15" s="259"/>
      <c r="N15" s="313"/>
      <c r="O15" s="138"/>
    </row>
    <row r="16" spans="1:15" ht="16" thickBot="1">
      <c r="A16" s="64"/>
      <c r="B16" s="309"/>
      <c r="C16" s="254" t="s">
        <v>111</v>
      </c>
      <c r="D16" s="260"/>
      <c r="E16" s="261"/>
      <c r="F16" s="85">
        <f>Utilidad!O85</f>
        <v>990</v>
      </c>
      <c r="G16" s="87">
        <f>Utilidad!P85</f>
        <v>0.41463800000000001</v>
      </c>
      <c r="H16" s="86">
        <f t="shared" si="0"/>
        <v>410.49162000000001</v>
      </c>
      <c r="I16" s="87">
        <f>Utilidad!Q85</f>
        <v>0.37200800000000001</v>
      </c>
      <c r="J16" s="311"/>
      <c r="K16" s="311"/>
      <c r="L16" s="258"/>
      <c r="M16" s="259"/>
      <c r="N16" s="313"/>
      <c r="O16" s="138"/>
    </row>
    <row r="17" spans="1:15" ht="16" thickBot="1">
      <c r="A17" s="64"/>
      <c r="B17" s="309"/>
      <c r="C17" s="254" t="s">
        <v>48</v>
      </c>
      <c r="D17" s="260"/>
      <c r="E17" s="261"/>
      <c r="F17" s="85">
        <f>Utilidad!O88</f>
        <v>0</v>
      </c>
      <c r="G17" s="87">
        <f>Utilidad!P88</f>
        <v>0</v>
      </c>
      <c r="H17" s="86">
        <f t="shared" si="0"/>
        <v>0</v>
      </c>
      <c r="I17" s="87">
        <f>Utilidad!Q88</f>
        <v>0</v>
      </c>
      <c r="J17" s="311"/>
      <c r="K17" s="311"/>
      <c r="L17" s="258"/>
      <c r="M17" s="259"/>
      <c r="N17" s="313"/>
      <c r="O17" s="138"/>
    </row>
    <row r="18" spans="1:15" ht="16" thickBot="1">
      <c r="A18" s="64"/>
      <c r="B18" s="309"/>
      <c r="C18" s="254" t="s">
        <v>51</v>
      </c>
      <c r="D18" s="260"/>
      <c r="E18" s="261"/>
      <c r="F18" s="85">
        <f>Utilidad!O91</f>
        <v>0</v>
      </c>
      <c r="G18" s="87">
        <f>Utilidad!P91</f>
        <v>0</v>
      </c>
      <c r="H18" s="86">
        <f t="shared" si="0"/>
        <v>0</v>
      </c>
      <c r="I18" s="87">
        <f>Utilidad!Q91</f>
        <v>0</v>
      </c>
      <c r="J18" s="311"/>
      <c r="K18" s="311"/>
      <c r="L18" s="258"/>
      <c r="M18" s="259"/>
      <c r="N18" s="313"/>
      <c r="O18" s="138"/>
    </row>
    <row r="19" spans="1:15" ht="16" thickBot="1">
      <c r="A19" s="64"/>
      <c r="B19" s="309"/>
      <c r="C19" s="255" t="s">
        <v>5</v>
      </c>
      <c r="D19" s="307"/>
      <c r="E19" s="307"/>
      <c r="F19" s="85">
        <f>Utilidad!O73</f>
        <v>5552.91</v>
      </c>
      <c r="G19" s="87">
        <f>Utilidad!P73</f>
        <v>0.42267399999999999</v>
      </c>
      <c r="H19" s="308">
        <f t="shared" si="0"/>
        <v>2347.0706813399997</v>
      </c>
      <c r="I19" s="87">
        <f>Utilidad!Q73</f>
        <v>0.39993800000000002</v>
      </c>
      <c r="J19" s="311"/>
      <c r="K19" s="311"/>
      <c r="L19" s="258"/>
      <c r="M19" s="259"/>
      <c r="N19" s="313"/>
      <c r="O19" s="138"/>
    </row>
    <row r="20" spans="1:15" ht="16" thickBot="1">
      <c r="A20" s="64"/>
      <c r="B20" s="309"/>
      <c r="C20" s="255" t="s">
        <v>147</v>
      </c>
      <c r="D20" s="307"/>
      <c r="E20" s="307"/>
      <c r="F20" s="85">
        <f>'Diagrama Fe T'!G38</f>
        <v>990</v>
      </c>
      <c r="G20" s="87">
        <f>'Diagrama Fe T'!G39</f>
        <v>0.48598199999999997</v>
      </c>
      <c r="H20" s="308">
        <f t="shared" si="0"/>
        <v>481.12217999999996</v>
      </c>
      <c r="I20" s="87">
        <f>Flujos!J30</f>
        <v>0.44227400000000006</v>
      </c>
      <c r="J20" s="311"/>
      <c r="K20" s="311"/>
      <c r="L20" s="258"/>
      <c r="M20" s="259"/>
      <c r="N20" s="313"/>
      <c r="O20" s="138"/>
    </row>
    <row r="21" spans="1:15" ht="16" thickBot="1">
      <c r="A21" s="64"/>
      <c r="B21" s="309"/>
      <c r="C21" s="255" t="s">
        <v>148</v>
      </c>
      <c r="D21" s="307"/>
      <c r="E21" s="307"/>
      <c r="F21" s="85">
        <f>'Diagrama Fe T'!G45</f>
        <v>990</v>
      </c>
      <c r="G21" s="87">
        <f>'Diagrama Fe T'!G46</f>
        <v>0.41463800000000001</v>
      </c>
      <c r="H21" s="308">
        <f t="shared" si="0"/>
        <v>410.49162000000001</v>
      </c>
      <c r="I21" s="87">
        <f>Flujos!J33</f>
        <v>0.37200800000000001</v>
      </c>
      <c r="J21" s="311"/>
      <c r="K21" s="311"/>
      <c r="L21" s="258"/>
      <c r="M21" s="259"/>
      <c r="N21" s="313"/>
      <c r="O21" s="138"/>
    </row>
    <row r="22" spans="1:15" ht="16" thickBot="1">
      <c r="A22" s="64"/>
      <c r="B22" s="309"/>
      <c r="C22" s="255" t="s">
        <v>149</v>
      </c>
      <c r="D22" s="307"/>
      <c r="E22" s="307"/>
      <c r="F22" s="85">
        <f>'Diagrama Fe T'!G51</f>
        <v>990</v>
      </c>
      <c r="G22" s="87">
        <f>'Diagrama Fe T'!G52</f>
        <v>0.48598199999999997</v>
      </c>
      <c r="H22" s="308">
        <f t="shared" si="0"/>
        <v>481.12217999999996</v>
      </c>
      <c r="I22" s="87">
        <f>Flujos!J36</f>
        <v>0.44227400000000006</v>
      </c>
      <c r="J22" s="311"/>
      <c r="K22" s="311"/>
      <c r="L22" s="258"/>
      <c r="M22" s="259"/>
      <c r="N22" s="313"/>
      <c r="O22" s="138"/>
    </row>
    <row r="23" spans="1:15" ht="16" thickBot="1">
      <c r="A23" s="64"/>
      <c r="B23" s="309"/>
      <c r="C23" s="255" t="s">
        <v>150</v>
      </c>
      <c r="D23" s="307"/>
      <c r="E23" s="307"/>
      <c r="F23" s="85">
        <f>'Diagrama Fe T'!G58</f>
        <v>0</v>
      </c>
      <c r="G23" s="87">
        <f>'Diagrama Fe T'!G59</f>
        <v>0</v>
      </c>
      <c r="H23" s="308">
        <f t="shared" si="0"/>
        <v>0</v>
      </c>
      <c r="I23" s="87">
        <f>Flujos!J39</f>
        <v>0</v>
      </c>
      <c r="J23" s="311"/>
      <c r="K23" s="311"/>
      <c r="L23" s="314"/>
      <c r="M23" s="315"/>
      <c r="N23" s="316"/>
      <c r="O23" s="138"/>
    </row>
    <row r="24" spans="1:15" ht="16" hidden="1" thickBot="1">
      <c r="A24" s="64"/>
      <c r="B24" s="68"/>
      <c r="O24" s="138"/>
    </row>
    <row r="25" spans="1:15" ht="16" hidden="1" thickBot="1">
      <c r="A25" s="64"/>
      <c r="B25" s="68"/>
      <c r="O25" s="138"/>
    </row>
    <row r="26" spans="1:15" ht="16" hidden="1" thickBot="1">
      <c r="A26" s="64"/>
      <c r="B26" s="68"/>
      <c r="O26" s="138"/>
    </row>
    <row r="27" spans="1:15" ht="16" hidden="1" thickBot="1">
      <c r="A27" s="64"/>
      <c r="B27" s="68"/>
      <c r="O27" s="138"/>
    </row>
    <row r="28" spans="1:15" ht="16" thickBot="1">
      <c r="A28" s="64"/>
      <c r="B28" s="68"/>
      <c r="C28" s="262" t="s">
        <v>72</v>
      </c>
      <c r="D28" s="263"/>
      <c r="E28" s="263"/>
      <c r="F28" s="85">
        <f>SUM(F11:F23)</f>
        <v>21942.93</v>
      </c>
      <c r="G28" s="94">
        <f>+H28/F28</f>
        <v>0.45992137501145014</v>
      </c>
      <c r="H28" s="95">
        <f>SUM(H11:H23)</f>
        <v>10092.02253738</v>
      </c>
      <c r="I28" s="96"/>
      <c r="J28" s="264"/>
      <c r="K28" s="265"/>
      <c r="L28" s="97"/>
      <c r="M28" s="98"/>
      <c r="N28" s="99"/>
      <c r="O28" s="138"/>
    </row>
    <row r="29" spans="1:15" ht="16" thickBot="1">
      <c r="A29" s="64"/>
      <c r="B29" s="68"/>
      <c r="C29" s="266" t="s">
        <v>73</v>
      </c>
      <c r="D29" s="267"/>
      <c r="E29" s="267"/>
      <c r="F29" s="267"/>
      <c r="G29" s="267"/>
      <c r="H29" s="267"/>
      <c r="I29" s="268" t="s">
        <v>74</v>
      </c>
      <c r="J29" s="269"/>
      <c r="K29" s="269"/>
      <c r="L29" s="269"/>
      <c r="M29" s="269"/>
      <c r="N29" s="270"/>
      <c r="O29" s="138"/>
    </row>
    <row r="30" spans="1:15" ht="16" thickBot="1">
      <c r="A30" s="64"/>
      <c r="B30" s="68"/>
      <c r="C30" s="253" t="s">
        <v>75</v>
      </c>
      <c r="D30" s="254"/>
      <c r="E30" s="255"/>
      <c r="F30" s="100">
        <f>'Datos Extra'!B1</f>
        <v>248851</v>
      </c>
      <c r="G30" s="101">
        <f>'Datos Extra'!C1</f>
        <v>0.65590000000000004</v>
      </c>
      <c r="H30" s="100">
        <f>+F30*G30</f>
        <v>163221.37090000001</v>
      </c>
      <c r="I30" s="271" t="s">
        <v>69</v>
      </c>
      <c r="J30" s="272"/>
      <c r="K30" s="273"/>
      <c r="L30" s="102">
        <f>Utilidad!O114</f>
        <v>554962.39968000003</v>
      </c>
      <c r="M30" s="91">
        <f>Utilidad!P114</f>
        <v>0.39507435901999999</v>
      </c>
      <c r="N30" s="92">
        <f>+L30*M30</f>
        <v>219251.41433377707</v>
      </c>
      <c r="O30" s="138"/>
    </row>
    <row r="31" spans="1:15" ht="16" thickBot="1">
      <c r="A31" s="64"/>
      <c r="B31" s="68"/>
      <c r="C31" s="262" t="s">
        <v>72</v>
      </c>
      <c r="D31" s="263"/>
      <c r="E31" s="263"/>
      <c r="F31" s="103">
        <f>SUM(F29:F30)</f>
        <v>248851</v>
      </c>
      <c r="G31" s="104">
        <f>G30</f>
        <v>0.65590000000000004</v>
      </c>
      <c r="H31" s="93">
        <f>SUM(H29:H30)</f>
        <v>163221.37090000001</v>
      </c>
      <c r="I31" s="283" t="s">
        <v>72</v>
      </c>
      <c r="J31" s="284"/>
      <c r="K31" s="285"/>
      <c r="L31" s="105">
        <f>L30</f>
        <v>554962.39968000003</v>
      </c>
      <c r="M31" s="94">
        <f>M30</f>
        <v>0.39507435901999999</v>
      </c>
      <c r="N31" s="106">
        <f>N30</f>
        <v>219251.41433377707</v>
      </c>
      <c r="O31" s="138"/>
    </row>
    <row r="32" spans="1:15" ht="16" thickBot="1">
      <c r="A32" s="64"/>
      <c r="B32" s="68"/>
      <c r="C32" s="107"/>
      <c r="D32" s="107"/>
      <c r="E32" s="107"/>
      <c r="F32" s="107"/>
      <c r="G32" s="107"/>
      <c r="H32" s="107"/>
      <c r="I32" s="107"/>
      <c r="J32" s="107"/>
      <c r="K32" s="107"/>
      <c r="L32" s="108"/>
      <c r="M32" s="109"/>
      <c r="N32" s="110"/>
      <c r="O32" s="138"/>
    </row>
    <row r="33" spans="1:15" ht="16" thickBot="1">
      <c r="A33" s="64"/>
      <c r="B33" s="68"/>
      <c r="C33" s="286" t="s">
        <v>76</v>
      </c>
      <c r="D33" s="269"/>
      <c r="E33" s="287"/>
      <c r="F33" s="111" t="s">
        <v>22</v>
      </c>
      <c r="G33" s="112" t="s">
        <v>77</v>
      </c>
      <c r="H33" s="113" t="s">
        <v>78</v>
      </c>
      <c r="I33" s="114"/>
      <c r="J33" s="115"/>
      <c r="K33" s="115"/>
      <c r="L33" s="116"/>
      <c r="M33" s="115"/>
      <c r="N33" s="117"/>
      <c r="O33" s="138"/>
    </row>
    <row r="34" spans="1:15" ht="16" thickBot="1">
      <c r="A34" s="64"/>
      <c r="B34" s="68"/>
      <c r="C34" s="288" t="s">
        <v>79</v>
      </c>
      <c r="D34" s="289"/>
      <c r="E34" s="290"/>
      <c r="F34" s="118">
        <v>0</v>
      </c>
      <c r="G34" s="118">
        <v>0</v>
      </c>
      <c r="H34" s="119">
        <f>+F34-G34</f>
        <v>0</v>
      </c>
      <c r="I34" s="120"/>
      <c r="J34" s="121"/>
      <c r="K34" s="121"/>
      <c r="L34" s="122"/>
      <c r="M34" s="64"/>
      <c r="N34" s="123"/>
      <c r="O34" s="138"/>
    </row>
    <row r="35" spans="1:15" ht="16" thickBot="1">
      <c r="A35" s="64"/>
      <c r="B35" s="135"/>
      <c r="C35" s="291" t="s">
        <v>72</v>
      </c>
      <c r="D35" s="292"/>
      <c r="E35" s="292"/>
      <c r="F35" s="124">
        <f>SUM(F34:F34)</f>
        <v>0</v>
      </c>
      <c r="G35" s="125">
        <f>SUM(G34:G34)</f>
        <v>0</v>
      </c>
      <c r="H35" s="106">
        <f>SUM(H34:H34)</f>
        <v>0</v>
      </c>
      <c r="I35" s="126"/>
      <c r="J35" s="115"/>
      <c r="K35" s="115"/>
      <c r="L35" s="127"/>
      <c r="M35" s="128"/>
      <c r="N35" s="129"/>
      <c r="O35" s="137"/>
    </row>
    <row r="36" spans="1:15" ht="5" customHeight="1" thickBot="1">
      <c r="A36" s="64"/>
      <c r="B36" s="64"/>
      <c r="C36" s="130"/>
      <c r="D36" s="130"/>
      <c r="E36" s="130"/>
      <c r="F36" s="130"/>
      <c r="G36" s="130"/>
      <c r="H36" s="130"/>
      <c r="I36" s="130"/>
      <c r="J36" s="130"/>
      <c r="K36" s="130"/>
      <c r="L36" s="131"/>
      <c r="M36" s="132"/>
      <c r="N36" s="133"/>
      <c r="O36" s="64"/>
    </row>
    <row r="37" spans="1:15" ht="16" thickBot="1">
      <c r="A37" s="64"/>
      <c r="C37" s="210" t="s">
        <v>80</v>
      </c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2"/>
    </row>
    <row r="38" spans="1:15" ht="16" thickBot="1">
      <c r="A38" s="6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72"/>
    </row>
    <row r="39" spans="1:15" ht="16" thickBot="1">
      <c r="A39" s="64"/>
      <c r="C39" s="274" t="s">
        <v>81</v>
      </c>
      <c r="D39" s="293"/>
      <c r="E39" s="294"/>
      <c r="F39" s="134"/>
      <c r="G39" s="134"/>
      <c r="H39" s="274" t="s">
        <v>82</v>
      </c>
      <c r="I39" s="293"/>
      <c r="J39" s="294"/>
      <c r="K39" s="134"/>
      <c r="L39" s="274" t="s">
        <v>83</v>
      </c>
      <c r="M39" s="293"/>
      <c r="N39" s="294"/>
    </row>
    <row r="40" spans="1:15" ht="16" thickBot="1">
      <c r="A40" s="64"/>
      <c r="C40" s="275">
        <f>Utilidad!I105</f>
        <v>9.269601919459533E-2</v>
      </c>
      <c r="D40" s="302"/>
      <c r="E40" s="303"/>
      <c r="F40" s="134"/>
      <c r="G40" s="134"/>
      <c r="H40" s="276">
        <f>Utilidad!I94</f>
        <v>0.36928289336075354</v>
      </c>
      <c r="I40" s="277"/>
      <c r="J40" s="278"/>
      <c r="K40" s="134"/>
      <c r="L40" s="282">
        <f>Utilidad!I104</f>
        <v>0.50793591918373382</v>
      </c>
      <c r="M40" s="297"/>
      <c r="N40" s="298"/>
    </row>
    <row r="41" spans="1:15" ht="16" thickBot="1">
      <c r="A41" s="64"/>
      <c r="C41" s="304"/>
      <c r="D41" s="305"/>
      <c r="E41" s="306"/>
      <c r="F41" s="134"/>
      <c r="G41" s="134"/>
      <c r="H41" s="279"/>
      <c r="I41" s="280"/>
      <c r="J41" s="281"/>
      <c r="K41" s="134"/>
      <c r="L41" s="299"/>
      <c r="M41" s="300"/>
      <c r="N41" s="301"/>
    </row>
    <row r="42" spans="1:15"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</row>
    <row r="43" spans="1:15" ht="16" thickBot="1"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</row>
    <row r="44" spans="1:15" ht="16" thickBot="1"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</sheetData>
  <mergeCells count="41">
    <mergeCell ref="C40:E41"/>
    <mergeCell ref="H40:J41"/>
    <mergeCell ref="L40:N41"/>
    <mergeCell ref="H39:J39"/>
    <mergeCell ref="C39:E39"/>
    <mergeCell ref="L39:N39"/>
    <mergeCell ref="C20:E20"/>
    <mergeCell ref="C21:E21"/>
    <mergeCell ref="C23:E23"/>
    <mergeCell ref="C22:E22"/>
    <mergeCell ref="J13:K23"/>
    <mergeCell ref="C31:E31"/>
    <mergeCell ref="I31:K31"/>
    <mergeCell ref="C33:E33"/>
    <mergeCell ref="C34:E34"/>
    <mergeCell ref="C35:E35"/>
    <mergeCell ref="L13:N23"/>
    <mergeCell ref="C28:E28"/>
    <mergeCell ref="J28:K28"/>
    <mergeCell ref="C29:H29"/>
    <mergeCell ref="I29:N29"/>
    <mergeCell ref="C30:E30"/>
    <mergeCell ref="I30:K30"/>
    <mergeCell ref="C10:H10"/>
    <mergeCell ref="I10:N10"/>
    <mergeCell ref="C11:E11"/>
    <mergeCell ref="C12:E12"/>
    <mergeCell ref="C13:E13"/>
    <mergeCell ref="C14:E14"/>
    <mergeCell ref="C15:E15"/>
    <mergeCell ref="C19:E19"/>
    <mergeCell ref="C16:E16"/>
    <mergeCell ref="C17:E17"/>
    <mergeCell ref="C18:E18"/>
    <mergeCell ref="C8:E9"/>
    <mergeCell ref="J8:K9"/>
    <mergeCell ref="C3:D6"/>
    <mergeCell ref="E3:N4"/>
    <mergeCell ref="E5:J6"/>
    <mergeCell ref="K5:L6"/>
    <mergeCell ref="M5:N6"/>
  </mergeCells>
  <phoneticPr fontId="10" type="noConversion"/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Diagrama Fe T</vt:lpstr>
      <vt:lpstr>Flujos</vt:lpstr>
      <vt:lpstr>Datos Extra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Fernando</cp:lastModifiedBy>
  <dcterms:created xsi:type="dcterms:W3CDTF">2021-07-19T13:22:17Z</dcterms:created>
  <dcterms:modified xsi:type="dcterms:W3CDTF">2023-01-11T06:05:39Z</dcterms:modified>
</cp:coreProperties>
</file>