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C6A716A1-2B06-6147-AFA8-EDF09921E0E3}" xr6:coauthVersionLast="46" xr6:coauthVersionMax="46" xr10:uidLastSave="{00000000-0000-0000-0000-000000000000}"/>
  <bookViews>
    <workbookView xWindow="30000" yWindow="1240" windowWidth="27820" windowHeight="17540" tabRatio="893" activeTab="7" xr2:uid="{00000000-000D-0000-FFFF-FFFF00000000}"/>
  </bookViews>
  <sheets>
    <sheet name="Flujos" sheetId="15" r:id="rId1"/>
    <sheet name="Reporte " sheetId="7" r:id="rId2"/>
    <sheet name="Datos Extra" sheetId="14" r:id="rId3"/>
    <sheet name="Info Planta" sheetId="5" state="hidden" r:id="rId4"/>
    <sheet name="Calc Nodos" sheetId="4" state="hidden" r:id="rId5"/>
    <sheet name="Bal AL FeT" sheetId="3" state="hidden" r:id="rId6"/>
    <sheet name="Bal AL FeMag" sheetId="8" state="hidden" r:id="rId7"/>
    <sheet name="Utilidad" sheetId="13" r:id="rId8"/>
    <sheet name="Diag Bal AL FeT" sheetId="2" r:id="rId9"/>
    <sheet name="Diag ML FeT" sheetId="1" r:id="rId10"/>
    <sheet name="Bal ML FeT" sheetId="6" state="hidden" r:id="rId11"/>
    <sheet name="Bal ML FeMag" sheetId="9" state="hidden" r:id="rId12"/>
  </sheets>
  <definedNames>
    <definedName name="_xlnm.Print_Area" localSheetId="1">'Reporte '!$A$1:$G$66</definedName>
    <definedName name="solver_adj" localSheetId="6" hidden="1">'Bal AL FeMag'!$K$26:$K$42</definedName>
    <definedName name="solver_adj" localSheetId="5" hidden="1">'Bal AL FeT'!$J$26:$K$42</definedName>
    <definedName name="solver_adj" localSheetId="11" hidden="1">'Bal ML FeMag'!$K$20:$K$30</definedName>
    <definedName name="solver_adj" localSheetId="10" hidden="1">'Bal ML FeT'!$J$20:$K$30</definedName>
    <definedName name="solver_cvg" localSheetId="6" hidden="1">0.0001</definedName>
    <definedName name="solver_cvg" localSheetId="5" hidden="1">0.0001</definedName>
    <definedName name="solver_cvg" localSheetId="11" hidden="1">0.0001</definedName>
    <definedName name="solver_cvg" localSheetId="10" hidden="1">0.0001</definedName>
    <definedName name="solver_drv" localSheetId="6" hidden="1">1</definedName>
    <definedName name="solver_drv" localSheetId="5" hidden="1">1</definedName>
    <definedName name="solver_drv" localSheetId="11" hidden="1">2</definedName>
    <definedName name="solver_drv" localSheetId="10" hidden="1">2</definedName>
    <definedName name="solver_eng" localSheetId="6" hidden="1">1</definedName>
    <definedName name="solver_eng" localSheetId="5" hidden="1">1</definedName>
    <definedName name="solver_eng" localSheetId="11" hidden="1">1</definedName>
    <definedName name="solver_eng" localSheetId="10" hidden="1">1</definedName>
    <definedName name="solver_est" localSheetId="6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itr" localSheetId="6" hidden="1">2147483647</definedName>
    <definedName name="solver_itr" localSheetId="5" hidden="1">2147483647</definedName>
    <definedName name="solver_itr" localSheetId="11" hidden="1">2147483647</definedName>
    <definedName name="solver_itr" localSheetId="10" hidden="1">2147483647</definedName>
    <definedName name="solver_lhs1" localSheetId="6" hidden="1">'Bal AL FeMag'!$P$29</definedName>
    <definedName name="solver_lhs1" localSheetId="5" hidden="1">'Bal AL FeT'!$P$32</definedName>
    <definedName name="solver_lhs1" localSheetId="11" hidden="1">'Bal ML FeMag'!$R$22</definedName>
    <definedName name="solver_lhs1" localSheetId="10" hidden="1">'Bal ML FeT'!$W$21</definedName>
    <definedName name="solver_lhs10" localSheetId="6" hidden="1">'Bal AL FeMag'!$R$28</definedName>
    <definedName name="solver_lhs10" localSheetId="5" hidden="1">'Bal AL FeT'!$W$37</definedName>
    <definedName name="solver_lhs10" localSheetId="11" hidden="1">'Bal ML FeMag'!$V$22</definedName>
    <definedName name="solver_lhs10" localSheetId="10" hidden="1">'Bal ML FeT'!$R$30</definedName>
    <definedName name="solver_lhs11" localSheetId="6" hidden="1">'Bal AL FeMag'!$R$29</definedName>
    <definedName name="solver_lhs11" localSheetId="5" hidden="1">'Bal AL FeT'!$W$33</definedName>
    <definedName name="solver_lhs11" localSheetId="11" hidden="1">'Bal ML FeMag'!$V$21</definedName>
    <definedName name="solver_lhs11" localSheetId="10" hidden="1">'Bal ML FeT'!$V$20</definedName>
    <definedName name="solver_lhs12" localSheetId="6" hidden="1">'Bal AL FeMag'!$R$40</definedName>
    <definedName name="solver_lhs12" localSheetId="5" hidden="1">'Bal AL FeT'!$V$36</definedName>
    <definedName name="solver_lhs12" localSheetId="11" hidden="1">'Bal ML FeMag'!$W$19</definedName>
    <definedName name="solver_lhs12" localSheetId="10" hidden="1">'Bal ML FeT'!$V$19</definedName>
    <definedName name="solver_lhs13" localSheetId="6" hidden="1">'Bal AL FeMag'!$R$32</definedName>
    <definedName name="solver_lhs13" localSheetId="5" hidden="1">'Bal AL FeT'!$W$36</definedName>
    <definedName name="solver_lhs13" localSheetId="11" hidden="1">'Bal ML FeMag'!$V$20</definedName>
    <definedName name="solver_lhs13" localSheetId="10" hidden="1">'Bal ML FeT'!$R$25</definedName>
    <definedName name="solver_lhs14" localSheetId="6" hidden="1">'Bal AL FeMag'!$R$42</definedName>
    <definedName name="solver_lhs14" localSheetId="5" hidden="1">'Bal AL FeT'!$W$35</definedName>
    <definedName name="solver_lhs14" localSheetId="11" hidden="1">'Bal ML FeMag'!$W$20</definedName>
    <definedName name="solver_lhs14" localSheetId="10" hidden="1">'Bal ML FeT'!$R$23</definedName>
    <definedName name="solver_lhs15" localSheetId="6" hidden="1">'Bal AL FeMag'!$V$35</definedName>
    <definedName name="solver_lhs15" localSheetId="5" hidden="1">'Bal AL FeT'!$R$37</definedName>
    <definedName name="solver_lhs15" localSheetId="11" hidden="1">'Bal ML FeMag'!$R$20</definedName>
    <definedName name="solver_lhs15" localSheetId="10" hidden="1">'Bal ML FeT'!$R$21</definedName>
    <definedName name="solver_lhs16" localSheetId="6" hidden="1">'Bal AL FeMag'!$V$34</definedName>
    <definedName name="solver_lhs16" localSheetId="5" hidden="1">'Bal AL FeT'!$R$41</definedName>
    <definedName name="solver_lhs16" localSheetId="11" hidden="1">'Bal ML FeMag'!$R$29</definedName>
    <definedName name="solver_lhs16" localSheetId="10" hidden="1">'Bal ML FeT'!$R$22</definedName>
    <definedName name="solver_lhs17" localSheetId="6" hidden="1">'Bal AL FeMag'!$R$30</definedName>
    <definedName name="solver_lhs17" localSheetId="5" hidden="1">'Bal AL FeT'!$V$35</definedName>
    <definedName name="solver_lhs17" localSheetId="11" hidden="1">'Bal ML FeMag'!$R$28</definedName>
    <definedName name="solver_lhs17" localSheetId="10" hidden="1">'Bal ML FeT'!$P$30</definedName>
    <definedName name="solver_lhs18" localSheetId="6" hidden="1">'Bal AL FeMag'!$V$36</definedName>
    <definedName name="solver_lhs18" localSheetId="5" hidden="1">'Bal AL FeT'!$V$33</definedName>
    <definedName name="solver_lhs18" localSheetId="10" hidden="1">'Bal ML FeT'!$R$20</definedName>
    <definedName name="solver_lhs19" localSheetId="6" hidden="1">'Bal AL FeMag'!$V$33</definedName>
    <definedName name="solver_lhs19" localSheetId="5" hidden="1">'Bal AL FeT'!$V$34</definedName>
    <definedName name="solver_lhs19" localSheetId="10" hidden="1">'Bal ML FeT'!$P$29</definedName>
    <definedName name="solver_lhs2" localSheetId="6" hidden="1">'Bal AL FeMag'!$P$32</definedName>
    <definedName name="solver_lhs2" localSheetId="5" hidden="1">'Bal AL FeT'!$P$27</definedName>
    <definedName name="solver_lhs2" localSheetId="11" hidden="1">'Bal ML FeMag'!$R$24</definedName>
    <definedName name="solver_lhs2" localSheetId="10" hidden="1">'Bal ML FeT'!$W$20</definedName>
    <definedName name="solver_lhs20" localSheetId="6" hidden="1">'Bal AL FeMag'!$R$33</definedName>
    <definedName name="solver_lhs20" localSheetId="5" hidden="1">'Bal AL FeT'!$W$34</definedName>
    <definedName name="solver_lhs20" localSheetId="10" hidden="1">'Bal ML FeT'!$P$28</definedName>
    <definedName name="solver_lhs21" localSheetId="6" hidden="1">'Bal AL FeMag'!$P$25</definedName>
    <definedName name="solver_lhs21" localSheetId="5" hidden="1">'Bal AL FeT'!$R$42</definedName>
    <definedName name="solver_lhs21" localSheetId="10" hidden="1">'Bal ML FeT'!$P$27</definedName>
    <definedName name="solver_lhs22" localSheetId="6" hidden="1">'Bal AL FeMag'!$W$33</definedName>
    <definedName name="solver_lhs22" localSheetId="5" hidden="1">'Bal AL FeT'!$R$38</definedName>
    <definedName name="solver_lhs22" localSheetId="10" hidden="1">'Bal ML FeT'!$P$25</definedName>
    <definedName name="solver_lhs23" localSheetId="6" hidden="1">'Bal AL FeMag'!$V$37</definedName>
    <definedName name="solver_lhs23" localSheetId="5" hidden="1">'Bal AL FeT'!$R$40</definedName>
    <definedName name="solver_lhs23" localSheetId="10" hidden="1">'Bal ML FeT'!$P$24</definedName>
    <definedName name="solver_lhs24" localSheetId="6" hidden="1">'Bal AL FeMag'!$W$34</definedName>
    <definedName name="solver_lhs24" localSheetId="5" hidden="1">'Bal AL FeT'!$R$35</definedName>
    <definedName name="solver_lhs24" localSheetId="10" hidden="1">'Bal ML FeT'!$J$21</definedName>
    <definedName name="solver_lhs25" localSheetId="6" hidden="1">'Bal AL FeMag'!$W$36</definedName>
    <definedName name="solver_lhs25" localSheetId="5" hidden="1">'Bal AL FeT'!$P$39</definedName>
    <definedName name="solver_lhs25" localSheetId="10" hidden="1">'Bal ML FeT'!$K$30</definedName>
    <definedName name="solver_lhs26" localSheetId="6" hidden="1">'Bal AL FeMag'!$W$35</definedName>
    <definedName name="solver_lhs26" localSheetId="5" hidden="1">'Bal AL FeT'!$R$27</definedName>
    <definedName name="solver_lhs26" localSheetId="10" hidden="1">'Bal ML FeT'!$P$20</definedName>
    <definedName name="solver_lhs27" localSheetId="6" hidden="1">'Bal AL FeMag'!$W$37</definedName>
    <definedName name="solver_lhs27" localSheetId="5" hidden="1">'Bal AL FeT'!$R$33</definedName>
    <definedName name="solver_lhs28" localSheetId="5" hidden="1">'Bal AL FeT'!$R$28</definedName>
    <definedName name="solver_lhs29" localSheetId="5" hidden="1">'Bal AL FeT'!$R$29</definedName>
    <definedName name="solver_lhs3" localSheetId="6" hidden="1">'Bal AL FeMag'!$P$31</definedName>
    <definedName name="solver_lhs3" localSheetId="5" hidden="1">'Bal AL FeT'!$P$35</definedName>
    <definedName name="solver_lhs3" localSheetId="11" hidden="1">'Bal ML FeMag'!$R$26</definedName>
    <definedName name="solver_lhs3" localSheetId="10" hidden="1">'Bal ML FeT'!$W$22</definedName>
    <definedName name="solver_lhs30" localSheetId="5" hidden="1">'Bal AL FeT'!$P$40</definedName>
    <definedName name="solver_lhs31" localSheetId="5" hidden="1">'Bal AL FeT'!$P$36</definedName>
    <definedName name="solver_lhs32" localSheetId="5" hidden="1">'Bal AL FeT'!$P$33</definedName>
    <definedName name="solver_lhs33" localSheetId="5" hidden="1">'Bal AL FeT'!$P$29</definedName>
    <definedName name="solver_lhs34" localSheetId="5" hidden="1">'Bal AL FeT'!$P$28</definedName>
    <definedName name="solver_lhs35" localSheetId="5" hidden="1">'Bal AL FeT'!$P$31</definedName>
    <definedName name="solver_lhs4" localSheetId="6" hidden="1">'Bal AL FeMag'!$P$33</definedName>
    <definedName name="solver_lhs4" localSheetId="5" hidden="1">'Bal AL FeT'!$P$37</definedName>
    <definedName name="solver_lhs4" localSheetId="11" hidden="1">'Bal ML FeMag'!$R$27</definedName>
    <definedName name="solver_lhs4" localSheetId="10" hidden="1">'Bal ML FeT'!$W$19</definedName>
    <definedName name="solver_lhs5" localSheetId="6" hidden="1">'Bal AL FeMag'!$P$35</definedName>
    <definedName name="solver_lhs5" localSheetId="5" hidden="1">'Bal AL FeT'!$P$42</definedName>
    <definedName name="solver_lhs5" localSheetId="11" hidden="1">'Bal ML FeMag'!$R$30</definedName>
    <definedName name="solver_lhs5" localSheetId="10" hidden="1">'Bal ML FeT'!$V$22</definedName>
    <definedName name="solver_lhs6" localSheetId="6" hidden="1">'Bal AL FeMag'!$P$39</definedName>
    <definedName name="solver_lhs6" localSheetId="5" hidden="1">'Bal AL FeT'!$R$32</definedName>
    <definedName name="solver_lhs6" localSheetId="11" hidden="1">'Bal ML FeMag'!$R$23</definedName>
    <definedName name="solver_lhs6" localSheetId="10" hidden="1">'Bal ML FeT'!$P$22</definedName>
    <definedName name="solver_lhs7" localSheetId="6" hidden="1">'Bal AL FeMag'!$P$36</definedName>
    <definedName name="solver_lhs7" localSheetId="5" hidden="1">'Bal AL FeT'!$P$25</definedName>
    <definedName name="solver_lhs7" localSheetId="11" hidden="1">'Bal ML FeMag'!$W$21</definedName>
    <definedName name="solver_lhs7" localSheetId="10" hidden="1">'Bal ML FeT'!$R$26</definedName>
    <definedName name="solver_lhs8" localSheetId="6" hidden="1">'Bal AL FeMag'!$P$42</definedName>
    <definedName name="solver_lhs8" localSheetId="5" hidden="1">'Bal AL FeT'!$R$36</definedName>
    <definedName name="solver_lhs8" localSheetId="11" hidden="1">'Bal ML FeMag'!$V$19</definedName>
    <definedName name="solver_lhs8" localSheetId="10" hidden="1">'Bal ML FeT'!$R$28</definedName>
    <definedName name="solver_lhs9" localSheetId="6" hidden="1">'Bal AL FeMag'!$R$27</definedName>
    <definedName name="solver_lhs9" localSheetId="5" hidden="1">'Bal AL FeT'!$V$37</definedName>
    <definedName name="solver_lhs9" localSheetId="11" hidden="1">'Bal ML FeMag'!$W$22</definedName>
    <definedName name="solver_lhs9" localSheetId="10" hidden="1">'Bal ML FeT'!$V$21</definedName>
    <definedName name="solver_mip" localSheetId="6" hidden="1">2147483647</definedName>
    <definedName name="solver_mip" localSheetId="5" hidden="1">2147483647</definedName>
    <definedName name="solver_mip" localSheetId="11" hidden="1">2147483647</definedName>
    <definedName name="solver_mip" localSheetId="10" hidden="1">2147483647</definedName>
    <definedName name="solver_mni" localSheetId="6" hidden="1">30</definedName>
    <definedName name="solver_mni" localSheetId="5" hidden="1">30</definedName>
    <definedName name="solver_mni" localSheetId="11" hidden="1">30</definedName>
    <definedName name="solver_mni" localSheetId="10" hidden="1">30</definedName>
    <definedName name="solver_mrt" localSheetId="6" hidden="1">0.075</definedName>
    <definedName name="solver_mrt" localSheetId="5" hidden="1">0.075</definedName>
    <definedName name="solver_mrt" localSheetId="11" hidden="1">0.075</definedName>
    <definedName name="solver_mrt" localSheetId="10" hidden="1">0.075</definedName>
    <definedName name="solver_msl" localSheetId="6" hidden="1">2</definedName>
    <definedName name="solver_msl" localSheetId="5" hidden="1">2</definedName>
    <definedName name="solver_msl" localSheetId="11" hidden="1">2</definedName>
    <definedName name="solver_msl" localSheetId="10" hidden="1">2</definedName>
    <definedName name="solver_neg" localSheetId="6" hidden="1">1</definedName>
    <definedName name="solver_neg" localSheetId="5" hidden="1">1</definedName>
    <definedName name="solver_neg" localSheetId="11" hidden="1">1</definedName>
    <definedName name="solver_neg" localSheetId="10" hidden="1">1</definedName>
    <definedName name="solver_nod" localSheetId="6" hidden="1">2147483647</definedName>
    <definedName name="solver_nod" localSheetId="5" hidden="1">2147483647</definedName>
    <definedName name="solver_nod" localSheetId="11" hidden="1">2147483647</definedName>
    <definedName name="solver_nod" localSheetId="10" hidden="1">2147483647</definedName>
    <definedName name="solver_num" localSheetId="6" hidden="1">27</definedName>
    <definedName name="solver_num" localSheetId="5" hidden="1">35</definedName>
    <definedName name="solver_num" localSheetId="11" hidden="1">17</definedName>
    <definedName name="solver_num" localSheetId="10" hidden="1">26</definedName>
    <definedName name="solver_nwt" localSheetId="6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opt" localSheetId="6" hidden="1">'Bal AL FeMag'!$V$40</definedName>
    <definedName name="solver_opt" localSheetId="5" hidden="1">'Bal AL FeT'!$V$40</definedName>
    <definedName name="solver_opt" localSheetId="11" hidden="1">'Bal ML FeMag'!$V$26</definedName>
    <definedName name="solver_opt" localSheetId="10" hidden="1">'Bal ML FeT'!$V$26</definedName>
    <definedName name="solver_pre" localSheetId="6" hidden="1">0.000001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rbv" localSheetId="6" hidden="1">1</definedName>
    <definedName name="solver_rbv" localSheetId="5" hidden="1">1</definedName>
    <definedName name="solver_rbv" localSheetId="11" hidden="1">2</definedName>
    <definedName name="solver_rbv" localSheetId="10" hidden="1">2</definedName>
    <definedName name="solver_rel1" localSheetId="6" hidden="1">1</definedName>
    <definedName name="solver_rel1" localSheetId="5" hidden="1">1</definedName>
    <definedName name="solver_rel1" localSheetId="11" hidden="1">1</definedName>
    <definedName name="solver_rel1" localSheetId="10" hidden="1">2</definedName>
    <definedName name="solver_rel10" localSheetId="6" hidden="1">1</definedName>
    <definedName name="solver_rel10" localSheetId="5" hidden="1">2</definedName>
    <definedName name="solver_rel10" localSheetId="11" hidden="1">2</definedName>
    <definedName name="solver_rel10" localSheetId="10" hidden="1">1</definedName>
    <definedName name="solver_rel11" localSheetId="6" hidden="1">1</definedName>
    <definedName name="solver_rel11" localSheetId="5" hidden="1">2</definedName>
    <definedName name="solver_rel11" localSheetId="11" hidden="1">2</definedName>
    <definedName name="solver_rel11" localSheetId="10" hidden="1">2</definedName>
    <definedName name="solver_rel12" localSheetId="6" hidden="1">1</definedName>
    <definedName name="solver_rel12" localSheetId="5" hidden="1">2</definedName>
    <definedName name="solver_rel12" localSheetId="11" hidden="1">2</definedName>
    <definedName name="solver_rel12" localSheetId="10" hidden="1">2</definedName>
    <definedName name="solver_rel13" localSheetId="6" hidden="1">1</definedName>
    <definedName name="solver_rel13" localSheetId="5" hidden="1">2</definedName>
    <definedName name="solver_rel13" localSheetId="11" hidden="1">2</definedName>
    <definedName name="solver_rel13" localSheetId="10" hidden="1">1</definedName>
    <definedName name="solver_rel14" localSheetId="6" hidden="1">1</definedName>
    <definedName name="solver_rel14" localSheetId="5" hidden="1">2</definedName>
    <definedName name="solver_rel14" localSheetId="11" hidden="1">2</definedName>
    <definedName name="solver_rel14" localSheetId="10" hidden="1">1</definedName>
    <definedName name="solver_rel15" localSheetId="6" hidden="1">2</definedName>
    <definedName name="solver_rel15" localSheetId="5" hidden="1">1</definedName>
    <definedName name="solver_rel15" localSheetId="11" hidden="1">1</definedName>
    <definedName name="solver_rel15" localSheetId="10" hidden="1">1</definedName>
    <definedName name="solver_rel16" localSheetId="6" hidden="1">2</definedName>
    <definedName name="solver_rel16" localSheetId="5" hidden="1">1</definedName>
    <definedName name="solver_rel16" localSheetId="11" hidden="1">1</definedName>
    <definedName name="solver_rel16" localSheetId="10" hidden="1">1</definedName>
    <definedName name="solver_rel17" localSheetId="6" hidden="1">1</definedName>
    <definedName name="solver_rel17" localSheetId="5" hidden="1">2</definedName>
    <definedName name="solver_rel17" localSheetId="11" hidden="1">1</definedName>
    <definedName name="solver_rel17" localSheetId="10" hidden="1">1</definedName>
    <definedName name="solver_rel18" localSheetId="6" hidden="1">2</definedName>
    <definedName name="solver_rel18" localSheetId="5" hidden="1">2</definedName>
    <definedName name="solver_rel18" localSheetId="10" hidden="1">1</definedName>
    <definedName name="solver_rel19" localSheetId="6" hidden="1">2</definedName>
    <definedName name="solver_rel19" localSheetId="5" hidden="1">2</definedName>
    <definedName name="solver_rel19" localSheetId="10" hidden="1">1</definedName>
    <definedName name="solver_rel2" localSheetId="6" hidden="1">1</definedName>
    <definedName name="solver_rel2" localSheetId="5" hidden="1">1</definedName>
    <definedName name="solver_rel2" localSheetId="11" hidden="1">1</definedName>
    <definedName name="solver_rel2" localSheetId="10" hidden="1">2</definedName>
    <definedName name="solver_rel20" localSheetId="6" hidden="1">1</definedName>
    <definedName name="solver_rel20" localSheetId="5" hidden="1">2</definedName>
    <definedName name="solver_rel20" localSheetId="10" hidden="1">1</definedName>
    <definedName name="solver_rel21" localSheetId="6" hidden="1">1</definedName>
    <definedName name="solver_rel21" localSheetId="5" hidden="1">1</definedName>
    <definedName name="solver_rel21" localSheetId="10" hidden="1">1</definedName>
    <definedName name="solver_rel22" localSheetId="6" hidden="1">2</definedName>
    <definedName name="solver_rel22" localSheetId="5" hidden="1">1</definedName>
    <definedName name="solver_rel22" localSheetId="10" hidden="1">1</definedName>
    <definedName name="solver_rel23" localSheetId="6" hidden="1">2</definedName>
    <definedName name="solver_rel23" localSheetId="5" hidden="1">1</definedName>
    <definedName name="solver_rel23" localSheetId="10" hidden="1">1</definedName>
    <definedName name="solver_rel24" localSheetId="6" hidden="1">2</definedName>
    <definedName name="solver_rel24" localSheetId="5" hidden="1">1</definedName>
    <definedName name="solver_rel24" localSheetId="10" hidden="1">2</definedName>
    <definedName name="solver_rel25" localSheetId="6" hidden="1">2</definedName>
    <definedName name="solver_rel25" localSheetId="5" hidden="1">1</definedName>
    <definedName name="solver_rel25" localSheetId="10" hidden="1">2</definedName>
    <definedName name="solver_rel26" localSheetId="6" hidden="1">2</definedName>
    <definedName name="solver_rel26" localSheetId="5" hidden="1">1</definedName>
    <definedName name="solver_rel26" localSheetId="10" hidden="1">1</definedName>
    <definedName name="solver_rel27" localSheetId="6" hidden="1">2</definedName>
    <definedName name="solver_rel27" localSheetId="5" hidden="1">1</definedName>
    <definedName name="solver_rel28" localSheetId="5" hidden="1">1</definedName>
    <definedName name="solver_rel29" localSheetId="5" hidden="1">1</definedName>
    <definedName name="solver_rel3" localSheetId="6" hidden="1">1</definedName>
    <definedName name="solver_rel3" localSheetId="5" hidden="1">1</definedName>
    <definedName name="solver_rel3" localSheetId="11" hidden="1">1</definedName>
    <definedName name="solver_rel3" localSheetId="10" hidden="1">2</definedName>
    <definedName name="solver_rel30" localSheetId="5" hidden="1">1</definedName>
    <definedName name="solver_rel31" localSheetId="5" hidden="1">1</definedName>
    <definedName name="solver_rel32" localSheetId="5" hidden="1">1</definedName>
    <definedName name="solver_rel33" localSheetId="5" hidden="1">1</definedName>
    <definedName name="solver_rel34" localSheetId="5" hidden="1">1</definedName>
    <definedName name="solver_rel35" localSheetId="5" hidden="1">1</definedName>
    <definedName name="solver_rel4" localSheetId="6" hidden="1">1</definedName>
    <definedName name="solver_rel4" localSheetId="5" hidden="1">1</definedName>
    <definedName name="solver_rel4" localSheetId="11" hidden="1">1</definedName>
    <definedName name="solver_rel4" localSheetId="10" hidden="1">2</definedName>
    <definedName name="solver_rel5" localSheetId="6" hidden="1">1</definedName>
    <definedName name="solver_rel5" localSheetId="5" hidden="1">1</definedName>
    <definedName name="solver_rel5" localSheetId="11" hidden="1">1</definedName>
    <definedName name="solver_rel5" localSheetId="10" hidden="1">2</definedName>
    <definedName name="solver_rel6" localSheetId="6" hidden="1">1</definedName>
    <definedName name="solver_rel6" localSheetId="5" hidden="1">1</definedName>
    <definedName name="solver_rel6" localSheetId="11" hidden="1">1</definedName>
    <definedName name="solver_rel6" localSheetId="10" hidden="1">1</definedName>
    <definedName name="solver_rel7" localSheetId="6" hidden="1">1</definedName>
    <definedName name="solver_rel7" localSheetId="5" hidden="1">1</definedName>
    <definedName name="solver_rel7" localSheetId="11" hidden="1">2</definedName>
    <definedName name="solver_rel7" localSheetId="10" hidden="1">1</definedName>
    <definedName name="solver_rel8" localSheetId="6" hidden="1">1</definedName>
    <definedName name="solver_rel8" localSheetId="5" hidden="1">1</definedName>
    <definedName name="solver_rel8" localSheetId="11" hidden="1">2</definedName>
    <definedName name="solver_rel8" localSheetId="10" hidden="1">1</definedName>
    <definedName name="solver_rel9" localSheetId="6" hidden="1">1</definedName>
    <definedName name="solver_rel9" localSheetId="5" hidden="1">2</definedName>
    <definedName name="solver_rel9" localSheetId="11" hidden="1">2</definedName>
    <definedName name="solver_rel9" localSheetId="10" hidden="1">2</definedName>
    <definedName name="solver_rhs1" localSheetId="6" hidden="1">'Bal AL FeMag'!$Q$29</definedName>
    <definedName name="solver_rhs1" localSheetId="5" hidden="1">'Bal AL FeT'!$Q$32</definedName>
    <definedName name="solver_rhs1" localSheetId="11" hidden="1">'Bal ML FeMag'!$S$22</definedName>
    <definedName name="solver_rhs1" localSheetId="10" hidden="1">0</definedName>
    <definedName name="solver_rhs10" localSheetId="6" hidden="1">'Bal AL FeMag'!$S$28</definedName>
    <definedName name="solver_rhs10" localSheetId="5" hidden="1">0</definedName>
    <definedName name="solver_rhs10" localSheetId="11" hidden="1">0</definedName>
    <definedName name="solver_rhs10" localSheetId="10" hidden="1">'Bal ML FeT'!$S$30</definedName>
    <definedName name="solver_rhs11" localSheetId="6" hidden="1">'Bal AL FeMag'!$S$29</definedName>
    <definedName name="solver_rhs11" localSheetId="5" hidden="1">0</definedName>
    <definedName name="solver_rhs11" localSheetId="11" hidden="1">0</definedName>
    <definedName name="solver_rhs11" localSheetId="10" hidden="1">0</definedName>
    <definedName name="solver_rhs12" localSheetId="6" hidden="1">'Bal AL FeMag'!$S$40</definedName>
    <definedName name="solver_rhs12" localSheetId="5" hidden="1">0</definedName>
    <definedName name="solver_rhs12" localSheetId="11" hidden="1">0</definedName>
    <definedName name="solver_rhs12" localSheetId="10" hidden="1">0</definedName>
    <definedName name="solver_rhs13" localSheetId="6" hidden="1">'Bal AL FeMag'!$S$32</definedName>
    <definedName name="solver_rhs13" localSheetId="5" hidden="1">0</definedName>
    <definedName name="solver_rhs13" localSheetId="11" hidden="1">0</definedName>
    <definedName name="solver_rhs13" localSheetId="10" hidden="1">'Bal ML FeT'!$S$25</definedName>
    <definedName name="solver_rhs14" localSheetId="6" hidden="1">'Bal AL FeMag'!$S$42</definedName>
    <definedName name="solver_rhs14" localSheetId="5" hidden="1">0</definedName>
    <definedName name="solver_rhs14" localSheetId="11" hidden="1">0</definedName>
    <definedName name="solver_rhs14" localSheetId="10" hidden="1">'Bal ML FeT'!$S$23</definedName>
    <definedName name="solver_rhs15" localSheetId="6" hidden="1">0</definedName>
    <definedName name="solver_rhs15" localSheetId="5" hidden="1">'Bal AL FeT'!$S$37</definedName>
    <definedName name="solver_rhs15" localSheetId="11" hidden="1">'Bal ML FeMag'!$S$20</definedName>
    <definedName name="solver_rhs15" localSheetId="10" hidden="1">'Bal ML FeT'!$S$21</definedName>
    <definedName name="solver_rhs16" localSheetId="6" hidden="1">0</definedName>
    <definedName name="solver_rhs16" localSheetId="5" hidden="1">'Bal AL FeT'!$S$41</definedName>
    <definedName name="solver_rhs16" localSheetId="11" hidden="1">'Bal ML FeMag'!$S$29</definedName>
    <definedName name="solver_rhs16" localSheetId="10" hidden="1">'Bal ML FeT'!$S$22</definedName>
    <definedName name="solver_rhs17" localSheetId="6" hidden="1">'Bal AL FeMag'!$S$30</definedName>
    <definedName name="solver_rhs17" localSheetId="5" hidden="1">0</definedName>
    <definedName name="solver_rhs17" localSheetId="11" hidden="1">'Bal ML FeMag'!$S$28</definedName>
    <definedName name="solver_rhs17" localSheetId="10" hidden="1">'Bal ML FeT'!$Q$30</definedName>
    <definedName name="solver_rhs18" localSheetId="6" hidden="1">0</definedName>
    <definedName name="solver_rhs18" localSheetId="5" hidden="1">0</definedName>
    <definedName name="solver_rhs18" localSheetId="10" hidden="1">'Bal ML FeT'!$S$20</definedName>
    <definedName name="solver_rhs19" localSheetId="6" hidden="1">0</definedName>
    <definedName name="solver_rhs19" localSheetId="5" hidden="1">0</definedName>
    <definedName name="solver_rhs19" localSheetId="10" hidden="1">'Bal ML FeT'!$Q$29</definedName>
    <definedName name="solver_rhs2" localSheetId="6" hidden="1">'Bal AL FeMag'!$Q$32</definedName>
    <definedName name="solver_rhs2" localSheetId="5" hidden="1">'Bal AL FeT'!$Q$27</definedName>
    <definedName name="solver_rhs2" localSheetId="11" hidden="1">'Bal ML FeMag'!$S$24</definedName>
    <definedName name="solver_rhs2" localSheetId="10" hidden="1">0</definedName>
    <definedName name="solver_rhs20" localSheetId="6" hidden="1">'Bal AL FeMag'!$S$33</definedName>
    <definedName name="solver_rhs20" localSheetId="5" hidden="1">0</definedName>
    <definedName name="solver_rhs20" localSheetId="10" hidden="1">'Bal ML FeT'!$Q$28</definedName>
    <definedName name="solver_rhs21" localSheetId="6" hidden="1">'Bal AL FeMag'!$Q$25</definedName>
    <definedName name="solver_rhs21" localSheetId="5" hidden="1">'Bal AL FeT'!$S$42</definedName>
    <definedName name="solver_rhs21" localSheetId="10" hidden="1">'Bal ML FeT'!$Q$27</definedName>
    <definedName name="solver_rhs22" localSheetId="6" hidden="1">0</definedName>
    <definedName name="solver_rhs22" localSheetId="5" hidden="1">'Bal AL FeT'!$S$38</definedName>
    <definedName name="solver_rhs22" localSheetId="10" hidden="1">'Bal ML FeT'!$Q$25</definedName>
    <definedName name="solver_rhs23" localSheetId="6" hidden="1">0</definedName>
    <definedName name="solver_rhs23" localSheetId="5" hidden="1">'Bal AL FeT'!$S$40</definedName>
    <definedName name="solver_rhs23" localSheetId="10" hidden="1">'Bal ML FeT'!$Q$24</definedName>
    <definedName name="solver_rhs24" localSheetId="6" hidden="1">0</definedName>
    <definedName name="solver_rhs24" localSheetId="5" hidden="1">'Bal AL FeT'!$S$35</definedName>
    <definedName name="solver_rhs24" localSheetId="10" hidden="1">'Bal ML FeT'!$G$21</definedName>
    <definedName name="solver_rhs25" localSheetId="6" hidden="1">0</definedName>
    <definedName name="solver_rhs25" localSheetId="5" hidden="1">'Bal AL FeT'!$Q$39</definedName>
    <definedName name="solver_rhs25" localSheetId="10" hidden="1">'Bal ML FeT'!$K$29</definedName>
    <definedName name="solver_rhs26" localSheetId="6" hidden="1">0</definedName>
    <definedName name="solver_rhs26" localSheetId="5" hidden="1">'Bal AL FeT'!$S$27</definedName>
    <definedName name="solver_rhs26" localSheetId="10" hidden="1">'Bal ML FeT'!$Q$20</definedName>
    <definedName name="solver_rhs27" localSheetId="6" hidden="1">0</definedName>
    <definedName name="solver_rhs27" localSheetId="5" hidden="1">'Bal AL FeT'!$S$33</definedName>
    <definedName name="solver_rhs28" localSheetId="5" hidden="1">'Bal AL FeT'!$S$28</definedName>
    <definedName name="solver_rhs29" localSheetId="5" hidden="1">'Bal AL FeT'!$S$29</definedName>
    <definedName name="solver_rhs3" localSheetId="6" hidden="1">'Bal AL FeMag'!$Q$31</definedName>
    <definedName name="solver_rhs3" localSheetId="5" hidden="1">'Bal AL FeT'!$Q$35</definedName>
    <definedName name="solver_rhs3" localSheetId="11" hidden="1">'Bal ML FeMag'!$S$26</definedName>
    <definedName name="solver_rhs3" localSheetId="10" hidden="1">0</definedName>
    <definedName name="solver_rhs30" localSheetId="5" hidden="1">'Bal AL FeT'!$Q$40</definedName>
    <definedName name="solver_rhs31" localSheetId="5" hidden="1">'Bal AL FeT'!$Q$36</definedName>
    <definedName name="solver_rhs32" localSheetId="5" hidden="1">'Bal AL FeT'!$Q$33</definedName>
    <definedName name="solver_rhs33" localSheetId="5" hidden="1">'Bal AL FeT'!$Q$29</definedName>
    <definedName name="solver_rhs34" localSheetId="5" hidden="1">'Bal AL FeT'!$Q$28</definedName>
    <definedName name="solver_rhs35" localSheetId="5" hidden="1">'Bal AL FeT'!$Q$31</definedName>
    <definedName name="solver_rhs4" localSheetId="6" hidden="1">'Bal AL FeMag'!$Q$33</definedName>
    <definedName name="solver_rhs4" localSheetId="5" hidden="1">'Bal AL FeT'!$Q$37</definedName>
    <definedName name="solver_rhs4" localSheetId="11" hidden="1">'Bal ML FeMag'!$S$27</definedName>
    <definedName name="solver_rhs4" localSheetId="10" hidden="1">0</definedName>
    <definedName name="solver_rhs5" localSheetId="6" hidden="1">'Bal AL FeMag'!$Q$35</definedName>
    <definedName name="solver_rhs5" localSheetId="5" hidden="1">'Bal AL FeT'!$Q$42</definedName>
    <definedName name="solver_rhs5" localSheetId="11" hidden="1">'Bal ML FeMag'!$S$30</definedName>
    <definedName name="solver_rhs5" localSheetId="10" hidden="1">0</definedName>
    <definedName name="solver_rhs6" localSheetId="6" hidden="1">'Bal AL FeMag'!$Q$39</definedName>
    <definedName name="solver_rhs6" localSheetId="5" hidden="1">'Bal AL FeT'!$S$32</definedName>
    <definedName name="solver_rhs6" localSheetId="11" hidden="1">'Bal ML FeMag'!$S$23</definedName>
    <definedName name="solver_rhs6" localSheetId="10" hidden="1">'Bal ML FeT'!$Q$22</definedName>
    <definedName name="solver_rhs7" localSheetId="6" hidden="1">'Bal AL FeMag'!$Q$36</definedName>
    <definedName name="solver_rhs7" localSheetId="5" hidden="1">'Bal AL FeT'!$Q$25</definedName>
    <definedName name="solver_rhs7" localSheetId="11" hidden="1">0</definedName>
    <definedName name="solver_rhs7" localSheetId="10" hidden="1">'Bal ML FeT'!$S$26</definedName>
    <definedName name="solver_rhs8" localSheetId="6" hidden="1">'Bal AL FeMag'!$Q$42</definedName>
    <definedName name="solver_rhs8" localSheetId="5" hidden="1">'Bal AL FeT'!$S$36</definedName>
    <definedName name="solver_rhs8" localSheetId="11" hidden="1">0</definedName>
    <definedName name="solver_rhs8" localSheetId="10" hidden="1">'Bal ML FeT'!$S$28</definedName>
    <definedName name="solver_rhs9" localSheetId="6" hidden="1">'Bal AL FeMag'!$S$27</definedName>
    <definedName name="solver_rhs9" localSheetId="5" hidden="1">0</definedName>
    <definedName name="solver_rhs9" localSheetId="11" hidden="1">0</definedName>
    <definedName name="solver_rhs9" localSheetId="10" hidden="1">0</definedName>
    <definedName name="solver_rlx" localSheetId="6" hidden="1">2</definedName>
    <definedName name="solver_rlx" localSheetId="5" hidden="1">2</definedName>
    <definedName name="solver_rlx" localSheetId="11" hidden="1">2</definedName>
    <definedName name="solver_rlx" localSheetId="10" hidden="1">2</definedName>
    <definedName name="solver_rsd" localSheetId="6" hidden="1">0</definedName>
    <definedName name="solver_rsd" localSheetId="5" hidden="1">0</definedName>
    <definedName name="solver_rsd" localSheetId="11" hidden="1">0</definedName>
    <definedName name="solver_rsd" localSheetId="10" hidden="1">0</definedName>
    <definedName name="solver_scl" localSheetId="6" hidden="1">1</definedName>
    <definedName name="solver_scl" localSheetId="5" hidden="1">1</definedName>
    <definedName name="solver_scl" localSheetId="11" hidden="1">2</definedName>
    <definedName name="solver_scl" localSheetId="10" hidden="1">2</definedName>
    <definedName name="solver_sho" localSheetId="6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sz" localSheetId="6" hidden="1">100</definedName>
    <definedName name="solver_ssz" localSheetId="5" hidden="1">100</definedName>
    <definedName name="solver_ssz" localSheetId="11" hidden="1">100</definedName>
    <definedName name="solver_ssz" localSheetId="10" hidden="1">100</definedName>
    <definedName name="solver_tim" localSheetId="6" hidden="1">2147483647</definedName>
    <definedName name="solver_tim" localSheetId="5" hidden="1">2147483647</definedName>
    <definedName name="solver_tim" localSheetId="11" hidden="1">2147483647</definedName>
    <definedName name="solver_tim" localSheetId="10" hidden="1">2147483647</definedName>
    <definedName name="solver_tol" localSheetId="6" hidden="1">1</definedName>
    <definedName name="solver_tol" localSheetId="5" hidden="1">1</definedName>
    <definedName name="solver_tol" localSheetId="11" hidden="1">1</definedName>
    <definedName name="solver_tol" localSheetId="10" hidden="1">1</definedName>
    <definedName name="solver_typ" localSheetId="6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val" localSheetId="6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er" localSheetId="6" hidden="1">3</definedName>
    <definedName name="solver_ver" localSheetId="5" hidden="1">3</definedName>
    <definedName name="solver_ver" localSheetId="11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7" l="1"/>
  <c r="E49" i="7"/>
  <c r="F49" i="7"/>
  <c r="E48" i="7"/>
  <c r="F48" i="7"/>
  <c r="D48" i="7"/>
  <c r="L6" i="15" l="1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5" i="15"/>
  <c r="H5" i="15"/>
  <c r="I5" i="15"/>
  <c r="J5" i="15"/>
  <c r="H6" i="15"/>
  <c r="I6" i="15"/>
  <c r="J6" i="15"/>
  <c r="H7" i="15"/>
  <c r="I7" i="15"/>
  <c r="J7" i="15"/>
  <c r="H8" i="15"/>
  <c r="I8" i="15"/>
  <c r="J8" i="15"/>
  <c r="N8" i="15" s="1"/>
  <c r="H9" i="15"/>
  <c r="I9" i="15"/>
  <c r="J9" i="15"/>
  <c r="H10" i="15"/>
  <c r="I10" i="15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N16" i="15" s="1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N21" i="15" s="1"/>
  <c r="H22" i="15"/>
  <c r="I22" i="15"/>
  <c r="J22" i="15"/>
  <c r="H23" i="15"/>
  <c r="I23" i="15"/>
  <c r="J23" i="15"/>
  <c r="H24" i="15"/>
  <c r="I24" i="15"/>
  <c r="M24" i="15" s="1"/>
  <c r="R24" i="15" s="1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J4" i="15"/>
  <c r="I4" i="15"/>
  <c r="H4" i="15"/>
  <c r="C4" i="15"/>
  <c r="D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E4" i="15"/>
  <c r="H26" i="3"/>
  <c r="M4" i="15"/>
  <c r="R4" i="15" s="1"/>
  <c r="N31" i="15"/>
  <c r="N30" i="15"/>
  <c r="M30" i="15"/>
  <c r="R30" i="15" s="1"/>
  <c r="N29" i="15"/>
  <c r="M29" i="15"/>
  <c r="R29" i="15" s="1"/>
  <c r="N27" i="15"/>
  <c r="N26" i="15"/>
  <c r="M26" i="15"/>
  <c r="R26" i="15" s="1"/>
  <c r="M25" i="15"/>
  <c r="R25" i="15" s="1"/>
  <c r="N24" i="15"/>
  <c r="N23" i="15"/>
  <c r="N22" i="15"/>
  <c r="M22" i="15"/>
  <c r="R22" i="15" s="1"/>
  <c r="M21" i="15"/>
  <c r="R21" i="15" s="1"/>
  <c r="M20" i="15"/>
  <c r="R20" i="15" s="1"/>
  <c r="N19" i="15"/>
  <c r="N18" i="15"/>
  <c r="M18" i="15"/>
  <c r="R18" i="15" s="1"/>
  <c r="N17" i="15"/>
  <c r="M17" i="15"/>
  <c r="R17" i="15" s="1"/>
  <c r="M16" i="15"/>
  <c r="R16" i="15" s="1"/>
  <c r="N15" i="15"/>
  <c r="N14" i="15"/>
  <c r="M14" i="15"/>
  <c r="R14" i="15" s="1"/>
  <c r="N13" i="15"/>
  <c r="M13" i="15"/>
  <c r="R13" i="15" s="1"/>
  <c r="M12" i="15"/>
  <c r="R12" i="15" s="1"/>
  <c r="N11" i="15"/>
  <c r="N10" i="15"/>
  <c r="M10" i="15"/>
  <c r="R10" i="15" s="1"/>
  <c r="N9" i="15"/>
  <c r="M9" i="15"/>
  <c r="R9" i="15" s="1"/>
  <c r="M8" i="15"/>
  <c r="R8" i="15" s="1"/>
  <c r="N7" i="15"/>
  <c r="N6" i="15"/>
  <c r="M6" i="15"/>
  <c r="R6" i="15" s="1"/>
  <c r="N5" i="15"/>
  <c r="M5" i="15"/>
  <c r="R5" i="15" s="1"/>
  <c r="N4" i="15"/>
  <c r="L4" i="15"/>
  <c r="K21" i="9"/>
  <c r="K22" i="9"/>
  <c r="K23" i="9"/>
  <c r="K24" i="9"/>
  <c r="K25" i="9"/>
  <c r="K26" i="9"/>
  <c r="K27" i="9"/>
  <c r="K28" i="9"/>
  <c r="K29" i="9"/>
  <c r="K30" i="9"/>
  <c r="K20" i="9"/>
  <c r="K20" i="6"/>
  <c r="J21" i="9"/>
  <c r="J22" i="9"/>
  <c r="J23" i="9"/>
  <c r="J24" i="9"/>
  <c r="J25" i="9"/>
  <c r="J26" i="9"/>
  <c r="J27" i="9"/>
  <c r="J28" i="9"/>
  <c r="J29" i="9"/>
  <c r="J30" i="9"/>
  <c r="J20" i="9"/>
  <c r="J21" i="6"/>
  <c r="J22" i="6"/>
  <c r="J23" i="6"/>
  <c r="J24" i="6"/>
  <c r="J25" i="6"/>
  <c r="J26" i="6"/>
  <c r="J27" i="6"/>
  <c r="J28" i="6"/>
  <c r="J29" i="6"/>
  <c r="J30" i="6"/>
  <c r="K21" i="6"/>
  <c r="K22" i="6"/>
  <c r="K23" i="6"/>
  <c r="K24" i="6"/>
  <c r="K25" i="6"/>
  <c r="K26" i="6"/>
  <c r="K27" i="6"/>
  <c r="K28" i="6"/>
  <c r="K29" i="6"/>
  <c r="K30" i="6"/>
  <c r="J20" i="6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26" i="8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6" i="3"/>
  <c r="J27" i="3"/>
  <c r="J28" i="3"/>
  <c r="J29" i="3"/>
  <c r="J29" i="8" s="1"/>
  <c r="J30" i="3"/>
  <c r="J30" i="8" s="1"/>
  <c r="J31" i="3"/>
  <c r="J32" i="3"/>
  <c r="J33" i="3"/>
  <c r="J34" i="3"/>
  <c r="J34" i="8" s="1"/>
  <c r="J35" i="3"/>
  <c r="J36" i="3"/>
  <c r="J37" i="3"/>
  <c r="J38" i="3"/>
  <c r="J38" i="8" s="1"/>
  <c r="J39" i="3"/>
  <c r="J40" i="3"/>
  <c r="J41" i="3"/>
  <c r="J42" i="3"/>
  <c r="J42" i="8" s="1"/>
  <c r="J26" i="3"/>
  <c r="J32" i="8"/>
  <c r="J27" i="8"/>
  <c r="J28" i="8"/>
  <c r="J31" i="8"/>
  <c r="J33" i="8"/>
  <c r="J35" i="8"/>
  <c r="J36" i="8"/>
  <c r="J37" i="8"/>
  <c r="J39" i="8"/>
  <c r="J40" i="8"/>
  <c r="J41" i="8"/>
  <c r="J26" i="8"/>
  <c r="G27" i="3"/>
  <c r="H27" i="3"/>
  <c r="G28" i="3"/>
  <c r="H28" i="3"/>
  <c r="G29" i="3"/>
  <c r="A13" i="3" s="1"/>
  <c r="H29" i="3"/>
  <c r="B13" i="3" s="1"/>
  <c r="G30" i="3"/>
  <c r="H30" i="3"/>
  <c r="G31" i="3"/>
  <c r="H31" i="3"/>
  <c r="G32" i="3"/>
  <c r="H32" i="3"/>
  <c r="G33" i="3"/>
  <c r="A14" i="3" s="1"/>
  <c r="H33" i="3"/>
  <c r="B14" i="3" s="1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26" i="3"/>
  <c r="M31" i="15" l="1"/>
  <c r="R31" i="15" s="1"/>
  <c r="N28" i="15"/>
  <c r="M27" i="15"/>
  <c r="R27" i="15" s="1"/>
  <c r="M23" i="15"/>
  <c r="R23" i="15" s="1"/>
  <c r="N20" i="15"/>
  <c r="M19" i="15"/>
  <c r="R19" i="15" s="1"/>
  <c r="M15" i="15"/>
  <c r="R15" i="15" s="1"/>
  <c r="N12" i="15"/>
  <c r="M11" i="15"/>
  <c r="R11" i="15" s="1"/>
  <c r="M7" i="15"/>
  <c r="R7" i="15" s="1"/>
  <c r="M28" i="15"/>
  <c r="R28" i="15" s="1"/>
  <c r="N25" i="15"/>
  <c r="P12" i="15"/>
  <c r="Q12" i="15"/>
  <c r="P16" i="15"/>
  <c r="Q16" i="15"/>
  <c r="P20" i="15"/>
  <c r="Q20" i="15"/>
  <c r="Q24" i="15"/>
  <c r="P24" i="15"/>
  <c r="Q31" i="15"/>
  <c r="P31" i="15"/>
  <c r="Q6" i="15"/>
  <c r="P6" i="15"/>
  <c r="Q10" i="15"/>
  <c r="P10" i="15"/>
  <c r="P14" i="15"/>
  <c r="Q14" i="15"/>
  <c r="P18" i="15"/>
  <c r="Q18" i="15"/>
  <c r="Q22" i="15"/>
  <c r="P22" i="15"/>
  <c r="Q26" i="15"/>
  <c r="P26" i="15"/>
  <c r="Q30" i="15"/>
  <c r="P30" i="15"/>
  <c r="P4" i="15"/>
  <c r="Q4" i="15"/>
  <c r="Q8" i="15"/>
  <c r="P8" i="15"/>
  <c r="Q28" i="15"/>
  <c r="P28" i="15"/>
  <c r="Q7" i="15"/>
  <c r="P7" i="15"/>
  <c r="Q11" i="15"/>
  <c r="P11" i="15"/>
  <c r="Q15" i="15"/>
  <c r="P15" i="15"/>
  <c r="Q19" i="15"/>
  <c r="P19" i="15"/>
  <c r="P23" i="15"/>
  <c r="Q23" i="15"/>
  <c r="Q27" i="15"/>
  <c r="P27" i="15"/>
  <c r="Q5" i="15"/>
  <c r="P5" i="15"/>
  <c r="P9" i="15"/>
  <c r="Q9" i="15"/>
  <c r="Q13" i="15"/>
  <c r="P13" i="15"/>
  <c r="Q17" i="15"/>
  <c r="P17" i="15"/>
  <c r="Q21" i="15"/>
  <c r="P21" i="15"/>
  <c r="P25" i="15"/>
  <c r="Q25" i="15"/>
  <c r="Q29" i="15"/>
  <c r="P29" i="15"/>
  <c r="B11" i="3"/>
  <c r="A17" i="3"/>
  <c r="C21" i="3" s="1"/>
  <c r="C11" i="3" l="1"/>
  <c r="D10" i="5" l="1"/>
  <c r="D9" i="5"/>
  <c r="L9" i="5" l="1"/>
  <c r="L7" i="5"/>
  <c r="L6" i="5"/>
  <c r="L4" i="5"/>
  <c r="E45" i="7"/>
  <c r="E44" i="7"/>
  <c r="D45" i="7"/>
  <c r="D44" i="7"/>
  <c r="D42" i="7"/>
  <c r="F14" i="5" l="1"/>
  <c r="F12" i="5"/>
  <c r="I11" i="5" l="1"/>
  <c r="I7" i="5"/>
  <c r="I6" i="5"/>
  <c r="G20" i="9"/>
  <c r="H20" i="9"/>
  <c r="G21" i="9"/>
  <c r="H21" i="9"/>
  <c r="G22" i="9"/>
  <c r="G23" i="9"/>
  <c r="G24" i="9"/>
  <c r="H24" i="9"/>
  <c r="H23" i="9" s="1"/>
  <c r="G25" i="9"/>
  <c r="G26" i="9"/>
  <c r="G27" i="9"/>
  <c r="H27" i="9"/>
  <c r="H26" i="9" s="1"/>
  <c r="G28" i="9"/>
  <c r="G29" i="9"/>
  <c r="G30" i="9"/>
  <c r="F27" i="5"/>
  <c r="E27" i="5"/>
  <c r="F15" i="5"/>
  <c r="E15" i="5"/>
  <c r="G14" i="5"/>
  <c r="Q62" i="7" l="1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26" i="8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6" i="3"/>
  <c r="L16" i="5" l="1"/>
  <c r="H29" i="8" l="1"/>
  <c r="E31" i="7" l="1"/>
  <c r="F26" i="5" l="1"/>
  <c r="H30" i="9" s="1"/>
  <c r="H29" i="9" s="1"/>
  <c r="E26" i="5"/>
  <c r="G27" i="1" l="1"/>
  <c r="F27" i="1"/>
  <c r="F26" i="1"/>
  <c r="W18" i="1" s="1"/>
  <c r="J18" i="1"/>
  <c r="I18" i="1"/>
  <c r="G18" i="1"/>
  <c r="F18" i="1"/>
  <c r="D18" i="1"/>
  <c r="C18" i="1"/>
  <c r="I17" i="1"/>
  <c r="W17" i="1" s="1"/>
  <c r="F17" i="1"/>
  <c r="C17" i="1"/>
  <c r="B15" i="1"/>
  <c r="A15" i="1"/>
  <c r="A14" i="1"/>
  <c r="P17" i="1" s="1"/>
  <c r="J7" i="1"/>
  <c r="I7" i="1"/>
  <c r="G7" i="1"/>
  <c r="F7" i="1"/>
  <c r="B7" i="1"/>
  <c r="A7" i="1"/>
  <c r="I6" i="1"/>
  <c r="W16" i="1" s="1"/>
  <c r="F6" i="1"/>
  <c r="A6" i="1"/>
  <c r="L30" i="9"/>
  <c r="G28" i="1" s="1"/>
  <c r="W42" i="1" s="1"/>
  <c r="E30" i="9"/>
  <c r="L29" i="9"/>
  <c r="E29" i="9"/>
  <c r="L28" i="9"/>
  <c r="D19" i="1" s="1"/>
  <c r="E28" i="9"/>
  <c r="L27" i="9"/>
  <c r="J19" i="1" s="1"/>
  <c r="W41" i="1" s="1"/>
  <c r="E27" i="9"/>
  <c r="L26" i="9"/>
  <c r="E26" i="9"/>
  <c r="L25" i="9"/>
  <c r="G19" i="1" s="1"/>
  <c r="E25" i="9"/>
  <c r="L24" i="9"/>
  <c r="J8" i="1" s="1"/>
  <c r="W40" i="1" s="1"/>
  <c r="E24" i="9"/>
  <c r="L23" i="9"/>
  <c r="E23" i="9"/>
  <c r="L22" i="9"/>
  <c r="E22" i="9"/>
  <c r="L21" i="9"/>
  <c r="B16" i="1" s="1"/>
  <c r="P41" i="1" s="1"/>
  <c r="E21" i="9"/>
  <c r="L20" i="9"/>
  <c r="E20" i="9"/>
  <c r="L30" i="6"/>
  <c r="F28" i="1" s="1"/>
  <c r="W30" i="1" s="1"/>
  <c r="G30" i="6"/>
  <c r="F30" i="6"/>
  <c r="E30" i="6"/>
  <c r="L29" i="6"/>
  <c r="F29" i="6"/>
  <c r="E29" i="6"/>
  <c r="L28" i="6"/>
  <c r="C19" i="1" s="1"/>
  <c r="F28" i="6"/>
  <c r="E28" i="6"/>
  <c r="L27" i="6"/>
  <c r="I19" i="1" s="1"/>
  <c r="W29" i="1" s="1"/>
  <c r="H27" i="6"/>
  <c r="H26" i="6" s="1"/>
  <c r="G27" i="6"/>
  <c r="F27" i="6"/>
  <c r="E27" i="6"/>
  <c r="L26" i="6"/>
  <c r="F26" i="6"/>
  <c r="E26" i="6"/>
  <c r="L25" i="6"/>
  <c r="F19" i="1" s="1"/>
  <c r="F25" i="6"/>
  <c r="E25" i="6"/>
  <c r="L24" i="6"/>
  <c r="I8" i="1" s="1"/>
  <c r="W28" i="1" s="1"/>
  <c r="H24" i="6"/>
  <c r="G24" i="6"/>
  <c r="F24" i="6"/>
  <c r="E24" i="6"/>
  <c r="L23" i="6"/>
  <c r="F23" i="6"/>
  <c r="E23" i="6"/>
  <c r="L22" i="6"/>
  <c r="F8" i="1" s="1"/>
  <c r="F22" i="6"/>
  <c r="E22" i="6"/>
  <c r="L21" i="6"/>
  <c r="A16" i="1" s="1"/>
  <c r="P29" i="1" s="1"/>
  <c r="H21" i="6"/>
  <c r="G21" i="6"/>
  <c r="F21" i="6"/>
  <c r="E21" i="6"/>
  <c r="L20" i="6"/>
  <c r="H20" i="6"/>
  <c r="G20" i="6"/>
  <c r="F20" i="6"/>
  <c r="E20" i="6"/>
  <c r="M44" i="2"/>
  <c r="M43" i="2"/>
  <c r="M42" i="2"/>
  <c r="M41" i="2"/>
  <c r="P40" i="2"/>
  <c r="H39" i="2"/>
  <c r="E39" i="2"/>
  <c r="H38" i="2"/>
  <c r="W20" i="2" s="1"/>
  <c r="E38" i="2"/>
  <c r="H29" i="2"/>
  <c r="E29" i="2"/>
  <c r="H28" i="2"/>
  <c r="W19" i="2" s="1"/>
  <c r="E28" i="2"/>
  <c r="J20" i="2"/>
  <c r="J19" i="2"/>
  <c r="W18" i="2" s="1"/>
  <c r="F18" i="2"/>
  <c r="F17" i="2"/>
  <c r="B17" i="2"/>
  <c r="J16" i="2"/>
  <c r="B16" i="2"/>
  <c r="P17" i="2" s="1"/>
  <c r="J15" i="2"/>
  <c r="W17" i="2" s="1"/>
  <c r="B11" i="2"/>
  <c r="J10" i="2"/>
  <c r="B10" i="2"/>
  <c r="P16" i="2" s="1"/>
  <c r="J9" i="2"/>
  <c r="W16" i="2" s="1"/>
  <c r="J6" i="2"/>
  <c r="B6" i="2"/>
  <c r="J5" i="2"/>
  <c r="W15" i="2" s="1"/>
  <c r="B5" i="2"/>
  <c r="P15" i="2" s="1"/>
  <c r="G4" i="2"/>
  <c r="G3" i="2"/>
  <c r="AG25" i="8"/>
  <c r="H42" i="8"/>
  <c r="G42" i="8"/>
  <c r="E42" i="8"/>
  <c r="AG24" i="8"/>
  <c r="G41" i="8"/>
  <c r="E41" i="8"/>
  <c r="AG23" i="8"/>
  <c r="G40" i="8"/>
  <c r="E40" i="8"/>
  <c r="G39" i="8"/>
  <c r="E39" i="8"/>
  <c r="G38" i="8"/>
  <c r="E38" i="8"/>
  <c r="H37" i="8"/>
  <c r="G37" i="8"/>
  <c r="E37" i="8"/>
  <c r="G36" i="8"/>
  <c r="E36" i="8"/>
  <c r="H35" i="8"/>
  <c r="G35" i="8"/>
  <c r="E35" i="8"/>
  <c r="G34" i="8"/>
  <c r="E34" i="8"/>
  <c r="H33" i="8"/>
  <c r="G33" i="8"/>
  <c r="E33" i="8"/>
  <c r="G32" i="8"/>
  <c r="E32" i="8"/>
  <c r="H31" i="8"/>
  <c r="G31" i="8"/>
  <c r="E31" i="8"/>
  <c r="G30" i="8"/>
  <c r="E30" i="8"/>
  <c r="G29" i="8"/>
  <c r="E29" i="8"/>
  <c r="H28" i="8"/>
  <c r="G28" i="8"/>
  <c r="E28" i="8"/>
  <c r="H27" i="8"/>
  <c r="G27" i="8"/>
  <c r="E27" i="8"/>
  <c r="H26" i="8"/>
  <c r="G26" i="8"/>
  <c r="E26" i="8"/>
  <c r="AF25" i="8"/>
  <c r="AF24" i="8"/>
  <c r="AF23" i="8"/>
  <c r="H40" i="2"/>
  <c r="W33" i="2" s="1"/>
  <c r="E42" i="3"/>
  <c r="E41" i="3"/>
  <c r="E40" i="2"/>
  <c r="E40" i="3"/>
  <c r="H30" i="2"/>
  <c r="W32" i="2" s="1"/>
  <c r="E39" i="3"/>
  <c r="E38" i="3"/>
  <c r="E30" i="2"/>
  <c r="E37" i="3"/>
  <c r="J21" i="2"/>
  <c r="W31" i="2" s="1"/>
  <c r="E36" i="3"/>
  <c r="J17" i="2"/>
  <c r="W30" i="2" s="1"/>
  <c r="E35" i="3"/>
  <c r="E34" i="3"/>
  <c r="F19" i="2"/>
  <c r="E33" i="3"/>
  <c r="J11" i="2"/>
  <c r="W29" i="2" s="1"/>
  <c r="E32" i="3"/>
  <c r="E31" i="3"/>
  <c r="E30" i="3"/>
  <c r="E29" i="3"/>
  <c r="E28" i="3"/>
  <c r="B12" i="2"/>
  <c r="P29" i="2" s="1"/>
  <c r="E27" i="3"/>
  <c r="B7" i="2"/>
  <c r="P28" i="2" s="1"/>
  <c r="E26" i="3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H30" i="6"/>
  <c r="A18" i="5"/>
  <c r="L17" i="5"/>
  <c r="L18" i="5" s="1"/>
  <c r="E12" i="4"/>
  <c r="F12" i="4" s="1"/>
  <c r="G12" i="4" s="1"/>
  <c r="H12" i="4" s="1"/>
  <c r="H39" i="8"/>
  <c r="H36" i="8"/>
  <c r="H32" i="8"/>
  <c r="G11" i="5"/>
  <c r="G10" i="5"/>
  <c r="A10" i="5"/>
  <c r="G9" i="5"/>
  <c r="A9" i="5"/>
  <c r="G8" i="5"/>
  <c r="A8" i="5"/>
  <c r="G7" i="5"/>
  <c r="A7" i="5"/>
  <c r="G6" i="5"/>
  <c r="G5" i="5"/>
  <c r="G4" i="5"/>
  <c r="B3" i="5"/>
  <c r="F77" i="7"/>
  <c r="E77" i="7"/>
  <c r="D77" i="7"/>
  <c r="F76" i="7"/>
  <c r="E76" i="7"/>
  <c r="D76" i="7"/>
  <c r="F75" i="7"/>
  <c r="E75" i="7"/>
  <c r="D75" i="7"/>
  <c r="E74" i="7"/>
  <c r="D74" i="7"/>
  <c r="E73" i="7"/>
  <c r="D73" i="7"/>
  <c r="E72" i="7"/>
  <c r="D72" i="7"/>
  <c r="E71" i="7"/>
  <c r="D71" i="7"/>
  <c r="C61" i="7"/>
  <c r="C60" i="7"/>
  <c r="C59" i="7"/>
  <c r="C58" i="7"/>
  <c r="C57" i="7"/>
  <c r="C56" i="7"/>
  <c r="C55" i="7"/>
  <c r="F45" i="7"/>
  <c r="F44" i="7"/>
  <c r="F42" i="7"/>
  <c r="E42" i="7"/>
  <c r="F41" i="7"/>
  <c r="E41" i="7"/>
  <c r="D41" i="7"/>
  <c r="F40" i="7"/>
  <c r="E40" i="7"/>
  <c r="D40" i="7"/>
  <c r="C37" i="7"/>
  <c r="C36" i="7"/>
  <c r="C35" i="7"/>
  <c r="F33" i="7"/>
  <c r="E33" i="7"/>
  <c r="D33" i="7"/>
  <c r="F32" i="7"/>
  <c r="E32" i="7"/>
  <c r="D32" i="7"/>
  <c r="F31" i="7"/>
  <c r="D31" i="7"/>
  <c r="C31" i="7"/>
  <c r="C25" i="7"/>
  <c r="C22" i="7"/>
  <c r="F20" i="7"/>
  <c r="E20" i="7"/>
  <c r="D20" i="7"/>
  <c r="H22" i="7" s="1"/>
  <c r="F19" i="7"/>
  <c r="E19" i="7"/>
  <c r="D19" i="7"/>
  <c r="F17" i="7"/>
  <c r="E17" i="7"/>
  <c r="D17" i="7"/>
  <c r="H45" i="7" s="1"/>
  <c r="F16" i="7"/>
  <c r="E16" i="7"/>
  <c r="D16" i="7"/>
  <c r="S14" i="7"/>
  <c r="D11" i="7"/>
  <c r="F11" i="7" s="1"/>
  <c r="D10" i="7"/>
  <c r="H37" i="7" l="1"/>
  <c r="H23" i="7"/>
  <c r="H35" i="7"/>
  <c r="J35" i="7" s="1"/>
  <c r="I35" i="7"/>
  <c r="H44" i="7"/>
  <c r="K23" i="7"/>
  <c r="K22" i="7"/>
  <c r="F9" i="4"/>
  <c r="A26" i="9" s="1"/>
  <c r="F11" i="4"/>
  <c r="G11" i="4" s="1"/>
  <c r="H11" i="4" s="1"/>
  <c r="F10" i="4"/>
  <c r="A29" i="6" s="1"/>
  <c r="F6" i="4"/>
  <c r="A38" i="3" s="1"/>
  <c r="F8" i="4"/>
  <c r="A23" i="6" s="1"/>
  <c r="G22" i="6" s="1"/>
  <c r="F7" i="4"/>
  <c r="N44" i="2" s="1"/>
  <c r="I16" i="6"/>
  <c r="L20" i="5"/>
  <c r="F4" i="4"/>
  <c r="N41" i="2" s="1"/>
  <c r="F5" i="4"/>
  <c r="A34" i="3" s="1"/>
  <c r="B14" i="8"/>
  <c r="W43" i="1"/>
  <c r="B8" i="1"/>
  <c r="P40" i="1" s="1"/>
  <c r="P43" i="1" s="1"/>
  <c r="G8" i="1"/>
  <c r="H31" i="7"/>
  <c r="D59" i="7" s="1"/>
  <c r="O8" i="1"/>
  <c r="O7" i="1"/>
  <c r="W19" i="1"/>
  <c r="H32" i="7"/>
  <c r="D60" i="7" s="1"/>
  <c r="W31" i="1"/>
  <c r="D12" i="7"/>
  <c r="H33" i="7"/>
  <c r="D61" i="7" s="1"/>
  <c r="E11" i="7"/>
  <c r="P16" i="1"/>
  <c r="P19" i="1" s="1"/>
  <c r="A8" i="1"/>
  <c r="P28" i="1" s="1"/>
  <c r="P31" i="1" s="1"/>
  <c r="A13" i="8"/>
  <c r="H20" i="7"/>
  <c r="B11" i="8"/>
  <c r="A14" i="8"/>
  <c r="H16" i="7"/>
  <c r="E10" i="7"/>
  <c r="F10" i="7"/>
  <c r="P21" i="2"/>
  <c r="W21" i="2"/>
  <c r="J7" i="2"/>
  <c r="W28" i="2" s="1"/>
  <c r="W34" i="2" s="1"/>
  <c r="B18" i="2"/>
  <c r="P30" i="2" s="1"/>
  <c r="P34" i="2" s="1"/>
  <c r="H17" i="7"/>
  <c r="D56" i="7" s="1"/>
  <c r="G5" i="2"/>
  <c r="D18" i="7"/>
  <c r="H18" i="7" s="1"/>
  <c r="H19" i="7"/>
  <c r="D57" i="7" s="1"/>
  <c r="I37" i="7"/>
  <c r="H23" i="6"/>
  <c r="H41" i="8"/>
  <c r="H29" i="6"/>
  <c r="H38" i="8"/>
  <c r="H34" i="8"/>
  <c r="H30" i="8"/>
  <c r="H24" i="7" l="1"/>
  <c r="D26" i="9"/>
  <c r="H20" i="1" s="1"/>
  <c r="S41" i="1" s="1"/>
  <c r="H25" i="9"/>
  <c r="D55" i="7"/>
  <c r="I16" i="7"/>
  <c r="E55" i="7" s="1"/>
  <c r="N42" i="2"/>
  <c r="G10" i="4"/>
  <c r="A26" i="6"/>
  <c r="G25" i="6" s="1"/>
  <c r="A41" i="8"/>
  <c r="D41" i="8" s="1"/>
  <c r="K24" i="7"/>
  <c r="D58" i="7"/>
  <c r="I20" i="7"/>
  <c r="E58" i="7" s="1"/>
  <c r="A29" i="9"/>
  <c r="G9" i="4"/>
  <c r="G5" i="4"/>
  <c r="A38" i="8"/>
  <c r="D38" i="8" s="1"/>
  <c r="A23" i="9"/>
  <c r="A41" i="3"/>
  <c r="G7" i="4"/>
  <c r="G6" i="4"/>
  <c r="N43" i="2"/>
  <c r="A34" i="8"/>
  <c r="D34" i="8" s="1"/>
  <c r="G8" i="4"/>
  <c r="H8" i="4" s="1"/>
  <c r="A30" i="3"/>
  <c r="D30" i="3" s="1"/>
  <c r="G4" i="4"/>
  <c r="A30" i="8"/>
  <c r="D30" i="8" s="1"/>
  <c r="D29" i="6"/>
  <c r="G29" i="6"/>
  <c r="D23" i="6"/>
  <c r="G23" i="6"/>
  <c r="D38" i="3"/>
  <c r="D34" i="3"/>
  <c r="I31" i="7"/>
  <c r="E59" i="7" s="1"/>
  <c r="F12" i="7"/>
  <c r="I32" i="7"/>
  <c r="E60" i="7" s="1"/>
  <c r="E12" i="7"/>
  <c r="I33" i="7"/>
  <c r="E61" i="7" s="1"/>
  <c r="A17" i="8"/>
  <c r="C21" i="8" s="1"/>
  <c r="C11" i="8" s="1"/>
  <c r="I19" i="7"/>
  <c r="E57" i="7" s="1"/>
  <c r="J37" i="7"/>
  <c r="I17" i="7"/>
  <c r="E56" i="7" s="1"/>
  <c r="F18" i="7"/>
  <c r="E18" i="7"/>
  <c r="I18" i="7" s="1"/>
  <c r="H22" i="6"/>
  <c r="D26" i="6" l="1"/>
  <c r="G26" i="6"/>
  <c r="D29" i="9"/>
  <c r="C29" i="1" s="1"/>
  <c r="S42" i="1" s="1"/>
  <c r="H28" i="9"/>
  <c r="D23" i="9"/>
  <c r="H9" i="1" s="1"/>
  <c r="S40" i="1" s="1"/>
  <c r="H22" i="9"/>
  <c r="H9" i="4"/>
  <c r="H40" i="8"/>
  <c r="H10" i="4"/>
  <c r="H5" i="4"/>
  <c r="H25" i="6"/>
  <c r="G28" i="6"/>
  <c r="D41" i="3"/>
  <c r="H7" i="4"/>
  <c r="H6" i="4"/>
  <c r="H4" i="4"/>
  <c r="C27" i="1"/>
  <c r="S18" i="1" s="1"/>
  <c r="C28" i="1"/>
  <c r="S30" i="1" s="1"/>
  <c r="H18" i="1"/>
  <c r="S17" i="1" s="1"/>
  <c r="H19" i="1"/>
  <c r="S29" i="1" s="1"/>
  <c r="H7" i="1"/>
  <c r="S16" i="1" s="1"/>
  <c r="H8" i="1"/>
  <c r="S28" i="1" s="1"/>
  <c r="G39" i="2"/>
  <c r="S18" i="2" s="1"/>
  <c r="O44" i="2" s="1"/>
  <c r="I7" i="4" s="1"/>
  <c r="J7" i="4" s="1"/>
  <c r="P44" i="2" s="1"/>
  <c r="G40" i="2"/>
  <c r="S31" i="2" s="1"/>
  <c r="G29" i="2"/>
  <c r="S17" i="2" s="1"/>
  <c r="O43" i="2" s="1"/>
  <c r="I6" i="4" s="1"/>
  <c r="J6" i="4" s="1"/>
  <c r="P43" i="2" s="1"/>
  <c r="G30" i="2"/>
  <c r="S30" i="2" s="1"/>
  <c r="H19" i="2"/>
  <c r="S16" i="2" s="1"/>
  <c r="O42" i="2" s="1"/>
  <c r="I5" i="4" s="1"/>
  <c r="J5" i="4" s="1"/>
  <c r="P42" i="2" s="1"/>
  <c r="H20" i="2"/>
  <c r="S29" i="2" s="1"/>
  <c r="H8" i="2"/>
  <c r="S15" i="2" s="1"/>
  <c r="H9" i="2"/>
  <c r="S28" i="2" s="1"/>
  <c r="B13" i="8"/>
  <c r="S43" i="1" l="1"/>
  <c r="W45" i="1" s="1"/>
  <c r="H28" i="6"/>
  <c r="S19" i="1"/>
  <c r="W21" i="1" s="1"/>
  <c r="S31" i="1"/>
  <c r="W33" i="1" s="1"/>
  <c r="S34" i="2"/>
  <c r="W36" i="2" s="1"/>
  <c r="O41" i="2"/>
  <c r="I4" i="4" s="1"/>
  <c r="J4" i="4" s="1"/>
  <c r="P41" i="2" s="1"/>
  <c r="S21" i="2"/>
  <c r="W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E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con balance romeral</t>
        </r>
      </text>
    </comment>
    <comment ref="F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de acuerdo a ley obtenida en balance romenral calcular apuntando al mismo magnetismo
</t>
        </r>
      </text>
    </comment>
    <comment ref="N40" authorId="0" shapeId="0" xr:uid="{8FACB5ED-E076-4C9F-91F5-94A383A74D77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hacen pregranzas apartir de material AL de bronces</t>
        </r>
      </text>
    </comment>
    <comment ref="T44" authorId="0" shapeId="0" xr:uid="{6199DB8B-CE15-4FE3-8000-2FF6BEA0A7BE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mezclan mixtos hacia rom por buena ley</t>
        </r>
      </text>
    </comment>
    <comment ref="S51" authorId="0" shapeId="0" xr:uid="{5367EF98-4CFA-41DD-BD8B-1BBB4EEDC0B1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envian la mayoria de los mixtos 1 a rom por buena calidad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comparar con dato  de alimentacion chancado primario de reportabilidad distrito pleito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stock inicial del mes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remanentes del dia anterior a las 08 hrs (cubicacion)</t>
        </r>
      </text>
    </comment>
    <comment ref="D9" authorId="0" shapeId="0" xr:uid="{2BF363F7-C10E-4708-9B1B-AF4E9779E1EA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restan 8000 ton por envio de mixto 1 a rom por buena calidad
</t>
        </r>
      </text>
    </comment>
    <comment ref="K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ML Romeral</t>
        </r>
      </text>
    </comment>
    <comment ref="D15" authorId="0" shapeId="0" xr:uid="{D94ED6BC-6972-43C4-B130-12D9CDB3F1D2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adicional, se suma mov adicional de rechazos</t>
        </r>
      </text>
    </comment>
    <comment ref="L15" authorId="0" shapeId="0" xr:uid="{EA3D0729-CDFD-4FEC-BCF6-405049866866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usa 1,95 cuando es principalemnte rechazos y 2,1 cuando es mayoria mixto 1</t>
        </r>
      </text>
    </comment>
    <comment ref="D18" authorId="0" shapeId="0" xr:uid="{9BD28EC2-B78D-46D7-A622-DB81F5CE56B9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suman 3514 porque con material AL se produjo pregranzas</t>
        </r>
      </text>
    </comment>
    <comment ref="D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por diferencia de alimentacion-producciones</t>
        </r>
      </text>
    </comment>
    <comment ref="D26" authorId="0" shapeId="0" xr:uid="{6515BB74-6EA5-487A-B38D-C62C6CEEFCDF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</t>
        </r>
      </text>
    </comment>
    <comment ref="C3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O40" authorId="0" shapeId="0" xr:uid="{13076746-DA9A-4EE4-BB67-A0719214620B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<sst xmlns="http://schemas.openxmlformats.org/spreadsheetml/2006/main" count="426" uniqueCount="197">
  <si>
    <t>Recuperaciones en peso</t>
  </si>
  <si>
    <t>Balance Faena Pleito</t>
  </si>
  <si>
    <t>Fecha</t>
  </si>
  <si>
    <t>Pregranza</t>
  </si>
  <si>
    <t>Prefino</t>
  </si>
  <si>
    <t>Rechazo</t>
  </si>
  <si>
    <t>Granzas</t>
  </si>
  <si>
    <t>Finos</t>
  </si>
  <si>
    <t>Mixto 1</t>
  </si>
  <si>
    <t>Mixto 2</t>
  </si>
  <si>
    <t>Planta Pleito</t>
  </si>
  <si>
    <t>Alimentación Chancado Primario</t>
  </si>
  <si>
    <t>TM</t>
  </si>
  <si>
    <t>%FeT</t>
  </si>
  <si>
    <t>%Femag</t>
  </si>
  <si>
    <t>Alimentación Alta Ley (AL)</t>
  </si>
  <si>
    <t>Alimentación Mediana Ley (ML)</t>
  </si>
  <si>
    <t>Alimentación Total</t>
  </si>
  <si>
    <t>Producción Planta</t>
  </si>
  <si>
    <t>Alta Ley Pleito Sur</t>
  </si>
  <si>
    <t>Prec Mixto 1</t>
  </si>
  <si>
    <t>Prec Mixto 2</t>
  </si>
  <si>
    <t>Alta Ley Bronces</t>
  </si>
  <si>
    <t>Mediana Ley Especial</t>
  </si>
  <si>
    <t>Prec. Granzas</t>
  </si>
  <si>
    <t>Mediana Ley Pleito Sur</t>
  </si>
  <si>
    <t>Pre. Finos</t>
  </si>
  <si>
    <t>Mediana Ley Bronces</t>
  </si>
  <si>
    <t>Transporte</t>
  </si>
  <si>
    <t>Prec. Granzas a Romeral (ML)</t>
  </si>
  <si>
    <t>Prec. Finos a Romeral (ML)</t>
  </si>
  <si>
    <t>Finos a Romeral</t>
  </si>
  <si>
    <t>Granzas a Guayacán</t>
  </si>
  <si>
    <t>Finos a Guayacán</t>
  </si>
  <si>
    <t>Otros Movimientos</t>
  </si>
  <si>
    <t>Transporte Alta Ley a ROM</t>
  </si>
  <si>
    <t>Transporte Mediana Ley a ROM</t>
  </si>
  <si>
    <t>Comentarios</t>
  </si>
  <si>
    <t>AL</t>
  </si>
  <si>
    <t>ML</t>
  </si>
  <si>
    <t>Recuperaciones</t>
  </si>
  <si>
    <t>sept. 21</t>
  </si>
  <si>
    <t>oct. 21</t>
  </si>
  <si>
    <t>granzas</t>
  </si>
  <si>
    <t>finos</t>
  </si>
  <si>
    <t>premixto 1</t>
  </si>
  <si>
    <t>premixto 2</t>
  </si>
  <si>
    <t>Pre granzas</t>
  </si>
  <si>
    <t>Prefinos</t>
  </si>
  <si>
    <t>Rechazos</t>
  </si>
  <si>
    <t>Planta Pleito Tambor 2</t>
  </si>
  <si>
    <t>%FeM</t>
  </si>
  <si>
    <t>REMANENTES inicio periodo</t>
  </si>
  <si>
    <t>REMANENTES fin periodo</t>
  </si>
  <si>
    <t>Alta Ley</t>
  </si>
  <si>
    <t>Alimentación Alta Ley 1</t>
  </si>
  <si>
    <t>Alimentación Alta Ley 2</t>
  </si>
  <si>
    <t>Alimentación Bronces</t>
  </si>
  <si>
    <t>Producción a  Granzas</t>
  </si>
  <si>
    <t>Producción a Finos</t>
  </si>
  <si>
    <t>Pre. Granzas</t>
  </si>
  <si>
    <t>Producción  a Mixto 1</t>
  </si>
  <si>
    <t>Producción  a Mixto 2</t>
  </si>
  <si>
    <t>Transporte Granzas a Romeral</t>
  </si>
  <si>
    <t>ML Acopio</t>
  </si>
  <si>
    <t>Transporte Granzas a Puerto</t>
  </si>
  <si>
    <t>Transporte Finos a Romeral</t>
  </si>
  <si>
    <t>Transporte Finos a Puerto</t>
  </si>
  <si>
    <t>Transporte Mixto 1 a Rechazo</t>
  </si>
  <si>
    <t>Transporte Mixto 2 a Romeral</t>
  </si>
  <si>
    <t>Transporte Alta Ley a Romeral</t>
  </si>
  <si>
    <t>MEDIANA LEY</t>
  </si>
  <si>
    <t>Alim Med Ley</t>
  </si>
  <si>
    <t>Alim Bronces ML</t>
  </si>
  <si>
    <t>Alim ML desde Acopio</t>
  </si>
  <si>
    <t>Produc Prec Granzas</t>
  </si>
  <si>
    <t>Prod Prec Finos</t>
  </si>
  <si>
    <t>Produc Rechazos</t>
  </si>
  <si>
    <t>Transporte Prec  Granzas a Romeral</t>
  </si>
  <si>
    <t>Transp Prec Finos a Romeral</t>
  </si>
  <si>
    <t>Transp Rechazos a botadero</t>
  </si>
  <si>
    <t>Transp de Acopio ML a Romeral</t>
  </si>
  <si>
    <t>cub ini</t>
  </si>
  <si>
    <t>cub fin</t>
  </si>
  <si>
    <t>final - ini</t>
  </si>
  <si>
    <t>Valor del Nodo</t>
  </si>
  <si>
    <t>Cub final Balanceada</t>
  </si>
  <si>
    <t>stock Granzas</t>
  </si>
  <si>
    <t>Stock Finos</t>
  </si>
  <si>
    <t>Stock Mixto 1</t>
  </si>
  <si>
    <t>Stock Mixto 2</t>
  </si>
  <si>
    <t>stock  Prec Granzas</t>
  </si>
  <si>
    <t>Stock  Prec Finos</t>
  </si>
  <si>
    <t>Stock Rechazos</t>
  </si>
  <si>
    <t>Stock ML</t>
  </si>
  <si>
    <t>Alta Ley 1 Pleito</t>
  </si>
  <si>
    <t>Alta Ley 2 Pleito</t>
  </si>
  <si>
    <t>Alim AL Bronces</t>
  </si>
  <si>
    <t>Produc Granzas</t>
  </si>
  <si>
    <t>Delta Stock Granzas</t>
  </si>
  <si>
    <t>Produc Finos</t>
  </si>
  <si>
    <t>alim</t>
  </si>
  <si>
    <t>Delta Stock Finos</t>
  </si>
  <si>
    <t>Rechazo Mixto 1</t>
  </si>
  <si>
    <t>Delta Stock Mixto 1</t>
  </si>
  <si>
    <t>Prod T</t>
  </si>
  <si>
    <t>Rechazo Mixto 2</t>
  </si>
  <si>
    <t>Delta Stock Mixto 2</t>
  </si>
  <si>
    <t>Valor Inicial</t>
  </si>
  <si>
    <t>Valores Calculados</t>
  </si>
  <si>
    <t>Max Var Ton</t>
  </si>
  <si>
    <t>TMS</t>
  </si>
  <si>
    <t>TMF Fe</t>
  </si>
  <si>
    <t>TMSD</t>
  </si>
  <si>
    <t>%Fe T</t>
  </si>
  <si>
    <t>%FeMag</t>
  </si>
  <si>
    <t>TMF Fe Mag</t>
  </si>
  <si>
    <t>BALANCE GLOBAL MASA</t>
  </si>
  <si>
    <t>ENTRADAS</t>
  </si>
  <si>
    <t>VARIACIONES DE INVENTARIOS</t>
  </si>
  <si>
    <t>SALIDAS</t>
  </si>
  <si>
    <t>Alim Alta Ley 1</t>
  </si>
  <si>
    <t>Stock Granzas</t>
  </si>
  <si>
    <t>Alim Alta Ley 2</t>
  </si>
  <si>
    <t xml:space="preserve">Stock Finos  </t>
  </si>
  <si>
    <t>Alim AL Bornces</t>
  </si>
  <si>
    <t>Stock Prec Mixto 1</t>
  </si>
  <si>
    <t>Transporte Mixto 1 a Romeral</t>
  </si>
  <si>
    <t>TOTAL ENTRADAS</t>
  </si>
  <si>
    <t xml:space="preserve">VAR NETA </t>
  </si>
  <si>
    <t>ENTRADAS - VAR INVENTARIO - SALIDAS</t>
  </si>
  <si>
    <t>BALANCE GLOBAL FINOS</t>
  </si>
  <si>
    <t>Delta Stock S/Bal</t>
  </si>
  <si>
    <t>Deltas Stock Balanceado</t>
  </si>
  <si>
    <t>ML Pleito</t>
  </si>
  <si>
    <t>Bronces</t>
  </si>
  <si>
    <t>Delta Stock Prec Granzas</t>
  </si>
  <si>
    <t xml:space="preserve">Transporte Prec  Granzas  </t>
  </si>
  <si>
    <t>Delta Prec Finos</t>
  </si>
  <si>
    <t xml:space="preserve">Transp Prec Finos  </t>
  </si>
  <si>
    <t>Delta Stock Rechazos</t>
  </si>
  <si>
    <t>Rec P Granzas</t>
  </si>
  <si>
    <t>Rec P Finos</t>
  </si>
  <si>
    <t>ML Pleitos</t>
  </si>
  <si>
    <t>Stock Prec Granzas</t>
  </si>
  <si>
    <t xml:space="preserve">Transporte  Prec Granzas </t>
  </si>
  <si>
    <t>ML Bronces</t>
  </si>
  <si>
    <t>Stock Prec Finos</t>
  </si>
  <si>
    <t>Transporte Prec Finos</t>
  </si>
  <si>
    <t>Transporte a Botadero</t>
  </si>
  <si>
    <t>BALANCE GLOBAL FINO FeT</t>
  </si>
  <si>
    <t>BALANCE GLOBAL FINO FeMag</t>
  </si>
  <si>
    <t>Cubicaciones</t>
  </si>
  <si>
    <t>%Rp</t>
  </si>
  <si>
    <t xml:space="preserve">Prec. Mixtos 2 a Romeral </t>
  </si>
  <si>
    <t>Rechazo total</t>
  </si>
  <si>
    <t>Fet</t>
  </si>
  <si>
    <t>Fem</t>
  </si>
  <si>
    <t>Verificar con sap stock iniciales</t>
  </si>
  <si>
    <t>Produccion Total</t>
  </si>
  <si>
    <t>Stock Inicial Sap</t>
  </si>
  <si>
    <t>Material</t>
  </si>
  <si>
    <t>REMANENTES BOTADERO fin periodo</t>
  </si>
  <si>
    <t>Densidad</t>
  </si>
  <si>
    <t>Rechazo Planta (m3)</t>
  </si>
  <si>
    <t>Rechazo Planta (ton)</t>
  </si>
  <si>
    <t>Stock botadero</t>
  </si>
  <si>
    <t>Rechazo Planta (ton) balance</t>
  </si>
  <si>
    <t>Material en caminos y varios</t>
  </si>
  <si>
    <t>Mixtos</t>
  </si>
  <si>
    <t>Transporte noche 19-05</t>
  </si>
  <si>
    <t>Preconcentrados</t>
  </si>
  <si>
    <t xml:space="preserve"> </t>
  </si>
  <si>
    <t>Comprobacion</t>
  </si>
  <si>
    <t>Codigo</t>
  </si>
  <si>
    <t>Informado por Depetris</t>
  </si>
  <si>
    <t>Delta</t>
  </si>
  <si>
    <t>Preconcentrados (Mixto 2 + Pregranza + Prefino)</t>
  </si>
  <si>
    <t>%Rp Granzas</t>
  </si>
  <si>
    <t xml:space="preserve">Material </t>
  </si>
  <si>
    <t>%Rp actual</t>
  </si>
  <si>
    <t>%Rp Propuesto</t>
  </si>
  <si>
    <t>%Rm</t>
  </si>
  <si>
    <t>Transporte noche  20-09</t>
  </si>
  <si>
    <t>1. Se obtienen las siguientes recuperaciones:</t>
  </si>
  <si>
    <t>Transporte noche 13-10</t>
  </si>
  <si>
    <t>Transporte noche 27-10</t>
  </si>
  <si>
    <t>Ajuste</t>
  </si>
  <si>
    <t>2. Se consideran 5.769 ton de rechazo como movimientos adicionales  a mina.</t>
  </si>
  <si>
    <t>Mediciones</t>
  </si>
  <si>
    <t>Balance</t>
  </si>
  <si>
    <t>% Cambio relativo</t>
  </si>
  <si>
    <t>Max Var  FeT</t>
  </si>
  <si>
    <t>Max Var  FeMag</t>
  </si>
  <si>
    <t>Flujos</t>
  </si>
  <si>
    <t>Ley FeT</t>
  </si>
  <si>
    <t>Ley FeMag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</si>
</sst>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Segoe UI"/>
      <family val="2"/>
    </font>
    <font>
      <b/>
      <sz val="12"/>
      <color theme="4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1" tint="0.499984740745262"/>
      </left>
      <right/>
      <top style="thin">
        <color theme="2" tint="-0.24994659260841701"/>
      </top>
      <bottom/>
      <diagonal/>
    </border>
    <border>
      <left/>
      <right style="thin">
        <color theme="1" tint="0.499984740745262"/>
      </right>
      <top style="thin">
        <color theme="2" tint="-0.24994659260841701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268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5" borderId="5" xfId="0" applyFill="1" applyBorder="1" applyAlignment="1">
      <alignment horizontal="center"/>
    </xf>
    <xf numFmtId="3" fontId="0" fillId="6" borderId="2" xfId="0" applyNumberFormat="1" applyFill="1" applyBorder="1"/>
    <xf numFmtId="10" fontId="0" fillId="6" borderId="2" xfId="0" applyNumberFormat="1" applyFill="1" applyBorder="1"/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3" fontId="0" fillId="0" borderId="0" xfId="0" applyNumberFormat="1"/>
    <xf numFmtId="0" fontId="3" fillId="8" borderId="2" xfId="0" applyFont="1" applyFill="1" applyBorder="1"/>
    <xf numFmtId="0" fontId="1" fillId="0" borderId="11" xfId="0" applyFont="1" applyBorder="1" applyAlignment="1">
      <alignment horizontal="left"/>
    </xf>
    <xf numFmtId="3" fontId="0" fillId="0" borderId="12" xfId="0" applyNumberFormat="1" applyBorder="1"/>
    <xf numFmtId="0" fontId="1" fillId="0" borderId="11" xfId="0" applyFont="1" applyBorder="1"/>
    <xf numFmtId="0" fontId="0" fillId="9" borderId="2" xfId="0" applyFill="1" applyBorder="1"/>
    <xf numFmtId="0" fontId="1" fillId="0" borderId="9" xfId="0" applyFont="1" applyBorder="1" applyAlignment="1">
      <alignment horizontal="left"/>
    </xf>
    <xf numFmtId="3" fontId="0" fillId="0" borderId="10" xfId="0" applyNumberFormat="1" applyBorder="1"/>
    <xf numFmtId="0" fontId="1" fillId="0" borderId="9" xfId="0" applyFont="1" applyBorder="1"/>
    <xf numFmtId="0" fontId="1" fillId="0" borderId="13" xfId="0" applyFont="1" applyBorder="1" applyAlignment="1">
      <alignment horizontal="left"/>
    </xf>
    <xf numFmtId="3" fontId="0" fillId="0" borderId="14" xfId="0" applyNumberFormat="1" applyBorder="1"/>
    <xf numFmtId="0" fontId="1" fillId="6" borderId="5" xfId="0" applyFont="1" applyFill="1" applyBorder="1" applyAlignment="1">
      <alignment horizontal="right"/>
    </xf>
    <xf numFmtId="0" fontId="0" fillId="10" borderId="2" xfId="0" applyFill="1" applyBorder="1"/>
    <xf numFmtId="3" fontId="0" fillId="0" borderId="15" xfId="0" applyNumberFormat="1" applyBorder="1"/>
    <xf numFmtId="0" fontId="0" fillId="5" borderId="2" xfId="0" applyFill="1" applyBorder="1"/>
    <xf numFmtId="10" fontId="1" fillId="6" borderId="2" xfId="0" applyNumberFormat="1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7" borderId="0" xfId="0" applyFill="1"/>
    <xf numFmtId="0" fontId="1" fillId="10" borderId="9" xfId="0" applyFont="1" applyFill="1" applyBorder="1" applyAlignment="1">
      <alignment horizontal="left"/>
    </xf>
    <xf numFmtId="3" fontId="0" fillId="10" borderId="10" xfId="0" applyNumberFormat="1" applyFill="1" applyBorder="1"/>
    <xf numFmtId="0" fontId="1" fillId="10" borderId="9" xfId="0" applyFont="1" applyFill="1" applyBorder="1"/>
    <xf numFmtId="0" fontId="1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0" fillId="9" borderId="15" xfId="0" applyFill="1" applyBorder="1"/>
    <xf numFmtId="2" fontId="0" fillId="0" borderId="10" xfId="0" applyNumberFormat="1" applyBorder="1"/>
    <xf numFmtId="3" fontId="0" fillId="0" borderId="16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0" fillId="6" borderId="5" xfId="0" applyNumberFormat="1" applyFill="1" applyBorder="1"/>
    <xf numFmtId="10" fontId="0" fillId="6" borderId="19" xfId="0" applyNumberFormat="1" applyFill="1" applyBorder="1"/>
    <xf numFmtId="0" fontId="1" fillId="0" borderId="2" xfId="0" applyFont="1" applyBorder="1"/>
    <xf numFmtId="0" fontId="0" fillId="0" borderId="2" xfId="0" applyBorder="1"/>
    <xf numFmtId="3" fontId="12" fillId="0" borderId="0" xfId="0" applyNumberFormat="1" applyFont="1" applyAlignment="1">
      <alignment horizontal="right"/>
    </xf>
    <xf numFmtId="10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 indent="1"/>
    </xf>
    <xf numFmtId="0" fontId="1" fillId="0" borderId="0" xfId="0" applyFont="1"/>
    <xf numFmtId="0" fontId="0" fillId="9" borderId="20" xfId="0" applyFill="1" applyBorder="1"/>
    <xf numFmtId="0" fontId="0" fillId="9" borderId="4" xfId="0" applyFill="1" applyBorder="1"/>
    <xf numFmtId="0" fontId="0" fillId="5" borderId="4" xfId="0" applyFill="1" applyBorder="1"/>
    <xf numFmtId="0" fontId="0" fillId="10" borderId="4" xfId="0" applyFill="1" applyBorder="1"/>
    <xf numFmtId="0" fontId="0" fillId="10" borderId="21" xfId="0" applyFill="1" applyBorder="1"/>
    <xf numFmtId="0" fontId="0" fillId="0" borderId="1" xfId="0" applyBorder="1" applyAlignment="1">
      <alignment horizontal="center" vertical="center" textRotation="255"/>
    </xf>
    <xf numFmtId="0" fontId="0" fillId="10" borderId="25" xfId="0" applyFill="1" applyBorder="1"/>
    <xf numFmtId="3" fontId="0" fillId="0" borderId="26" xfId="0" applyNumberFormat="1" applyBorder="1"/>
    <xf numFmtId="0" fontId="10" fillId="0" borderId="0" xfId="0" applyFont="1"/>
    <xf numFmtId="3" fontId="0" fillId="0" borderId="2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vertical="center"/>
    </xf>
    <xf numFmtId="3" fontId="16" fillId="0" borderId="2" xfId="0" applyNumberFormat="1" applyFont="1" applyBorder="1" applyAlignment="1">
      <alignment vertical="center"/>
    </xf>
    <xf numFmtId="3" fontId="17" fillId="0" borderId="2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3" fontId="1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 wrapText="1"/>
    </xf>
    <xf numFmtId="164" fontId="18" fillId="0" borderId="16" xfId="0" applyNumberFormat="1" applyFont="1" applyBorder="1"/>
    <xf numFmtId="3" fontId="14" fillId="0" borderId="0" xfId="0" applyNumberFormat="1" applyFont="1" applyAlignment="1">
      <alignment horizontal="left"/>
    </xf>
    <xf numFmtId="0" fontId="1" fillId="13" borderId="2" xfId="0" applyFont="1" applyFill="1" applyBorder="1"/>
    <xf numFmtId="164" fontId="12" fillId="0" borderId="2" xfId="0" applyNumberFormat="1" applyFont="1" applyBorder="1" applyAlignment="1">
      <alignment horizontal="left"/>
    </xf>
    <xf numFmtId="10" fontId="0" fillId="2" borderId="0" xfId="0" applyNumberFormat="1" applyFill="1"/>
    <xf numFmtId="3" fontId="0" fillId="2" borderId="0" xfId="0" applyNumberFormat="1" applyFill="1"/>
    <xf numFmtId="10" fontId="0" fillId="0" borderId="0" xfId="0" applyNumberFormat="1"/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9" borderId="2" xfId="0" applyNumberFormat="1" applyFill="1" applyBorder="1"/>
    <xf numFmtId="164" fontId="0" fillId="9" borderId="2" xfId="0" applyNumberFormat="1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30" xfId="0" applyFill="1" applyBorder="1"/>
    <xf numFmtId="0" fontId="0" fillId="10" borderId="31" xfId="0" applyFill="1" applyBorder="1"/>
    <xf numFmtId="0" fontId="0" fillId="0" borderId="28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29" xfId="0" applyBorder="1"/>
    <xf numFmtId="0" fontId="0" fillId="0" borderId="1" xfId="0" applyBorder="1"/>
    <xf numFmtId="0" fontId="0" fillId="0" borderId="33" xfId="0" applyBorder="1"/>
    <xf numFmtId="3" fontId="0" fillId="0" borderId="33" xfId="0" applyNumberFormat="1" applyBorder="1"/>
    <xf numFmtId="0" fontId="1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0" fillId="0" borderId="34" xfId="0" applyBorder="1"/>
    <xf numFmtId="3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/>
    <xf numFmtId="3" fontId="0" fillId="0" borderId="35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0" xfId="0" applyBorder="1"/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31" xfId="0" applyBorder="1"/>
    <xf numFmtId="10" fontId="0" fillId="0" borderId="34" xfId="0" applyNumberFormat="1" applyBorder="1" applyAlignment="1">
      <alignment horizontal="center"/>
    </xf>
    <xf numFmtId="0" fontId="0" fillId="15" borderId="0" xfId="0" applyFill="1"/>
    <xf numFmtId="3" fontId="0" fillId="15" borderId="2" xfId="0" applyNumberFormat="1" applyFill="1" applyBorder="1"/>
    <xf numFmtId="10" fontId="0" fillId="15" borderId="2" xfId="0" applyNumberFormat="1" applyFill="1" applyBorder="1"/>
    <xf numFmtId="164" fontId="21" fillId="0" borderId="26" xfId="0" applyNumberFormat="1" applyFont="1" applyBorder="1"/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18" fillId="0" borderId="2" xfId="0" applyNumberFormat="1" applyFont="1" applyBorder="1"/>
    <xf numFmtId="17" fontId="0" fillId="0" borderId="0" xfId="0" applyNumberFormat="1"/>
    <xf numFmtId="14" fontId="0" fillId="0" borderId="0" xfId="0" applyNumberFormat="1"/>
    <xf numFmtId="0" fontId="0" fillId="0" borderId="51" xfId="0" applyBorder="1" applyAlignment="1">
      <alignment vertical="top" wrapText="1"/>
    </xf>
    <xf numFmtId="0" fontId="0" fillId="0" borderId="52" xfId="0" applyBorder="1" applyAlignment="1">
      <alignment vertical="top" wrapText="1"/>
    </xf>
    <xf numFmtId="3" fontId="0" fillId="3" borderId="2" xfId="0" applyNumberFormat="1" applyFill="1" applyBorder="1"/>
    <xf numFmtId="164" fontId="18" fillId="3" borderId="2" xfId="0" applyNumberFormat="1" applyFont="1" applyFill="1" applyBorder="1"/>
    <xf numFmtId="164" fontId="0" fillId="3" borderId="2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3" fontId="0" fillId="0" borderId="30" xfId="0" applyNumberFormat="1" applyBorder="1"/>
    <xf numFmtId="10" fontId="0" fillId="0" borderId="39" xfId="2" applyNumberFormat="1" applyFont="1" applyBorder="1"/>
    <xf numFmtId="10" fontId="0" fillId="0" borderId="31" xfId="2" applyNumberFormat="1" applyFont="1" applyBorder="1"/>
    <xf numFmtId="0" fontId="1" fillId="3" borderId="55" xfId="0" applyFont="1" applyFill="1" applyBorder="1" applyAlignment="1">
      <alignment horizontal="left"/>
    </xf>
    <xf numFmtId="0" fontId="0" fillId="3" borderId="45" xfId="0" applyFill="1" applyBorder="1"/>
    <xf numFmtId="3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/>
    <xf numFmtId="4" fontId="0" fillId="0" borderId="0" xfId="0" applyNumberFormat="1"/>
    <xf numFmtId="3" fontId="22" fillId="0" borderId="0" xfId="0" applyNumberFormat="1" applyFont="1"/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6" xfId="0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1" fillId="0" borderId="56" xfId="0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22" xfId="0" applyBorder="1"/>
    <xf numFmtId="3" fontId="0" fillId="0" borderId="24" xfId="0" applyNumberFormat="1" applyBorder="1"/>
    <xf numFmtId="2" fontId="0" fillId="0" borderId="0" xfId="0" applyNumberFormat="1" applyAlignment="1">
      <alignment horizontal="center" vertical="center"/>
    </xf>
    <xf numFmtId="9" fontId="0" fillId="0" borderId="0" xfId="2" applyFont="1" applyFill="1" applyBorder="1"/>
    <xf numFmtId="0" fontId="0" fillId="0" borderId="56" xfId="0" applyBorder="1"/>
    <xf numFmtId="3" fontId="0" fillId="0" borderId="56" xfId="0" applyNumberFormat="1" applyBorder="1"/>
    <xf numFmtId="0" fontId="0" fillId="16" borderId="0" xfId="0" applyFill="1"/>
    <xf numFmtId="3" fontId="0" fillId="16" borderId="0" xfId="0" applyNumberFormat="1" applyFill="1"/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0" fillId="0" borderId="56" xfId="0" applyBorder="1" applyAlignment="1">
      <alignment horizontal="center"/>
    </xf>
    <xf numFmtId="3" fontId="18" fillId="0" borderId="2" xfId="0" applyNumberFormat="1" applyFont="1" applyBorder="1"/>
    <xf numFmtId="0" fontId="0" fillId="3" borderId="2" xfId="0" applyFill="1" applyBorder="1"/>
    <xf numFmtId="0" fontId="0" fillId="17" borderId="2" xfId="0" applyFill="1" applyBorder="1"/>
    <xf numFmtId="0" fontId="2" fillId="11" borderId="2" xfId="0" applyFont="1" applyFill="1" applyBorder="1"/>
    <xf numFmtId="0" fontId="2" fillId="12" borderId="2" xfId="0" applyFont="1" applyFill="1" applyBorder="1" applyAlignment="1">
      <alignment wrapText="1"/>
    </xf>
    <xf numFmtId="0" fontId="2" fillId="18" borderId="2" xfId="0" applyFont="1" applyFill="1" applyBorder="1"/>
    <xf numFmtId="0" fontId="16" fillId="3" borderId="2" xfId="1" applyFont="1" applyFill="1" applyBorder="1" applyAlignment="1">
      <alignment horizontal="center"/>
    </xf>
    <xf numFmtId="10" fontId="2" fillId="13" borderId="2" xfId="0" applyNumberFormat="1" applyFont="1" applyFill="1" applyBorder="1"/>
    <xf numFmtId="3" fontId="16" fillId="0" borderId="2" xfId="0" applyNumberFormat="1" applyFont="1" applyBorder="1"/>
    <xf numFmtId="10" fontId="16" fillId="0" borderId="2" xfId="0" applyNumberFormat="1" applyFont="1" applyBorder="1"/>
    <xf numFmtId="164" fontId="16" fillId="0" borderId="2" xfId="0" applyNumberFormat="1" applyFont="1" applyBorder="1"/>
    <xf numFmtId="10" fontId="23" fillId="0" borderId="0" xfId="0" applyNumberFormat="1" applyFont="1"/>
    <xf numFmtId="0" fontId="0" fillId="0" borderId="0" xfId="0" applyFill="1"/>
    <xf numFmtId="3" fontId="0" fillId="0" borderId="0" xfId="0" applyNumberFormat="1" applyFill="1"/>
    <xf numFmtId="0" fontId="0" fillId="7" borderId="3" xfId="0" applyFill="1" applyBorder="1" applyAlignment="1">
      <alignment horizontal="center"/>
    </xf>
    <xf numFmtId="3" fontId="0" fillId="0" borderId="3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9" fillId="0" borderId="0" xfId="1" applyFill="1" applyBorder="1" applyAlignment="1">
      <alignment horizontal="center"/>
    </xf>
    <xf numFmtId="10" fontId="1" fillId="0" borderId="0" xfId="0" applyNumberFormat="1" applyFont="1" applyFill="1" applyBorder="1"/>
    <xf numFmtId="10" fontId="11" fillId="0" borderId="0" xfId="0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9" fillId="0" borderId="0" xfId="1" applyBorder="1" applyAlignment="1">
      <alignment horizontal="center"/>
    </xf>
    <xf numFmtId="3" fontId="0" fillId="0" borderId="0" xfId="0" applyNumberFormat="1" applyBorder="1"/>
    <xf numFmtId="9" fontId="0" fillId="0" borderId="0" xfId="0" applyNumberFormat="1" applyBorder="1"/>
    <xf numFmtId="0" fontId="0" fillId="19" borderId="2" xfId="0" applyFill="1" applyBorder="1"/>
    <xf numFmtId="0" fontId="7" fillId="0" borderId="0" xfId="0" applyFont="1" applyFill="1"/>
    <xf numFmtId="0" fontId="0" fillId="0" borderId="0" xfId="0" applyFill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/>
    <xf numFmtId="3" fontId="16" fillId="0" borderId="0" xfId="0" applyNumberFormat="1" applyFont="1"/>
    <xf numFmtId="10" fontId="16" fillId="0" borderId="0" xfId="0" applyNumberFormat="1" applyFont="1"/>
    <xf numFmtId="164" fontId="16" fillId="0" borderId="0" xfId="0" applyNumberFormat="1" applyFont="1"/>
    <xf numFmtId="0" fontId="2" fillId="0" borderId="0" xfId="0" applyFont="1" applyAlignment="1">
      <alignment wrapText="1"/>
    </xf>
    <xf numFmtId="0" fontId="2" fillId="18" borderId="2" xfId="0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 wrapText="1"/>
    </xf>
    <xf numFmtId="0" fontId="2" fillId="3" borderId="57" xfId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20" fillId="14" borderId="0" xfId="0" applyFont="1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19" fillId="14" borderId="34" xfId="0" applyFont="1" applyFill="1" applyBorder="1" applyAlignment="1">
      <alignment horizontal="center"/>
    </xf>
    <xf numFmtId="0" fontId="1" fillId="0" borderId="36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0" fillId="0" borderId="49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9" fillId="14" borderId="46" xfId="0" applyFont="1" applyFill="1" applyBorder="1" applyAlignment="1">
      <alignment horizontal="center"/>
    </xf>
    <xf numFmtId="0" fontId="19" fillId="14" borderId="47" xfId="0" applyFont="1" applyFill="1" applyBorder="1" applyAlignment="1">
      <alignment horizontal="center"/>
    </xf>
    <xf numFmtId="0" fontId="19" fillId="14" borderId="48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textRotation="255"/>
    </xf>
    <xf numFmtId="0" fontId="8" fillId="0" borderId="22" xfId="0" applyFont="1" applyBorder="1" applyAlignment="1">
      <alignment horizontal="center" vertical="center" textRotation="255"/>
    </xf>
    <xf numFmtId="0" fontId="8" fillId="0" borderId="23" xfId="0" applyFont="1" applyBorder="1" applyAlignment="1">
      <alignment horizontal="center" vertical="center" textRotation="255"/>
    </xf>
    <xf numFmtId="0" fontId="8" fillId="0" borderId="24" xfId="0" applyFont="1" applyBorder="1" applyAlignment="1">
      <alignment horizontal="center" vertical="center" textRotation="255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indent="1"/>
    </xf>
    <xf numFmtId="0" fontId="2" fillId="9" borderId="2" xfId="0" applyFont="1" applyFill="1" applyBorder="1" applyAlignment="1">
      <alignment horizontal="left" vertical="center" indent="3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left" vertical="center" indent="1"/>
    </xf>
    <xf numFmtId="0" fontId="2" fillId="10" borderId="2" xfId="0" applyFont="1" applyFill="1" applyBorder="1" applyAlignment="1">
      <alignment horizontal="left" vertical="center" indent="3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Recuperaciones en Peso Pleito (%Rp)</a:t>
            </a:r>
          </a:p>
        </c:rich>
      </c:tx>
      <c:layout>
        <c:manualLayout>
          <c:xMode val="edge"/>
          <c:yMode val="edge"/>
          <c:x val="0.26523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'!$C$75</c:f>
              <c:strCache>
                <c:ptCount val="1"/>
                <c:pt idx="0">
                  <c:v>Pre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'!$D$75:$I$75</c:f>
              <c:numCache>
                <c:formatCode>0.0</c:formatCode>
                <c:ptCount val="6"/>
                <c:pt idx="0">
                  <c:v>46.798148845719204</c:v>
                </c:pt>
                <c:pt idx="1">
                  <c:v>39.50013108450581</c:v>
                </c:pt>
                <c:pt idx="2">
                  <c:v>40.718653153530447</c:v>
                </c:pt>
                <c:pt idx="3">
                  <c:v>41.73</c:v>
                </c:pt>
                <c:pt idx="4">
                  <c:v>49.6</c:v>
                </c:pt>
                <c:pt idx="5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953-A91E-DB05DAAC7632}"/>
            </c:ext>
          </c:extLst>
        </c:ser>
        <c:ser>
          <c:idx val="1"/>
          <c:order val="1"/>
          <c:tx>
            <c:strRef>
              <c:f>'Reporte '!$C$76</c:f>
              <c:strCache>
                <c:ptCount val="1"/>
                <c:pt idx="0">
                  <c:v>Prefinos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'!$D$76:$I$76</c:f>
              <c:numCache>
                <c:formatCode>0.0</c:formatCode>
                <c:ptCount val="6"/>
                <c:pt idx="0">
                  <c:v>17.816014637033849</c:v>
                </c:pt>
                <c:pt idx="1">
                  <c:v>22.882111334440268</c:v>
                </c:pt>
                <c:pt idx="2">
                  <c:v>20.963229751235446</c:v>
                </c:pt>
                <c:pt idx="3">
                  <c:v>19.88</c:v>
                </c:pt>
                <c:pt idx="4">
                  <c:v>24.4</c:v>
                </c:pt>
                <c:pt idx="5" formatCode="General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F-4953-A91E-DB05DAAC7632}"/>
            </c:ext>
          </c:extLst>
        </c:ser>
        <c:ser>
          <c:idx val="2"/>
          <c:order val="2"/>
          <c:tx>
            <c:strRef>
              <c:f>'Reporte '!$C$77</c:f>
              <c:strCache>
                <c:ptCount val="1"/>
                <c:pt idx="0">
                  <c:v>Rechazos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'!$D$77:$I$77</c:f>
              <c:numCache>
                <c:formatCode>0.0</c:formatCode>
                <c:ptCount val="6"/>
                <c:pt idx="0">
                  <c:v>35.384491201635903</c:v>
                </c:pt>
                <c:pt idx="1">
                  <c:v>37.616009787643101</c:v>
                </c:pt>
                <c:pt idx="2">
                  <c:v>38.318117095234108</c:v>
                </c:pt>
                <c:pt idx="3">
                  <c:v>38.39</c:v>
                </c:pt>
                <c:pt idx="4">
                  <c:v>26</c:v>
                </c:pt>
                <c:pt idx="5" formatCode="General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F-4953-A91E-DB05DAAC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95791"/>
        <c:axId val="1269993295"/>
      </c:lineChart>
      <c:catAx>
        <c:axId val="12699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3295"/>
        <c:crosses val="autoZero"/>
        <c:auto val="1"/>
        <c:lblAlgn val="ctr"/>
        <c:lblOffset val="100"/>
        <c:noMultiLvlLbl val="0"/>
      </c:catAx>
      <c:valAx>
        <c:axId val="1269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'!$X$36</c:f>
              <c:strCache>
                <c:ptCount val="1"/>
                <c:pt idx="0">
                  <c:v>%Rp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'Reporte '!$W$37:$W$42</c:f>
              <c:numCache>
                <c:formatCode>m/d/yy</c:formatCode>
                <c:ptCount val="6"/>
                <c:pt idx="0">
                  <c:v>44725</c:v>
                </c:pt>
                <c:pt idx="1">
                  <c:v>44731</c:v>
                </c:pt>
                <c:pt idx="2">
                  <c:v>44742</c:v>
                </c:pt>
                <c:pt idx="3">
                  <c:v>44755</c:v>
                </c:pt>
                <c:pt idx="4">
                  <c:v>44773</c:v>
                </c:pt>
                <c:pt idx="5">
                  <c:v>44789</c:v>
                </c:pt>
              </c:numCache>
            </c:numRef>
          </c:cat>
          <c:val>
            <c:numRef>
              <c:f>'Reporte '!$X$37:$X$42</c:f>
              <c:numCache>
                <c:formatCode>0.0</c:formatCode>
                <c:ptCount val="6"/>
                <c:pt idx="0">
                  <c:v>23.202422604974736</c:v>
                </c:pt>
                <c:pt idx="1">
                  <c:v>28.95605755460387</c:v>
                </c:pt>
                <c:pt idx="2">
                  <c:v>31.81119552601232</c:v>
                </c:pt>
                <c:pt idx="3" formatCode="General">
                  <c:v>33.090909090909086</c:v>
                </c:pt>
                <c:pt idx="4" formatCode="General">
                  <c:v>29.311530250289223</c:v>
                </c:pt>
                <c:pt idx="5" formatCode="General">
                  <c:v>36.897265505739803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C78-ACBD-CC87E17A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567439"/>
        <c:axId val="1118561199"/>
      </c:lineChart>
      <c:catAx>
        <c:axId val="11185674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1199"/>
        <c:crosses val="autoZero"/>
        <c:auto val="0"/>
        <c:lblAlgn val="ctr"/>
        <c:lblOffset val="100"/>
        <c:noMultiLvlLbl val="0"/>
      </c:catAx>
      <c:valAx>
        <c:axId val="111856119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</xdr:row>
      <xdr:rowOff>180975</xdr:rowOff>
    </xdr:from>
    <xdr:to>
      <xdr:col>2</xdr:col>
      <xdr:colOff>1200150</xdr:colOff>
      <xdr:row>4</xdr:row>
      <xdr:rowOff>148884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381000"/>
          <a:ext cx="1247775" cy="529884"/>
        </a:xfrm>
        <a:prstGeom prst="rect">
          <a:avLst/>
        </a:prstGeom>
      </xdr:spPr>
    </xdr:pic>
    <xdr:clientData/>
  </xdr:twoCellAnchor>
  <xdr:twoCellAnchor>
    <xdr:from>
      <xdr:col>2</xdr:col>
      <xdr:colOff>761998</xdr:colOff>
      <xdr:row>78</xdr:row>
      <xdr:rowOff>7761</xdr:rowOff>
    </xdr:from>
    <xdr:to>
      <xdr:col>6</xdr:col>
      <xdr:colOff>416276</xdr:colOff>
      <xdr:row>92</xdr:row>
      <xdr:rowOff>182739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363140</xdr:colOff>
      <xdr:row>44</xdr:row>
      <xdr:rowOff>110728</xdr:rowOff>
    </xdr:from>
    <xdr:to>
      <xdr:col>27</xdr:col>
      <xdr:colOff>363140</xdr:colOff>
      <xdr:row>59</xdr:row>
      <xdr:rowOff>115491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C0B901-740F-972A-2AA1-5CF61B07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107156</xdr:colOff>
      <xdr:row>14</xdr:row>
      <xdr:rowOff>166686</xdr:rowOff>
    </xdr:from>
    <xdr:to>
      <xdr:col>9</xdr:col>
      <xdr:colOff>517592</xdr:colOff>
      <xdr:row>30</xdr:row>
      <xdr:rowOff>101968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EB26BA5-56E2-ED3D-58C9-5378081FD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012280"/>
          <a:ext cx="4089467" cy="3173782"/>
        </a:xfrm>
        <a:prstGeom prst="rect">
          <a:avLst/>
        </a:prstGeom>
      </xdr:spPr>
    </xdr:pic>
    <xdr:clientData/>
  </xdr:twoCellAnchor>
  <xdr:twoCellAnchor editAs="oneCell">
    <xdr:from>
      <xdr:col>17</xdr:col>
      <xdr:colOff>178594</xdr:colOff>
      <xdr:row>0</xdr:row>
      <xdr:rowOff>95250</xdr:rowOff>
    </xdr:from>
    <xdr:to>
      <xdr:col>22</xdr:col>
      <xdr:colOff>654308</xdr:colOff>
      <xdr:row>17</xdr:row>
      <xdr:rowOff>104345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2EE450-4560-5067-0571-BB85B59B3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0" y="95250"/>
          <a:ext cx="4285714" cy="34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</xdr:colOff>
      <xdr:row>18</xdr:row>
      <xdr:rowOff>71437</xdr:rowOff>
    </xdr:from>
    <xdr:to>
      <xdr:col>22</xdr:col>
      <xdr:colOff>761231</xdr:colOff>
      <xdr:row>34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484CE2-CB97-8D38-7868-A94382750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47718" y="3679031"/>
          <a:ext cx="3785419" cy="3333750"/>
        </a:xfrm>
        <a:prstGeom prst="rect">
          <a:avLst/>
        </a:prstGeom>
      </xdr:spPr>
    </xdr:pic>
    <xdr:clientData/>
  </xdr:twoCellAnchor>
  <xdr:twoCellAnchor editAs="oneCell">
    <xdr:from>
      <xdr:col>13</xdr:col>
      <xdr:colOff>678658</xdr:colOff>
      <xdr:row>18</xdr:row>
      <xdr:rowOff>166686</xdr:rowOff>
    </xdr:from>
    <xdr:to>
      <xdr:col>17</xdr:col>
      <xdr:colOff>649598</xdr:colOff>
      <xdr:row>38</xdr:row>
      <xdr:rowOff>4275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8F20E-2E7C-A6AA-703D-C6132CC02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5314" y="3774280"/>
          <a:ext cx="3876190" cy="38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0</xdr:row>
      <xdr:rowOff>83345</xdr:rowOff>
    </xdr:from>
    <xdr:to>
      <xdr:col>16</xdr:col>
      <xdr:colOff>0</xdr:colOff>
      <xdr:row>18</xdr:row>
      <xdr:rowOff>185545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7FAE5B-1A50-A96B-F306-C5E8B853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4626" y="83345"/>
          <a:ext cx="3940968" cy="3709794"/>
        </a:xfrm>
        <a:prstGeom prst="rect">
          <a:avLst/>
        </a:prstGeom>
      </xdr:spPr>
    </xdr:pic>
    <xdr:clientData/>
  </xdr:twoCellAnchor>
  <xdr:twoCellAnchor editAs="oneCell">
    <xdr:from>
      <xdr:col>8</xdr:col>
      <xdr:colOff>773907</xdr:colOff>
      <xdr:row>22</xdr:row>
      <xdr:rowOff>83344</xdr:rowOff>
    </xdr:from>
    <xdr:to>
      <xdr:col>13</xdr:col>
      <xdr:colOff>496966</xdr:colOff>
      <xdr:row>27</xdr:row>
      <xdr:rowOff>118938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CF884A-CEEF-6095-7A8E-A3BCC372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29813" y="4452938"/>
          <a:ext cx="5723809" cy="10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833438</xdr:colOff>
      <xdr:row>27</xdr:row>
      <xdr:rowOff>178594</xdr:rowOff>
    </xdr:from>
    <xdr:to>
      <xdr:col>12</xdr:col>
      <xdr:colOff>92386</xdr:colOff>
      <xdr:row>33</xdr:row>
      <xdr:rowOff>99855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76E86-31EC-0F6B-CA08-C754382B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9344" y="5512594"/>
          <a:ext cx="3866667" cy="1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6</xdr:row>
      <xdr:rowOff>31750</xdr:rowOff>
    </xdr:from>
    <xdr:to>
      <xdr:col>4</xdr:col>
      <xdr:colOff>692150</xdr:colOff>
      <xdr:row>9</xdr:row>
      <xdr:rowOff>31750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501900" y="396875"/>
          <a:ext cx="1238250" cy="5476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ctr"/>
          <a:r>
            <a:rPr lang="es-CL" sz="1100"/>
            <a:t>T2</a:t>
          </a:r>
        </a:p>
        <a:p>
          <a:pPr algn="l"/>
          <a:endParaRPr lang="es-CL" sz="1100"/>
        </a:p>
      </xdr:txBody>
    </xdr:sp>
    <xdr:clientData/>
  </xdr:twoCellAnchor>
  <xdr:twoCellAnchor>
    <xdr:from>
      <xdr:col>1</xdr:col>
      <xdr:colOff>727364</xdr:colOff>
      <xdr:row>7</xdr:row>
      <xdr:rowOff>124114</xdr:rowOff>
    </xdr:from>
    <xdr:to>
      <xdr:col>3</xdr:col>
      <xdr:colOff>215900</xdr:colOff>
      <xdr:row>9</xdr:row>
      <xdr:rowOff>127000</xdr:rowOff>
    </xdr:to>
    <xdr:cxnSp macro="">
      <xdr:nvCxnSpPr>
        <xdr:cNvPr id="3" name="Conector angula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endCxn id="2" idx="1"/>
        </xdr:cNvCxnSpPr>
      </xdr:nvCxnSpPr>
      <xdr:spPr>
        <a:xfrm flipV="1">
          <a:off x="1489364" y="1417205"/>
          <a:ext cx="1012536" cy="372340"/>
        </a:xfrm>
        <a:prstGeom prst="bentConnector3">
          <a:avLst>
            <a:gd name="adj1" fmla="val 648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137617</xdr:colOff>
      <xdr:row>3</xdr:row>
      <xdr:rowOff>92365</xdr:rowOff>
    </xdr:from>
    <xdr:to>
      <xdr:col>1</xdr:col>
      <xdr:colOff>213591</xdr:colOff>
      <xdr:row>5</xdr:row>
      <xdr:rowOff>140907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37617" y="646547"/>
          <a:ext cx="837974" cy="417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L" sz="1100">
              <a:solidFill>
                <a:schemeClr val="dk1"/>
              </a:solidFill>
              <a:latin typeface="+mn-lt"/>
              <a:ea typeface="+mn-ea"/>
              <a:cs typeface="+mn-cs"/>
            </a:rPr>
            <a:t>Alta Ley 1 </a:t>
          </a:r>
        </a:p>
      </xdr:txBody>
    </xdr:sp>
    <xdr:clientData/>
  </xdr:twoCellAnchor>
  <xdr:twoCellAnchor>
    <xdr:from>
      <xdr:col>5</xdr:col>
      <xdr:colOff>470920</xdr:colOff>
      <xdr:row>25</xdr:row>
      <xdr:rowOff>96043</xdr:rowOff>
    </xdr:from>
    <xdr:to>
      <xdr:col>6</xdr:col>
      <xdr:colOff>102620</xdr:colOff>
      <xdr:row>27</xdr:row>
      <xdr:rowOff>102393</xdr:rowOff>
    </xdr:to>
    <xdr:sp macro="" textlink="">
      <xdr:nvSpPr>
        <xdr:cNvPr id="8" name="Triángulo isóscele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280920" y="299890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698500</xdr:colOff>
      <xdr:row>4</xdr:row>
      <xdr:rowOff>123825</xdr:rowOff>
    </xdr:from>
    <xdr:to>
      <xdr:col>7</xdr:col>
      <xdr:colOff>330200</xdr:colOff>
      <xdr:row>6</xdr:row>
      <xdr:rowOff>130175</xdr:rowOff>
    </xdr:to>
    <xdr:sp macro="" textlink="">
      <xdr:nvSpPr>
        <xdr:cNvPr id="10" name="Triángulo isóscele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270500" y="123825"/>
          <a:ext cx="393700" cy="3746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43657</xdr:colOff>
      <xdr:row>15</xdr:row>
      <xdr:rowOff>36512</xdr:rowOff>
    </xdr:from>
    <xdr:to>
      <xdr:col>7</xdr:col>
      <xdr:colOff>437357</xdr:colOff>
      <xdr:row>17</xdr:row>
      <xdr:rowOff>50800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377657" y="1669369"/>
          <a:ext cx="393700" cy="37714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94117</xdr:colOff>
      <xdr:row>6</xdr:row>
      <xdr:rowOff>94001</xdr:rowOff>
    </xdr:from>
    <xdr:to>
      <xdr:col>6</xdr:col>
      <xdr:colOff>734786</xdr:colOff>
      <xdr:row>9</xdr:row>
      <xdr:rowOff>99784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666117" y="1182572"/>
          <a:ext cx="640669" cy="55006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Granzas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734786</xdr:colOff>
      <xdr:row>13</xdr:row>
      <xdr:rowOff>9072</xdr:rowOff>
    </xdr:from>
    <xdr:to>
      <xdr:col>7</xdr:col>
      <xdr:colOff>226786</xdr:colOff>
      <xdr:row>15</xdr:row>
      <xdr:rowOff>136072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544786" y="2367643"/>
          <a:ext cx="1016000" cy="48985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Finos</a:t>
          </a:r>
        </a:p>
        <a:p>
          <a:pPr algn="ctr"/>
          <a:r>
            <a:rPr lang="es-CL" sz="1100" baseline="0">
              <a:solidFill>
                <a:schemeClr val="accent6"/>
              </a:solidFill>
            </a:rPr>
            <a:t> o Sinter Feed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40707</xdr:colOff>
      <xdr:row>35</xdr:row>
      <xdr:rowOff>114415</xdr:rowOff>
    </xdr:from>
    <xdr:to>
      <xdr:col>5</xdr:col>
      <xdr:colOff>694758</xdr:colOff>
      <xdr:row>37</xdr:row>
      <xdr:rowOff>6465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088707" y="4650129"/>
          <a:ext cx="1416051" cy="25490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2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692150</xdr:colOff>
      <xdr:row>7</xdr:row>
      <xdr:rowOff>122464</xdr:rowOff>
    </xdr:from>
    <xdr:to>
      <xdr:col>7</xdr:col>
      <xdr:colOff>27214</xdr:colOff>
      <xdr:row>16</xdr:row>
      <xdr:rowOff>72571</xdr:rowOff>
    </xdr:to>
    <xdr:cxnSp macro="">
      <xdr:nvCxnSpPr>
        <xdr:cNvPr id="23" name="Conector angular 3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stCxn id="2" idx="3"/>
        </xdr:cNvCxnSpPr>
      </xdr:nvCxnSpPr>
      <xdr:spPr>
        <a:xfrm>
          <a:off x="3740150" y="666750"/>
          <a:ext cx="1621064" cy="158296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692150</xdr:colOff>
      <xdr:row>5</xdr:row>
      <xdr:rowOff>127000</xdr:rowOff>
    </xdr:from>
    <xdr:to>
      <xdr:col>7</xdr:col>
      <xdr:colOff>34925</xdr:colOff>
      <xdr:row>7</xdr:row>
      <xdr:rowOff>123825</xdr:rowOff>
    </xdr:to>
    <xdr:cxnSp macro="">
      <xdr:nvCxnSpPr>
        <xdr:cNvPr id="24" name="Conector angular 3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stCxn id="2" idx="3"/>
          <a:endCxn id="10" idx="1"/>
        </xdr:cNvCxnSpPr>
      </xdr:nvCxnSpPr>
      <xdr:spPr>
        <a:xfrm flipV="1">
          <a:off x="3740150" y="311150"/>
          <a:ext cx="1628775" cy="3651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73025</xdr:colOff>
      <xdr:row>9</xdr:row>
      <xdr:rowOff>31750</xdr:rowOff>
    </xdr:from>
    <xdr:to>
      <xdr:col>5</xdr:col>
      <xdr:colOff>569345</xdr:colOff>
      <xdr:row>26</xdr:row>
      <xdr:rowOff>99218</xdr:rowOff>
    </xdr:to>
    <xdr:cxnSp macro="">
      <xdr:nvCxnSpPr>
        <xdr:cNvPr id="25" name="Conector angular 3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stCxn id="2" idx="2"/>
          <a:endCxn id="8" idx="1"/>
        </xdr:cNvCxnSpPr>
      </xdr:nvCxnSpPr>
      <xdr:spPr>
        <a:xfrm rot="16200000" flipH="1">
          <a:off x="2174308" y="1885610"/>
          <a:ext cx="3151754" cy="125832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508000</xdr:colOff>
      <xdr:row>5</xdr:row>
      <xdr:rowOff>133350</xdr:rowOff>
    </xdr:to>
    <xdr:cxnSp macro="">
      <xdr:nvCxnSpPr>
        <xdr:cNvPr id="28" name="Conector angular 50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stCxn id="10" idx="5"/>
        </xdr:cNvCxnSpPr>
      </xdr:nvCxnSpPr>
      <xdr:spPr>
        <a:xfrm>
          <a:off x="5565775" y="311150"/>
          <a:ext cx="1038225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338932</xdr:colOff>
      <xdr:row>15</xdr:row>
      <xdr:rowOff>36286</xdr:rowOff>
    </xdr:from>
    <xdr:to>
      <xdr:col>9</xdr:col>
      <xdr:colOff>244929</xdr:colOff>
      <xdr:row>16</xdr:row>
      <xdr:rowOff>43656</xdr:rowOff>
    </xdr:to>
    <xdr:cxnSp macro="">
      <xdr:nvCxnSpPr>
        <xdr:cNvPr id="29" name="Conector angular 5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stCxn id="11" idx="5"/>
        </xdr:cNvCxnSpPr>
      </xdr:nvCxnSpPr>
      <xdr:spPr>
        <a:xfrm flipV="1">
          <a:off x="5672932" y="1669143"/>
          <a:ext cx="1429997" cy="1887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4195</xdr:colOff>
      <xdr:row>26</xdr:row>
      <xdr:rowOff>99218</xdr:rowOff>
    </xdr:from>
    <xdr:to>
      <xdr:col>7</xdr:col>
      <xdr:colOff>480785</xdr:colOff>
      <xdr:row>26</xdr:row>
      <xdr:rowOff>99785</xdr:rowOff>
    </xdr:to>
    <xdr:cxnSp macro="">
      <xdr:nvCxnSpPr>
        <xdr:cNvPr id="30" name="Conector angular 5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stCxn id="8" idx="5"/>
        </xdr:cNvCxnSpPr>
      </xdr:nvCxnSpPr>
      <xdr:spPr>
        <a:xfrm>
          <a:off x="4576195" y="3183504"/>
          <a:ext cx="1238590" cy="56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70077</xdr:colOff>
      <xdr:row>23</xdr:row>
      <xdr:rowOff>37875</xdr:rowOff>
    </xdr:from>
    <xdr:to>
      <xdr:col>7</xdr:col>
      <xdr:colOff>535215</xdr:colOff>
      <xdr:row>26</xdr:row>
      <xdr:rowOff>163286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4642077" y="2940732"/>
          <a:ext cx="1227138" cy="66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Rechazo</a:t>
          </a:r>
        </a:p>
        <a:p>
          <a:endParaRPr lang="es-CL" sz="1100"/>
        </a:p>
      </xdr:txBody>
    </xdr:sp>
    <xdr:clientData/>
  </xdr:twoCellAnchor>
  <xdr:twoCellAnchor>
    <xdr:from>
      <xdr:col>10</xdr:col>
      <xdr:colOff>180861</xdr:colOff>
      <xdr:row>3</xdr:row>
      <xdr:rowOff>174623</xdr:rowOff>
    </xdr:from>
    <xdr:to>
      <xdr:col>11</xdr:col>
      <xdr:colOff>508001</xdr:colOff>
      <xdr:row>7</xdr:row>
      <xdr:rowOff>54428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800861" y="900337"/>
          <a:ext cx="1089140" cy="605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489857</xdr:colOff>
      <xdr:row>9</xdr:row>
      <xdr:rowOff>27213</xdr:rowOff>
    </xdr:to>
    <xdr:cxnSp macro="">
      <xdr:nvCxnSpPr>
        <xdr:cNvPr id="35" name="Conector angular 5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stCxn id="10" idx="5"/>
        </xdr:cNvCxnSpPr>
      </xdr:nvCxnSpPr>
      <xdr:spPr>
        <a:xfrm>
          <a:off x="5565775" y="1034143"/>
          <a:ext cx="1020082" cy="6259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318858</xdr:colOff>
      <xdr:row>7</xdr:row>
      <xdr:rowOff>170882</xdr:rowOff>
    </xdr:from>
    <xdr:to>
      <xdr:col>11</xdr:col>
      <xdr:colOff>634999</xdr:colOff>
      <xdr:row>10</xdr:row>
      <xdr:rowOff>81643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938858" y="1440882"/>
          <a:ext cx="1078141" cy="455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462643</xdr:colOff>
      <xdr:row>16</xdr:row>
      <xdr:rowOff>154214</xdr:rowOff>
    </xdr:from>
    <xdr:to>
      <xdr:col>9</xdr:col>
      <xdr:colOff>154218</xdr:colOff>
      <xdr:row>19</xdr:row>
      <xdr:rowOff>136074</xdr:rowOff>
    </xdr:to>
    <xdr:cxnSp macro="">
      <xdr:nvCxnSpPr>
        <xdr:cNvPr id="37" name="Conector angular 6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>
          <a:off x="5796643" y="3075214"/>
          <a:ext cx="1215575" cy="5805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757463</xdr:colOff>
      <xdr:row>19</xdr:row>
      <xdr:rowOff>93658</xdr:rowOff>
    </xdr:from>
    <xdr:to>
      <xdr:col>9</xdr:col>
      <xdr:colOff>172357</xdr:colOff>
      <xdr:row>22</xdr:row>
      <xdr:rowOff>1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091463" y="2452229"/>
          <a:ext cx="938894" cy="450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314211</xdr:colOff>
      <xdr:row>13</xdr:row>
      <xdr:rowOff>14966</xdr:rowOff>
    </xdr:from>
    <xdr:to>
      <xdr:col>9</xdr:col>
      <xdr:colOff>290287</xdr:colOff>
      <xdr:row>14</xdr:row>
      <xdr:rowOff>136071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5648211" y="1284966"/>
          <a:ext cx="1500076" cy="3025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4</xdr:col>
      <xdr:colOff>73026</xdr:colOff>
      <xdr:row>9</xdr:row>
      <xdr:rowOff>31749</xdr:rowOff>
    </xdr:from>
    <xdr:to>
      <xdr:col>5</xdr:col>
      <xdr:colOff>606992</xdr:colOff>
      <xdr:row>36</xdr:row>
      <xdr:rowOff>140381</xdr:rowOff>
    </xdr:to>
    <xdr:cxnSp macro="">
      <xdr:nvCxnSpPr>
        <xdr:cNvPr id="40" name="Conector angular 33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" idx="2"/>
          <a:endCxn id="41" idx="1"/>
        </xdr:cNvCxnSpPr>
      </xdr:nvCxnSpPr>
      <xdr:spPr>
        <a:xfrm rot="16200000" flipH="1">
          <a:off x="1265407" y="2794511"/>
          <a:ext cx="5007203" cy="129596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508566</xdr:colOff>
      <xdr:row>35</xdr:row>
      <xdr:rowOff>137206</xdr:rowOff>
    </xdr:from>
    <xdr:to>
      <xdr:col>6</xdr:col>
      <xdr:colOff>140266</xdr:colOff>
      <xdr:row>37</xdr:row>
      <xdr:rowOff>143556</xdr:rowOff>
    </xdr:to>
    <xdr:sp macro="" textlink="">
      <xdr:nvSpPr>
        <xdr:cNvPr id="41" name="Triángulo isósceles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4318566" y="467292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65199</xdr:colOff>
      <xdr:row>24</xdr:row>
      <xdr:rowOff>141174</xdr:rowOff>
    </xdr:from>
    <xdr:to>
      <xdr:col>5</xdr:col>
      <xdr:colOff>719250</xdr:colOff>
      <xdr:row>26</xdr:row>
      <xdr:rowOff>42295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3113199" y="3225460"/>
          <a:ext cx="1416051" cy="26397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1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41841</xdr:colOff>
      <xdr:row>36</xdr:row>
      <xdr:rowOff>136071</xdr:rowOff>
    </xdr:from>
    <xdr:to>
      <xdr:col>7</xdr:col>
      <xdr:colOff>408214</xdr:colOff>
      <xdr:row>36</xdr:row>
      <xdr:rowOff>140381</xdr:rowOff>
    </xdr:to>
    <xdr:cxnSp macro="">
      <xdr:nvCxnSpPr>
        <xdr:cNvPr id="43" name="Conector angular 5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5"/>
        </xdr:cNvCxnSpPr>
      </xdr:nvCxnSpPr>
      <xdr:spPr>
        <a:xfrm flipV="1">
          <a:off x="4613841" y="4853214"/>
          <a:ext cx="1128373" cy="431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34</xdr:row>
      <xdr:rowOff>66900</xdr:rowOff>
    </xdr:from>
    <xdr:to>
      <xdr:col>8</xdr:col>
      <xdr:colOff>719137</xdr:colOff>
      <xdr:row>36</xdr:row>
      <xdr:rowOff>178140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5016500" y="6416900"/>
          <a:ext cx="1798637" cy="474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1</xdr:col>
      <xdr:colOff>115455</xdr:colOff>
      <xdr:row>7</xdr:row>
      <xdr:rowOff>124114</xdr:rowOff>
    </xdr:from>
    <xdr:to>
      <xdr:col>3</xdr:col>
      <xdr:colOff>215900</xdr:colOff>
      <xdr:row>16</xdr:row>
      <xdr:rowOff>0</xdr:rowOff>
    </xdr:to>
    <xdr:cxnSp macro="">
      <xdr:nvCxnSpPr>
        <xdr:cNvPr id="63" name="Conector angular 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>
          <a:endCxn id="2" idx="1"/>
        </xdr:cNvCxnSpPr>
      </xdr:nvCxnSpPr>
      <xdr:spPr>
        <a:xfrm flipV="1">
          <a:off x="877455" y="1417205"/>
          <a:ext cx="1624445" cy="1538431"/>
        </a:xfrm>
        <a:prstGeom prst="bentConnector3">
          <a:avLst>
            <a:gd name="adj1" fmla="val 791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265545</xdr:colOff>
      <xdr:row>4</xdr:row>
      <xdr:rowOff>92364</xdr:rowOff>
    </xdr:from>
    <xdr:to>
      <xdr:col>3</xdr:col>
      <xdr:colOff>215900</xdr:colOff>
      <xdr:row>7</xdr:row>
      <xdr:rowOff>124114</xdr:rowOff>
    </xdr:to>
    <xdr:cxnSp macro="">
      <xdr:nvCxnSpPr>
        <xdr:cNvPr id="67" name="Conector angular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>
          <a:endCxn id="2" idx="1"/>
        </xdr:cNvCxnSpPr>
      </xdr:nvCxnSpPr>
      <xdr:spPr>
        <a:xfrm>
          <a:off x="1789545" y="831273"/>
          <a:ext cx="712355" cy="5859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136897</xdr:colOff>
      <xdr:row>14</xdr:row>
      <xdr:rowOff>157462</xdr:rowOff>
    </xdr:from>
    <xdr:to>
      <xdr:col>1</xdr:col>
      <xdr:colOff>11546</xdr:colOff>
      <xdr:row>17</xdr:row>
      <xdr:rowOff>159161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36897" y="2743644"/>
          <a:ext cx="636649" cy="555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Bronces</a:t>
          </a:r>
          <a:endParaRPr lang="es-CL" sz="1100"/>
        </a:p>
      </xdr:txBody>
    </xdr:sp>
    <xdr:clientData/>
  </xdr:twoCellAnchor>
  <xdr:twoCellAnchor>
    <xdr:from>
      <xdr:col>0</xdr:col>
      <xdr:colOff>209468</xdr:colOff>
      <xdr:row>8</xdr:row>
      <xdr:rowOff>83902</xdr:rowOff>
    </xdr:from>
    <xdr:to>
      <xdr:col>1</xdr:col>
      <xdr:colOff>262081</xdr:colOff>
      <xdr:row>10</xdr:row>
      <xdr:rowOff>5774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209468" y="1561720"/>
          <a:ext cx="814613" cy="29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2 </a:t>
          </a:r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298904</xdr:colOff>
      <xdr:row>3</xdr:row>
      <xdr:rowOff>38326</xdr:rowOff>
    </xdr:from>
    <xdr:to>
      <xdr:col>1</xdr:col>
      <xdr:colOff>502104</xdr:colOff>
      <xdr:row>4</xdr:row>
      <xdr:rowOff>132443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98904" y="582612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Pleito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4</xdr:row>
      <xdr:rowOff>142308</xdr:rowOff>
    </xdr:from>
    <xdr:to>
      <xdr:col>6</xdr:col>
      <xdr:colOff>742383</xdr:colOff>
      <xdr:row>10</xdr:row>
      <xdr:rowOff>9298</xdr:rowOff>
    </xdr:to>
    <xdr:cxnSp macro="">
      <xdr:nvCxnSpPr>
        <xdr:cNvPr id="6" name="Conector angular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stCxn id="45" idx="3"/>
          <a:endCxn id="7" idx="1"/>
        </xdr:cNvCxnSpPr>
      </xdr:nvCxnSpPr>
      <xdr:spPr>
        <a:xfrm flipV="1">
          <a:off x="2928938" y="868022"/>
          <a:ext cx="2385445" cy="955562"/>
        </a:xfrm>
        <a:prstGeom prst="bentConnector3">
          <a:avLst>
            <a:gd name="adj1" fmla="val 328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643958</xdr:colOff>
      <xdr:row>3</xdr:row>
      <xdr:rowOff>139132</xdr:rowOff>
    </xdr:from>
    <xdr:to>
      <xdr:col>7</xdr:col>
      <xdr:colOff>275658</xdr:colOff>
      <xdr:row>5</xdr:row>
      <xdr:rowOff>145482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5215958" y="683418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740816</xdr:colOff>
      <xdr:row>14</xdr:row>
      <xdr:rowOff>71664</xdr:rowOff>
    </xdr:from>
    <xdr:to>
      <xdr:col>7</xdr:col>
      <xdr:colOff>372516</xdr:colOff>
      <xdr:row>16</xdr:row>
      <xdr:rowOff>78014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312816" y="2611664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742017</xdr:colOff>
      <xdr:row>12</xdr:row>
      <xdr:rowOff>82436</xdr:rowOff>
    </xdr:from>
    <xdr:to>
      <xdr:col>7</xdr:col>
      <xdr:colOff>231590</xdr:colOff>
      <xdr:row>15</xdr:row>
      <xdr:rowOff>89112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4552017" y="2259579"/>
          <a:ext cx="1013573" cy="55096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Finos (40%Fem)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86292</xdr:colOff>
      <xdr:row>1</xdr:row>
      <xdr:rowOff>51140</xdr:rowOff>
    </xdr:from>
    <xdr:to>
      <xdr:col>7</xdr:col>
      <xdr:colOff>81644</xdr:colOff>
      <xdr:row>5</xdr:row>
      <xdr:rowOff>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4658292" y="232569"/>
          <a:ext cx="757352" cy="67457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Granza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177233</xdr:colOff>
      <xdr:row>4</xdr:row>
      <xdr:rowOff>135785</xdr:rowOff>
    </xdr:from>
    <xdr:to>
      <xdr:col>10</xdr:col>
      <xdr:colOff>62818</xdr:colOff>
      <xdr:row>4</xdr:row>
      <xdr:rowOff>142308</xdr:rowOff>
    </xdr:to>
    <xdr:cxnSp macro="">
      <xdr:nvCxnSpPr>
        <xdr:cNvPr id="26" name="Conector angular 48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>
          <a:stCxn id="7" idx="5"/>
          <a:endCxn id="31" idx="1"/>
        </xdr:cNvCxnSpPr>
      </xdr:nvCxnSpPr>
      <xdr:spPr>
        <a:xfrm flipV="1">
          <a:off x="5511233" y="861499"/>
          <a:ext cx="2171585" cy="652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274091</xdr:colOff>
      <xdr:row>15</xdr:row>
      <xdr:rowOff>74839</xdr:rowOff>
    </xdr:from>
    <xdr:to>
      <xdr:col>10</xdr:col>
      <xdr:colOff>146956</xdr:colOff>
      <xdr:row>15</xdr:row>
      <xdr:rowOff>77784</xdr:rowOff>
    </xdr:to>
    <xdr:cxnSp macro="">
      <xdr:nvCxnSpPr>
        <xdr:cNvPr id="27" name="Conector angular 49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>
          <a:stCxn id="9" idx="5"/>
          <a:endCxn id="34" idx="1"/>
        </xdr:cNvCxnSpPr>
      </xdr:nvCxnSpPr>
      <xdr:spPr>
        <a:xfrm>
          <a:off x="5608091" y="2796268"/>
          <a:ext cx="2158865" cy="294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62818</xdr:colOff>
      <xdr:row>3</xdr:row>
      <xdr:rowOff>70867</xdr:rowOff>
    </xdr:from>
    <xdr:to>
      <xdr:col>12</xdr:col>
      <xdr:colOff>473981</xdr:colOff>
      <xdr:row>6</xdr:row>
      <xdr:rowOff>19274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7682818" y="615153"/>
          <a:ext cx="1935163" cy="4926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(concentradora)</a:t>
          </a:r>
          <a:endParaRPr lang="es-CL" sz="1100"/>
        </a:p>
      </xdr:txBody>
    </xdr:sp>
    <xdr:clientData/>
  </xdr:twoCellAnchor>
  <xdr:twoCellAnchor>
    <xdr:from>
      <xdr:col>10</xdr:col>
      <xdr:colOff>146956</xdr:colOff>
      <xdr:row>14</xdr:row>
      <xdr:rowOff>25169</xdr:rowOff>
    </xdr:from>
    <xdr:to>
      <xdr:col>12</xdr:col>
      <xdr:colOff>7256</xdr:colOff>
      <xdr:row>16</xdr:row>
      <xdr:rowOff>130399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7766956" y="2565169"/>
          <a:ext cx="1384300" cy="468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2</xdr:col>
      <xdr:colOff>166688</xdr:colOff>
      <xdr:row>8</xdr:row>
      <xdr:rowOff>166687</xdr:rowOff>
    </xdr:from>
    <xdr:to>
      <xdr:col>3</xdr:col>
      <xdr:colOff>642938</xdr:colOff>
      <xdr:row>11</xdr:row>
      <xdr:rowOff>33337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11596688" y="719137"/>
          <a:ext cx="12382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l"/>
          <a:endParaRPr lang="es-CL" sz="1100"/>
        </a:p>
      </xdr:txBody>
    </xdr:sp>
    <xdr:clientData/>
  </xdr:twoCellAnchor>
  <xdr:twoCellAnchor>
    <xdr:from>
      <xdr:col>2</xdr:col>
      <xdr:colOff>582705</xdr:colOff>
      <xdr:row>23</xdr:row>
      <xdr:rowOff>179293</xdr:rowOff>
    </xdr:from>
    <xdr:to>
      <xdr:col>3</xdr:col>
      <xdr:colOff>214405</xdr:colOff>
      <xdr:row>25</xdr:row>
      <xdr:rowOff>185644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2106705" y="3541058"/>
          <a:ext cx="393700" cy="3798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339011</xdr:colOff>
      <xdr:row>24</xdr:row>
      <xdr:rowOff>20477</xdr:rowOff>
    </xdr:from>
    <xdr:to>
      <xdr:col>2</xdr:col>
      <xdr:colOff>592311</xdr:colOff>
      <xdr:row>26</xdr:row>
      <xdr:rowOff>40555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101011" y="4374763"/>
          <a:ext cx="1015300" cy="38293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050">
              <a:solidFill>
                <a:schemeClr val="accent6"/>
              </a:solidFill>
            </a:rPr>
            <a:t>Stock</a:t>
          </a:r>
          <a:r>
            <a:rPr lang="es-CL" sz="1050" baseline="0">
              <a:solidFill>
                <a:schemeClr val="accent6"/>
              </a:solidFill>
            </a:rPr>
            <a:t> Rechazos (10% Fem)</a:t>
          </a:r>
          <a:endParaRPr lang="es-CL" sz="1050">
            <a:solidFill>
              <a:schemeClr val="accent6"/>
            </a:solidFill>
          </a:endParaRPr>
        </a:p>
      </xdr:txBody>
    </xdr:sp>
    <xdr:clientData/>
  </xdr:twoCellAnchor>
  <xdr:twoCellAnchor>
    <xdr:from>
      <xdr:col>3</xdr:col>
      <xdr:colOff>115980</xdr:colOff>
      <xdr:row>24</xdr:row>
      <xdr:rowOff>165840</xdr:rowOff>
    </xdr:from>
    <xdr:to>
      <xdr:col>7</xdr:col>
      <xdr:colOff>298123</xdr:colOff>
      <xdr:row>25</xdr:row>
      <xdr:rowOff>1040</xdr:rowOff>
    </xdr:to>
    <xdr:cxnSp macro="">
      <xdr:nvCxnSpPr>
        <xdr:cNvPr id="48" name="Conector angular 4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CxnSpPr>
          <a:stCxn id="46" idx="5"/>
          <a:endCxn id="49" idx="1"/>
        </xdr:cNvCxnSpPr>
      </xdr:nvCxnSpPr>
      <xdr:spPr>
        <a:xfrm flipV="1">
          <a:off x="2401980" y="4520126"/>
          <a:ext cx="3230143" cy="1662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298123</xdr:colOff>
      <xdr:row>23</xdr:row>
      <xdr:rowOff>113226</xdr:rowOff>
    </xdr:from>
    <xdr:to>
      <xdr:col>9</xdr:col>
      <xdr:colOff>158423</xdr:colOff>
      <xdr:row>26</xdr:row>
      <xdr:rowOff>37026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5632123" y="3474991"/>
          <a:ext cx="1384300" cy="4840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Botadero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10</xdr:row>
      <xdr:rowOff>9298</xdr:rowOff>
    </xdr:from>
    <xdr:to>
      <xdr:col>7</xdr:col>
      <xdr:colOff>77241</xdr:colOff>
      <xdr:row>15</xdr:row>
      <xdr:rowOff>74839</xdr:rowOff>
    </xdr:to>
    <xdr:cxnSp macro="">
      <xdr:nvCxnSpPr>
        <xdr:cNvPr id="54" name="Conector angular 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CxnSpPr>
          <a:stCxn id="45" idx="3"/>
          <a:endCxn id="9" idx="1"/>
        </xdr:cNvCxnSpPr>
      </xdr:nvCxnSpPr>
      <xdr:spPr>
        <a:xfrm>
          <a:off x="2928938" y="1823584"/>
          <a:ext cx="2482303" cy="972684"/>
        </a:xfrm>
        <a:prstGeom prst="bentConnector3">
          <a:avLst>
            <a:gd name="adj1" fmla="val 324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17556</xdr:colOff>
      <xdr:row>11</xdr:row>
      <xdr:rowOff>33336</xdr:rowOff>
    </xdr:from>
    <xdr:to>
      <xdr:col>3</xdr:col>
      <xdr:colOff>23814</xdr:colOff>
      <xdr:row>23</xdr:row>
      <xdr:rowOff>179292</xdr:rowOff>
    </xdr:to>
    <xdr:cxnSp macro="">
      <xdr:nvCxnSpPr>
        <xdr:cNvPr id="55" name="Conector angular 7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>
          <a:stCxn id="45" idx="2"/>
          <a:endCxn id="46" idx="0"/>
        </xdr:cNvCxnSpPr>
      </xdr:nvCxnSpPr>
      <xdr:spPr>
        <a:xfrm rot="5400000">
          <a:off x="1113118" y="2344362"/>
          <a:ext cx="2387133" cy="62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117932</xdr:colOff>
      <xdr:row>6</xdr:row>
      <xdr:rowOff>3</xdr:rowOff>
    </xdr:from>
    <xdr:to>
      <xdr:col>2</xdr:col>
      <xdr:colOff>166688</xdr:colOff>
      <xdr:row>10</xdr:row>
      <xdr:rowOff>9298</xdr:rowOff>
    </xdr:to>
    <xdr:cxnSp macro="">
      <xdr:nvCxnSpPr>
        <xdr:cNvPr id="38" name="Conector angular 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CxnSpPr>
          <a:endCxn id="45" idx="1"/>
        </xdr:cNvCxnSpPr>
      </xdr:nvCxnSpPr>
      <xdr:spPr>
        <a:xfrm>
          <a:off x="879932" y="1088574"/>
          <a:ext cx="810756" cy="7350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145143</xdr:colOff>
      <xdr:row>10</xdr:row>
      <xdr:rowOff>9298</xdr:rowOff>
    </xdr:from>
    <xdr:to>
      <xdr:col>2</xdr:col>
      <xdr:colOff>166688</xdr:colOff>
      <xdr:row>13</xdr:row>
      <xdr:rowOff>172358</xdr:rowOff>
    </xdr:to>
    <xdr:cxnSp macro="">
      <xdr:nvCxnSpPr>
        <xdr:cNvPr id="50" name="Conector angular 7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CxnSpPr>
          <a:endCxn id="45" idx="1"/>
        </xdr:cNvCxnSpPr>
      </xdr:nvCxnSpPr>
      <xdr:spPr>
        <a:xfrm flipV="1">
          <a:off x="907143" y="1823584"/>
          <a:ext cx="783545" cy="707345"/>
        </a:xfrm>
        <a:prstGeom prst="bentConnector3">
          <a:avLst>
            <a:gd name="adj1" fmla="val 441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260804</xdr:colOff>
      <xdr:row>11</xdr:row>
      <xdr:rowOff>136299</xdr:rowOff>
    </xdr:from>
    <xdr:to>
      <xdr:col>1</xdr:col>
      <xdr:colOff>464004</xdr:colOff>
      <xdr:row>13</xdr:row>
      <xdr:rowOff>48987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260804" y="2132013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Bronces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5573-C4EC-0647-BC7C-565055FEA121}">
  <dimension ref="B2:R56"/>
  <sheetViews>
    <sheetView workbookViewId="0">
      <selection activeCell="A27" sqref="A27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2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08" t="s">
        <v>189</v>
      </c>
      <c r="C2" s="208"/>
      <c r="D2" s="208"/>
      <c r="E2" s="208"/>
      <c r="G2" s="208" t="s">
        <v>190</v>
      </c>
      <c r="H2" s="208"/>
      <c r="I2" s="208"/>
      <c r="J2" s="208"/>
      <c r="L2" s="209" t="s">
        <v>191</v>
      </c>
      <c r="M2" s="210"/>
      <c r="N2" s="211"/>
      <c r="P2" s="165" t="s">
        <v>110</v>
      </c>
      <c r="Q2" s="166" t="s">
        <v>192</v>
      </c>
      <c r="R2" s="166" t="s">
        <v>193</v>
      </c>
    </row>
    <row r="3" spans="2:18" ht="19">
      <c r="B3" s="167" t="s">
        <v>194</v>
      </c>
      <c r="C3" s="167" t="s">
        <v>111</v>
      </c>
      <c r="D3" s="167" t="s">
        <v>195</v>
      </c>
      <c r="E3" s="167" t="s">
        <v>196</v>
      </c>
      <c r="G3" s="167" t="s">
        <v>194</v>
      </c>
      <c r="H3" s="167" t="s">
        <v>111</v>
      </c>
      <c r="I3" s="167" t="s">
        <v>195</v>
      </c>
      <c r="J3" s="167" t="s">
        <v>196</v>
      </c>
      <c r="L3" s="168" t="s">
        <v>113</v>
      </c>
      <c r="M3" s="168" t="s">
        <v>114</v>
      </c>
      <c r="N3" s="168" t="s">
        <v>114</v>
      </c>
      <c r="P3" s="169"/>
      <c r="Q3" s="169"/>
      <c r="R3" s="169"/>
    </row>
    <row r="4" spans="2:18" ht="19">
      <c r="B4" s="164" t="s">
        <v>95</v>
      </c>
      <c r="C4" s="170">
        <f>Utilidad!A1</f>
        <v>0</v>
      </c>
      <c r="D4" s="171">
        <f>IF(Utilidad!C18&gt;1,Utilidad!C1&gt;100,Utilidad!C1)</f>
        <v>0</v>
      </c>
      <c r="E4" s="171">
        <f>IF(Utilidad!E18&gt;1,Utilidad!E1&gt;100,Utilidad!E1)</f>
        <v>0</v>
      </c>
      <c r="G4" s="164" t="s">
        <v>95</v>
      </c>
      <c r="H4" s="170">
        <f>Utilidad!B1</f>
        <v>0</v>
      </c>
      <c r="I4" s="171">
        <f>IF(Utilidad!D18&gt;1,Utilidad!D1&gt;100,Utilidad!D1)</f>
        <v>0</v>
      </c>
      <c r="J4" s="171">
        <f>IF(Utilidad!F18&gt;1,Utilidad!F1&gt;100,Utilidad!F1)</f>
        <v>0</v>
      </c>
      <c r="L4" s="172">
        <f t="shared" ref="L4" si="0">+IF(C4&lt;&gt;0,(HI4-C4)/C4,ABS(H4-C4))</f>
        <v>0</v>
      </c>
      <c r="M4" s="172">
        <f>+IF(D4&lt;&gt;0,(I4-D4)/D4,0)</f>
        <v>0</v>
      </c>
      <c r="N4" s="172">
        <f t="shared" ref="M4:N31" si="1">+IF(E4&lt;&gt;0,(J4-E4)/E4,0)</f>
        <v>0</v>
      </c>
      <c r="P4" s="171">
        <f t="shared" ref="P4:P31" si="2">+IF(L4&lt;&gt;"",ABS(L4),0)</f>
        <v>0</v>
      </c>
      <c r="Q4" s="171">
        <f t="shared" ref="Q4:R31" si="3">+IF(L4&lt;&gt;"",ABS(L4),0)</f>
        <v>0</v>
      </c>
      <c r="R4" s="171">
        <f t="shared" si="3"/>
        <v>0</v>
      </c>
    </row>
    <row r="5" spans="2:18" ht="19">
      <c r="B5" s="164" t="s">
        <v>96</v>
      </c>
      <c r="C5" s="170">
        <f>Utilidad!A2</f>
        <v>68993</v>
      </c>
      <c r="D5" s="171">
        <f>IF(Utilidad!C19&gt;1,Utilidad!C2&gt;100,Utilidad!C2)</f>
        <v>0.53526569941878199</v>
      </c>
      <c r="E5" s="171">
        <f>IF(Utilidad!E19&gt;1,Utilidad!E2&gt;100,Utilidad!E2)</f>
        <v>0.48852658240691099</v>
      </c>
      <c r="G5" s="164" t="s">
        <v>96</v>
      </c>
      <c r="H5" s="170">
        <f>Utilidad!B2</f>
        <v>68993</v>
      </c>
      <c r="I5" s="171">
        <f>IF(Utilidad!D19&gt;1,Utilidad!D2&gt;100,Utilidad!D2)</f>
        <v>0.53526569941878199</v>
      </c>
      <c r="J5" s="171">
        <f>IF(Utilidad!F19&gt;1,Utilidad!F2&gt;100,Utilidad!F2)</f>
        <v>0.48852658240691099</v>
      </c>
      <c r="L5" s="172">
        <f>+IF(C5&lt;&gt;0,(H5-C5)/C5,ABS(H5-C5))</f>
        <v>0</v>
      </c>
      <c r="M5" s="172">
        <f t="shared" si="1"/>
        <v>0</v>
      </c>
      <c r="N5" s="172">
        <f t="shared" si="1"/>
        <v>0</v>
      </c>
      <c r="P5" s="171">
        <f t="shared" si="2"/>
        <v>0</v>
      </c>
      <c r="Q5" s="171">
        <f t="shared" si="3"/>
        <v>0</v>
      </c>
      <c r="R5" s="171">
        <f t="shared" si="3"/>
        <v>0</v>
      </c>
    </row>
    <row r="6" spans="2:18" ht="19">
      <c r="B6" s="164" t="s">
        <v>97</v>
      </c>
      <c r="C6" s="170">
        <f>Utilidad!A3</f>
        <v>10719.6</v>
      </c>
      <c r="D6" s="171">
        <f>IF(Utilidad!C20&gt;1,Utilidad!C3&gt;100,Utilidad!C3)</f>
        <v>0.55290710660845599</v>
      </c>
      <c r="E6" s="171">
        <f>IF(Utilidad!E20&gt;1,Utilidad!E3&gt;100,Utilidad!E3)</f>
        <v>0.50318076980484305</v>
      </c>
      <c r="G6" s="164" t="s">
        <v>97</v>
      </c>
      <c r="H6" s="170">
        <f>Utilidad!B3</f>
        <v>10719.6</v>
      </c>
      <c r="I6" s="171">
        <f>IF(Utilidad!D20&gt;1,Utilidad!D3&gt;100,Utilidad!D3)</f>
        <v>0.55290710660845599</v>
      </c>
      <c r="J6" s="171">
        <f>IF(Utilidad!F20&gt;1,Utilidad!F3&gt;100,Utilidad!F3)</f>
        <v>0.50318076980484305</v>
      </c>
      <c r="L6" s="172">
        <f t="shared" ref="L6:L31" si="4">+IF(C6&lt;&gt;0,(H6-C6)/C6,ABS(H6-C6))</f>
        <v>0</v>
      </c>
      <c r="M6" s="172">
        <f t="shared" si="1"/>
        <v>0</v>
      </c>
      <c r="N6" s="172">
        <f t="shared" si="1"/>
        <v>0</v>
      </c>
      <c r="P6" s="171">
        <f t="shared" si="2"/>
        <v>0</v>
      </c>
      <c r="Q6" s="171">
        <f t="shared" si="3"/>
        <v>0</v>
      </c>
      <c r="R6" s="171">
        <f t="shared" si="3"/>
        <v>0</v>
      </c>
    </row>
    <row r="7" spans="2:18" ht="19">
      <c r="B7" s="164" t="s">
        <v>98</v>
      </c>
      <c r="C7" s="170">
        <f>Utilidad!A4</f>
        <v>22667.152000000002</v>
      </c>
      <c r="D7" s="171">
        <f>IF(Utilidad!C21&gt;1,Utilidad!C4&gt;100,Utilidad!C4)</f>
        <v>0.60588953488372099</v>
      </c>
      <c r="E7" s="171">
        <f>IF(Utilidad!E21&gt;1,Utilidad!E4&gt;100,Utilidad!E4)</f>
        <v>0.59221159069767404</v>
      </c>
      <c r="G7" s="164" t="s">
        <v>98</v>
      </c>
      <c r="H7" s="170">
        <f>Utilidad!B4</f>
        <v>22667.152000000002</v>
      </c>
      <c r="I7" s="171">
        <f>IF(Utilidad!D21&gt;1,Utilidad!D4&gt;100,Utilidad!D4)</f>
        <v>0.60588953488372099</v>
      </c>
      <c r="J7" s="171">
        <f>IF(Utilidad!F21&gt;1,Utilidad!F4&gt;100,Utilidad!F4)</f>
        <v>0.59221159069767404</v>
      </c>
      <c r="L7" s="172">
        <f t="shared" si="4"/>
        <v>0</v>
      </c>
      <c r="M7" s="172">
        <f t="shared" si="1"/>
        <v>0</v>
      </c>
      <c r="N7" s="172">
        <f t="shared" si="1"/>
        <v>0</v>
      </c>
      <c r="P7" s="171">
        <f t="shared" si="2"/>
        <v>0</v>
      </c>
      <c r="Q7" s="171">
        <f t="shared" si="3"/>
        <v>0</v>
      </c>
      <c r="R7" s="171">
        <f t="shared" si="3"/>
        <v>0</v>
      </c>
    </row>
    <row r="8" spans="2:18" ht="19">
      <c r="B8" s="164" t="s">
        <v>99</v>
      </c>
      <c r="C8" s="170">
        <f>Utilidad!A5</f>
        <v>2867</v>
      </c>
      <c r="D8" s="171">
        <f>IF(Utilidad!C22&gt;1,Utilidad!C5&gt;100,Utilidad!C5)</f>
        <v>0.60588953488372099</v>
      </c>
      <c r="E8" s="171">
        <f>IF(Utilidad!E22&gt;1,Utilidad!E5&gt;100,Utilidad!E5)</f>
        <v>0.59221159069767404</v>
      </c>
      <c r="G8" s="164" t="s">
        <v>99</v>
      </c>
      <c r="H8" s="170">
        <f>Utilidad!B5</f>
        <v>2867</v>
      </c>
      <c r="I8" s="171">
        <f>IF(Utilidad!D22&gt;1,Utilidad!D5&gt;100,Utilidad!D5)</f>
        <v>0.60588953488372099</v>
      </c>
      <c r="J8" s="171">
        <f>IF(Utilidad!F22&gt;1,Utilidad!F5&gt;100,Utilidad!F5)</f>
        <v>0.59221159069767404</v>
      </c>
      <c r="L8" s="172">
        <f t="shared" si="4"/>
        <v>0</v>
      </c>
      <c r="M8" s="172">
        <f t="shared" si="1"/>
        <v>0</v>
      </c>
      <c r="N8" s="172">
        <f t="shared" si="1"/>
        <v>0</v>
      </c>
      <c r="P8" s="171">
        <f t="shared" si="2"/>
        <v>0</v>
      </c>
      <c r="Q8" s="171">
        <f t="shared" si="3"/>
        <v>0</v>
      </c>
      <c r="R8" s="171">
        <f t="shared" si="3"/>
        <v>0</v>
      </c>
    </row>
    <row r="9" spans="2:18" ht="19">
      <c r="B9" s="164" t="s">
        <v>63</v>
      </c>
      <c r="C9" s="170">
        <f>Utilidad!A6</f>
        <v>0</v>
      </c>
      <c r="D9" s="171">
        <f>IF(Utilidad!C23&gt;1,Utilidad!C6&gt;100,Utilidad!C6)</f>
        <v>0</v>
      </c>
      <c r="E9" s="171">
        <f>IF(Utilidad!E23&gt;1,Utilidad!E6&gt;100,Utilidad!E6)</f>
        <v>0</v>
      </c>
      <c r="G9" s="164" t="s">
        <v>63</v>
      </c>
      <c r="H9" s="170">
        <f>Utilidad!B6</f>
        <v>0</v>
      </c>
      <c r="I9" s="171">
        <f>IF(Utilidad!D23&gt;1,Utilidad!D6&gt;100,Utilidad!D6)</f>
        <v>0</v>
      </c>
      <c r="J9" s="171">
        <f>IF(Utilidad!F23&gt;1,Utilidad!F6&gt;100,Utilidad!F6)</f>
        <v>0</v>
      </c>
      <c r="L9" s="172">
        <f t="shared" si="4"/>
        <v>0</v>
      </c>
      <c r="M9" s="172">
        <f t="shared" si="1"/>
        <v>0</v>
      </c>
      <c r="N9" s="172">
        <f t="shared" si="1"/>
        <v>0</v>
      </c>
      <c r="P9" s="171">
        <f t="shared" si="2"/>
        <v>0</v>
      </c>
      <c r="Q9" s="171">
        <f t="shared" si="3"/>
        <v>0</v>
      </c>
      <c r="R9" s="171">
        <f t="shared" si="3"/>
        <v>0</v>
      </c>
    </row>
    <row r="10" spans="2:18" ht="19">
      <c r="B10" s="164" t="s">
        <v>65</v>
      </c>
      <c r="C10" s="170">
        <f>Utilidad!A7</f>
        <v>20879.289999999997</v>
      </c>
      <c r="D10" s="171">
        <f>IF(Utilidad!C24&gt;1,Utilidad!C7&gt;100,Utilidad!C7)</f>
        <v>0.58489999999999998</v>
      </c>
      <c r="E10" s="171">
        <f>IF(Utilidad!E24&gt;1,Utilidad!E7&gt;100,Utilidad!E7)</f>
        <v>0.59221159069767404</v>
      </c>
      <c r="G10" s="164" t="s">
        <v>65</v>
      </c>
      <c r="H10" s="170">
        <f>Utilidad!B7</f>
        <v>20879.289999999997</v>
      </c>
      <c r="I10" s="171">
        <f>IF(Utilidad!D24&gt;1,Utilidad!D7&gt;100,Utilidad!D7)</f>
        <v>0.58489999999999998</v>
      </c>
      <c r="J10" s="171">
        <f>IF(Utilidad!F24&gt;1,Utilidad!F7&gt;100,Utilidad!F7)</f>
        <v>0.59221159069767404</v>
      </c>
      <c r="L10" s="172">
        <f t="shared" si="4"/>
        <v>0</v>
      </c>
      <c r="M10" s="172">
        <f t="shared" si="1"/>
        <v>0</v>
      </c>
      <c r="N10" s="172">
        <f t="shared" si="1"/>
        <v>0</v>
      </c>
      <c r="P10" s="171">
        <f t="shared" si="2"/>
        <v>0</v>
      </c>
      <c r="Q10" s="171">
        <f t="shared" si="3"/>
        <v>0</v>
      </c>
      <c r="R10" s="171">
        <f t="shared" si="3"/>
        <v>0</v>
      </c>
    </row>
    <row r="11" spans="2:18" ht="19">
      <c r="B11" s="164" t="s">
        <v>100</v>
      </c>
      <c r="C11" s="170">
        <f>Utilidad!A8</f>
        <v>18314.103999999999</v>
      </c>
      <c r="D11" s="171">
        <f>IF(Utilidad!C25&gt;1,Utilidad!C8&gt;100,Utilidad!C8)</f>
        <v>0.602155555555556</v>
      </c>
      <c r="E11" s="171">
        <f>IF(Utilidad!E25&gt;1,Utilidad!E8&gt;100,Utilidad!E8)</f>
        <v>0.58622512000000004</v>
      </c>
      <c r="G11" s="164" t="s">
        <v>100</v>
      </c>
      <c r="H11" s="170">
        <f>Utilidad!B8</f>
        <v>18314.103999999999</v>
      </c>
      <c r="I11" s="171">
        <f>IF(Utilidad!D25&gt;1,Utilidad!D8&gt;100,Utilidad!D8)</f>
        <v>0.602155555555556</v>
      </c>
      <c r="J11" s="171">
        <f>IF(Utilidad!F25&gt;1,Utilidad!F8&gt;100,Utilidad!F8)</f>
        <v>0.58622512000000004</v>
      </c>
      <c r="L11" s="172">
        <f t="shared" si="4"/>
        <v>0</v>
      </c>
      <c r="M11" s="172">
        <f t="shared" si="1"/>
        <v>0</v>
      </c>
      <c r="N11" s="172">
        <f t="shared" si="1"/>
        <v>0</v>
      </c>
      <c r="P11" s="171">
        <f t="shared" si="2"/>
        <v>0</v>
      </c>
      <c r="Q11" s="171">
        <f t="shared" si="3"/>
        <v>0</v>
      </c>
      <c r="R11" s="171">
        <f t="shared" si="3"/>
        <v>0</v>
      </c>
    </row>
    <row r="12" spans="2:18" ht="19">
      <c r="B12" s="164" t="s">
        <v>102</v>
      </c>
      <c r="C12" s="170">
        <f>Utilidad!A9</f>
        <v>212</v>
      </c>
      <c r="D12" s="171">
        <f>IF(Utilidad!C26&gt;1,Utilidad!C9&gt;100,Utilidad!C9)</f>
        <v>0.60060000000000002</v>
      </c>
      <c r="E12" s="171">
        <f>IF(Utilidad!E26&gt;1,Utilidad!E9&gt;100,Utilidad!E9)</f>
        <v>0.58622505731028685</v>
      </c>
      <c r="G12" s="164" t="s">
        <v>102</v>
      </c>
      <c r="H12" s="170">
        <f>Utilidad!B9</f>
        <v>212</v>
      </c>
      <c r="I12" s="171">
        <f>IF(Utilidad!D26&gt;1,Utilidad!D9&gt;100,Utilidad!D9)</f>
        <v>0.60060000000000002</v>
      </c>
      <c r="J12" s="171">
        <f>IF(Utilidad!F26&gt;1,Utilidad!F9&gt;100,Utilidad!F9)</f>
        <v>0.58622505731028685</v>
      </c>
      <c r="L12" s="172">
        <f t="shared" si="4"/>
        <v>0</v>
      </c>
      <c r="M12" s="172">
        <f t="shared" si="1"/>
        <v>0</v>
      </c>
      <c r="N12" s="172">
        <f t="shared" si="1"/>
        <v>0</v>
      </c>
      <c r="P12" s="171">
        <f t="shared" si="2"/>
        <v>0</v>
      </c>
      <c r="Q12" s="171">
        <f t="shared" si="3"/>
        <v>0</v>
      </c>
      <c r="R12" s="171">
        <f t="shared" si="3"/>
        <v>0</v>
      </c>
    </row>
    <row r="13" spans="2:18" ht="19">
      <c r="B13" s="164" t="s">
        <v>66</v>
      </c>
      <c r="C13" s="170">
        <f>Utilidad!A10</f>
        <v>0</v>
      </c>
      <c r="D13" s="171">
        <f>IF(Utilidad!C27&gt;1,Utilidad!C10&gt;100,Utilidad!C10)</f>
        <v>0</v>
      </c>
      <c r="E13" s="171">
        <f>IF(Utilidad!E27&gt;1,Utilidad!E10&gt;100,Utilidad!E10)</f>
        <v>0</v>
      </c>
      <c r="G13" s="164" t="s">
        <v>66</v>
      </c>
      <c r="H13" s="170">
        <f>Utilidad!B10</f>
        <v>0</v>
      </c>
      <c r="I13" s="171">
        <f>IF(Utilidad!D27&gt;1,Utilidad!D10&gt;100,Utilidad!D10)</f>
        <v>0</v>
      </c>
      <c r="J13" s="171">
        <f>IF(Utilidad!F27&gt;1,Utilidad!F10&gt;100,Utilidad!F10)</f>
        <v>0</v>
      </c>
      <c r="L13" s="172">
        <f t="shared" si="4"/>
        <v>0</v>
      </c>
      <c r="M13" s="172">
        <f t="shared" si="1"/>
        <v>0</v>
      </c>
      <c r="N13" s="172">
        <f t="shared" si="1"/>
        <v>0</v>
      </c>
      <c r="P13" s="171">
        <f t="shared" si="2"/>
        <v>0</v>
      </c>
      <c r="Q13" s="171">
        <f t="shared" si="3"/>
        <v>0</v>
      </c>
      <c r="R13" s="171">
        <f t="shared" si="3"/>
        <v>0</v>
      </c>
    </row>
    <row r="14" spans="2:18" ht="19">
      <c r="B14" s="164" t="s">
        <v>67</v>
      </c>
      <c r="C14" s="170">
        <f>Utilidad!A11</f>
        <v>16230.67</v>
      </c>
      <c r="D14" s="171">
        <f>IF(Utilidad!C28&gt;1,Utilidad!C11&gt;100,Utilidad!C11)</f>
        <v>0.60060000000000002</v>
      </c>
      <c r="E14" s="171">
        <f>IF(Utilidad!E28&gt;1,Utilidad!E11&gt;100,Utilidad!E11)</f>
        <v>0.58622512000000004</v>
      </c>
      <c r="G14" s="164" t="s">
        <v>67</v>
      </c>
      <c r="H14" s="170">
        <f>Utilidad!B11</f>
        <v>16230.67</v>
      </c>
      <c r="I14" s="171">
        <f>IF(Utilidad!D28&gt;1,Utilidad!D11&gt;100,Utilidad!D11)</f>
        <v>0.60060000000000002</v>
      </c>
      <c r="J14" s="171">
        <f>IF(Utilidad!F28&gt;1,Utilidad!F11&gt;100,Utilidad!F11)</f>
        <v>0.58622512000000004</v>
      </c>
      <c r="L14" s="172">
        <f t="shared" si="4"/>
        <v>0</v>
      </c>
      <c r="M14" s="172">
        <f t="shared" si="1"/>
        <v>0</v>
      </c>
      <c r="N14" s="172">
        <f t="shared" si="1"/>
        <v>0</v>
      </c>
      <c r="P14" s="171">
        <f t="shared" si="2"/>
        <v>0</v>
      </c>
      <c r="Q14" s="171">
        <f t="shared" si="3"/>
        <v>0</v>
      </c>
      <c r="R14" s="171">
        <f t="shared" si="3"/>
        <v>0</v>
      </c>
    </row>
    <row r="15" spans="2:18" ht="19">
      <c r="B15" s="164" t="s">
        <v>103</v>
      </c>
      <c r="C15" s="170">
        <f>Utilidad!A12</f>
        <v>13136</v>
      </c>
      <c r="D15" s="171">
        <f>IF(Utilidad!C29&gt;1,Utilidad!C12&gt;100,Utilidad!C12)</f>
        <v>0.35781395348837203</v>
      </c>
      <c r="E15" s="171">
        <f>IF(Utilidad!E29&gt;1,Utilidad!E12&gt;100,Utilidad!E12)</f>
        <v>0.321851323255814</v>
      </c>
      <c r="G15" s="164" t="s">
        <v>103</v>
      </c>
      <c r="H15" s="170">
        <f>Utilidad!B12</f>
        <v>13136</v>
      </c>
      <c r="I15" s="171">
        <f>IF(Utilidad!D29&gt;1,Utilidad!D12&gt;100,Utilidad!D12)</f>
        <v>0.35781395348837203</v>
      </c>
      <c r="J15" s="171">
        <f>IF(Utilidad!F29&gt;1,Utilidad!F12&gt;100,Utilidad!F12)</f>
        <v>0.321851323255814</v>
      </c>
      <c r="L15" s="172">
        <f t="shared" si="4"/>
        <v>0</v>
      </c>
      <c r="M15" s="172">
        <f t="shared" si="1"/>
        <v>0</v>
      </c>
      <c r="N15" s="172">
        <f t="shared" si="1"/>
        <v>0</v>
      </c>
      <c r="P15" s="171">
        <f t="shared" si="2"/>
        <v>0</v>
      </c>
      <c r="Q15" s="171">
        <f t="shared" si="3"/>
        <v>0</v>
      </c>
      <c r="R15" s="171">
        <f t="shared" si="3"/>
        <v>0</v>
      </c>
    </row>
    <row r="16" spans="2:18" ht="19">
      <c r="B16" s="164" t="s">
        <v>104</v>
      </c>
      <c r="C16" s="170">
        <f>Utilidad!A13</f>
        <v>478</v>
      </c>
      <c r="D16" s="171">
        <f>IF(Utilidad!C30&gt;1,Utilidad!C13&gt;100,Utilidad!C13)</f>
        <v>0.35781395348837203</v>
      </c>
      <c r="E16" s="171">
        <f>IF(Utilidad!E30&gt;1,Utilidad!E13&gt;100,Utilidad!E13)</f>
        <v>0.321851323255814</v>
      </c>
      <c r="G16" s="164" t="s">
        <v>104</v>
      </c>
      <c r="H16" s="170">
        <f>Utilidad!B13</f>
        <v>478</v>
      </c>
      <c r="I16" s="171">
        <f>IF(Utilidad!D30&gt;1,Utilidad!D13&gt;100,Utilidad!D13)</f>
        <v>0.35781395348837203</v>
      </c>
      <c r="J16" s="171">
        <f>IF(Utilidad!F30&gt;1,Utilidad!F13&gt;100,Utilidad!F13)</f>
        <v>0.321851323255814</v>
      </c>
      <c r="L16" s="172">
        <f t="shared" si="4"/>
        <v>0</v>
      </c>
      <c r="M16" s="172">
        <f t="shared" si="1"/>
        <v>0</v>
      </c>
      <c r="N16" s="172">
        <f t="shared" si="1"/>
        <v>0</v>
      </c>
      <c r="P16" s="171">
        <f t="shared" si="2"/>
        <v>0</v>
      </c>
      <c r="Q16" s="171">
        <f t="shared" si="3"/>
        <v>0</v>
      </c>
      <c r="R16" s="171">
        <f t="shared" si="3"/>
        <v>0</v>
      </c>
    </row>
    <row r="17" spans="2:18" ht="19">
      <c r="B17" s="164" t="s">
        <v>68</v>
      </c>
      <c r="C17" s="170">
        <f>Utilidad!A14</f>
        <v>4696</v>
      </c>
      <c r="D17" s="171">
        <f>IF(Utilidad!C31&gt;1,Utilidad!C14&gt;100,Utilidad!C14)</f>
        <v>0.35781395348837203</v>
      </c>
      <c r="E17" s="171">
        <f>IF(Utilidad!E31&gt;1,Utilidad!E14&gt;100,Utilidad!E14)</f>
        <v>0.321851323255814</v>
      </c>
      <c r="G17" s="164" t="s">
        <v>68</v>
      </c>
      <c r="H17" s="170">
        <f>Utilidad!B14</f>
        <v>4696</v>
      </c>
      <c r="I17" s="171">
        <f>IF(Utilidad!D31&gt;1,Utilidad!D14&gt;100,Utilidad!D14)</f>
        <v>0.35781395348837203</v>
      </c>
      <c r="J17" s="171">
        <f>IF(Utilidad!F31&gt;1,Utilidad!F14&gt;100,Utilidad!F14)</f>
        <v>0.321851323255814</v>
      </c>
      <c r="L17" s="172">
        <f t="shared" si="4"/>
        <v>0</v>
      </c>
      <c r="M17" s="172">
        <f t="shared" si="1"/>
        <v>0</v>
      </c>
      <c r="N17" s="172">
        <f t="shared" si="1"/>
        <v>0</v>
      </c>
      <c r="P17" s="171">
        <f t="shared" si="2"/>
        <v>0</v>
      </c>
      <c r="Q17" s="171">
        <f t="shared" si="3"/>
        <v>0</v>
      </c>
      <c r="R17" s="171">
        <f t="shared" si="3"/>
        <v>0</v>
      </c>
    </row>
    <row r="18" spans="2:18" ht="19">
      <c r="B18" s="164" t="s">
        <v>106</v>
      </c>
      <c r="C18" s="170">
        <f>Utilidad!A15</f>
        <v>25816</v>
      </c>
      <c r="D18" s="171">
        <f>IF(Utilidad!C32&gt;1,Utilidad!C15&gt;100,Utilidad!C15)</f>
        <v>0.41160000000000002</v>
      </c>
      <c r="E18" s="171">
        <f>IF(Utilidad!E32&gt;1,Utilidad!E15&gt;100,Utilidad!E15)</f>
        <v>0.37541457571486819</v>
      </c>
      <c r="G18" s="164" t="s">
        <v>106</v>
      </c>
      <c r="H18" s="170">
        <f>Utilidad!B15</f>
        <v>25816</v>
      </c>
      <c r="I18" s="171">
        <f>IF(Utilidad!D32&gt;1,Utilidad!D15&gt;100,Utilidad!D15)</f>
        <v>0.41160000000000002</v>
      </c>
      <c r="J18" s="171">
        <f>IF(Utilidad!F32&gt;1,Utilidad!F15&gt;100,Utilidad!F15)</f>
        <v>0.37541457571486819</v>
      </c>
      <c r="L18" s="172">
        <f t="shared" si="4"/>
        <v>0</v>
      </c>
      <c r="M18" s="172">
        <f t="shared" si="1"/>
        <v>0</v>
      </c>
      <c r="N18" s="172">
        <f t="shared" si="1"/>
        <v>0</v>
      </c>
      <c r="P18" s="171">
        <f t="shared" si="2"/>
        <v>0</v>
      </c>
      <c r="Q18" s="171">
        <f t="shared" si="3"/>
        <v>0</v>
      </c>
      <c r="R18" s="171">
        <f t="shared" si="3"/>
        <v>0</v>
      </c>
    </row>
    <row r="19" spans="2:18" ht="19">
      <c r="B19" s="164" t="s">
        <v>107</v>
      </c>
      <c r="C19" s="170">
        <f>Utilidad!A16</f>
        <v>528</v>
      </c>
      <c r="D19" s="171">
        <f>IF(Utilidad!C33&gt;1,Utilidad!C16&gt;100,Utilidad!C16)</f>
        <v>0.41160000000000002</v>
      </c>
      <c r="E19" s="171">
        <f>IF(Utilidad!E33&gt;1,Utilidad!E16&gt;100,Utilidad!E16)</f>
        <v>0.376</v>
      </c>
      <c r="G19" s="164" t="s">
        <v>107</v>
      </c>
      <c r="H19" s="170">
        <f>Utilidad!B16</f>
        <v>528</v>
      </c>
      <c r="I19" s="171">
        <f>IF(Utilidad!D33&gt;1,Utilidad!D16&gt;100,Utilidad!D16)</f>
        <v>0.41160000000000002</v>
      </c>
      <c r="J19" s="171">
        <f>IF(Utilidad!F33&gt;1,Utilidad!F16&gt;100,Utilidad!F16)</f>
        <v>0.376</v>
      </c>
      <c r="L19" s="172">
        <f t="shared" si="4"/>
        <v>0</v>
      </c>
      <c r="M19" s="172">
        <f t="shared" si="1"/>
        <v>0</v>
      </c>
      <c r="N19" s="172">
        <f t="shared" si="1"/>
        <v>0</v>
      </c>
      <c r="P19" s="171">
        <f t="shared" si="2"/>
        <v>0</v>
      </c>
      <c r="Q19" s="171">
        <f t="shared" si="3"/>
        <v>0</v>
      </c>
      <c r="R19" s="171">
        <f t="shared" si="3"/>
        <v>0</v>
      </c>
    </row>
    <row r="20" spans="2:18" ht="19">
      <c r="B20" s="164" t="s">
        <v>69</v>
      </c>
      <c r="C20" s="170">
        <f>Utilidad!A17</f>
        <v>26876.47</v>
      </c>
      <c r="D20" s="171">
        <f>IF(Utilidad!C34&gt;1,Utilidad!C17&gt;100,Utilidad!C17)</f>
        <v>0.41160000000000002</v>
      </c>
      <c r="E20" s="171">
        <f>IF(Utilidad!E34&gt;1,Utilidad!E17&gt;100,Utilidad!E17)</f>
        <v>0.376</v>
      </c>
      <c r="G20" s="164" t="s">
        <v>69</v>
      </c>
      <c r="H20" s="170">
        <f>Utilidad!B17</f>
        <v>26876.47</v>
      </c>
      <c r="I20" s="171">
        <f>IF(Utilidad!D34&gt;1,Utilidad!D17&gt;100,Utilidad!D17)</f>
        <v>0.41160000000000002</v>
      </c>
      <c r="J20" s="171">
        <f>IF(Utilidad!F34&gt;1,Utilidad!F17&gt;100,Utilidad!F17)</f>
        <v>0.376</v>
      </c>
      <c r="L20" s="172">
        <f t="shared" si="4"/>
        <v>0</v>
      </c>
      <c r="M20" s="172">
        <f t="shared" si="1"/>
        <v>0</v>
      </c>
      <c r="N20" s="172">
        <f t="shared" si="1"/>
        <v>0</v>
      </c>
      <c r="P20" s="171">
        <f t="shared" si="2"/>
        <v>0</v>
      </c>
      <c r="Q20" s="171">
        <f t="shared" si="3"/>
        <v>0</v>
      </c>
      <c r="R20" s="171">
        <f t="shared" si="3"/>
        <v>0</v>
      </c>
    </row>
    <row r="21" spans="2:18" ht="19">
      <c r="B21" s="163" t="s">
        <v>134</v>
      </c>
      <c r="C21" s="170">
        <f>Utilidad!A18</f>
        <v>26924</v>
      </c>
      <c r="D21" s="171">
        <f>IF(Utilidad!C35&gt;1,Utilidad!C18&gt;100,Utilidad!C18)</f>
        <v>0.441342081414351</v>
      </c>
      <c r="E21" s="171">
        <f>IF(Utilidad!E35&gt;1,Utilidad!E18&gt;100,Utilidad!E18)</f>
        <v>0.37928039488169252</v>
      </c>
      <c r="G21" s="163" t="s">
        <v>134</v>
      </c>
      <c r="H21" s="170">
        <f>Utilidad!B18</f>
        <v>26924</v>
      </c>
      <c r="I21" s="171">
        <f>IF(Utilidad!D35&gt;1,Utilidad!D18&gt;100,Utilidad!D18)</f>
        <v>0.441342081414351</v>
      </c>
      <c r="J21" s="171">
        <f>IF(Utilidad!F35&gt;1,Utilidad!F18&gt;100,Utilidad!F18)</f>
        <v>0.37928039488169252</v>
      </c>
      <c r="L21" s="172">
        <f t="shared" si="4"/>
        <v>0</v>
      </c>
      <c r="M21" s="172">
        <f t="shared" si="1"/>
        <v>0</v>
      </c>
      <c r="N21" s="172">
        <f t="shared" si="1"/>
        <v>0</v>
      </c>
      <c r="P21" s="171">
        <f t="shared" si="2"/>
        <v>0</v>
      </c>
      <c r="Q21" s="171">
        <f t="shared" si="3"/>
        <v>0</v>
      </c>
      <c r="R21" s="171">
        <f t="shared" si="3"/>
        <v>0</v>
      </c>
    </row>
    <row r="22" spans="2:18" ht="19">
      <c r="B22" s="163" t="s">
        <v>135</v>
      </c>
      <c r="C22" s="170">
        <f>Utilidad!A19</f>
        <v>9033</v>
      </c>
      <c r="D22" s="171">
        <f>IF(Utilidad!C36&gt;1,Utilidad!C19&gt;100,Utilidad!C19)</f>
        <v>0.42468630576774002</v>
      </c>
      <c r="E22" s="171">
        <f>IF(Utilidad!E36&gt;1,Utilidad!E19&gt;100,Utilidad!E19)</f>
        <v>0.36724357273085934</v>
      </c>
      <c r="G22" s="163" t="s">
        <v>135</v>
      </c>
      <c r="H22" s="170">
        <f>Utilidad!B19</f>
        <v>9033</v>
      </c>
      <c r="I22" s="171">
        <f>IF(Utilidad!D36&gt;1,Utilidad!D19&gt;100,Utilidad!D19)</f>
        <v>0.42468630576774002</v>
      </c>
      <c r="J22" s="171">
        <f>IF(Utilidad!F36&gt;1,Utilidad!F19&gt;100,Utilidad!F19)</f>
        <v>0.36724357273085934</v>
      </c>
      <c r="L22" s="172">
        <f t="shared" si="4"/>
        <v>0</v>
      </c>
      <c r="M22" s="172">
        <f t="shared" si="1"/>
        <v>0</v>
      </c>
      <c r="N22" s="172">
        <f t="shared" si="1"/>
        <v>0</v>
      </c>
      <c r="P22" s="171">
        <f t="shared" si="2"/>
        <v>0</v>
      </c>
      <c r="Q22" s="171">
        <f t="shared" si="3"/>
        <v>0</v>
      </c>
      <c r="R22" s="171">
        <f t="shared" si="3"/>
        <v>0</v>
      </c>
    </row>
    <row r="23" spans="2:18" ht="19">
      <c r="B23" s="163" t="s">
        <v>75</v>
      </c>
      <c r="C23" s="170">
        <f>Utilidad!A20</f>
        <v>19699.46</v>
      </c>
      <c r="D23" s="171">
        <f>IF(Utilidad!C37&gt;1,Utilidad!C20&gt;100,Utilidad!C20)</f>
        <v>0.46239999999999992</v>
      </c>
      <c r="E23" s="171">
        <f>IF(Utilidad!E37&gt;1,Utilidad!E20&gt;100,Utilidad!E20)</f>
        <v>0.45593008209958086</v>
      </c>
      <c r="G23" s="163" t="s">
        <v>75</v>
      </c>
      <c r="H23" s="170">
        <f>Utilidad!B20</f>
        <v>19699.46</v>
      </c>
      <c r="I23" s="171">
        <f>IF(Utilidad!D37&gt;1,Utilidad!D20&gt;100,Utilidad!D20)</f>
        <v>0.46239999999999992</v>
      </c>
      <c r="J23" s="171">
        <f>IF(Utilidad!F37&gt;1,Utilidad!F20&gt;100,Utilidad!F20)</f>
        <v>0.45593008209958086</v>
      </c>
      <c r="L23" s="172">
        <f t="shared" si="4"/>
        <v>0</v>
      </c>
      <c r="M23" s="172">
        <f t="shared" si="1"/>
        <v>0</v>
      </c>
      <c r="N23" s="172">
        <f t="shared" si="1"/>
        <v>0</v>
      </c>
      <c r="P23" s="171">
        <f t="shared" si="2"/>
        <v>0</v>
      </c>
      <c r="Q23" s="171">
        <f t="shared" si="3"/>
        <v>0</v>
      </c>
      <c r="R23" s="171">
        <f t="shared" si="3"/>
        <v>0</v>
      </c>
    </row>
    <row r="24" spans="2:18" ht="19">
      <c r="B24" s="163" t="s">
        <v>136</v>
      </c>
      <c r="C24" s="170">
        <f>Utilidad!A21</f>
        <v>80</v>
      </c>
      <c r="D24" s="171">
        <f>IF(Utilidad!C38&gt;1,Utilidad!C21&gt;100,Utilidad!C21)</f>
        <v>0.46239999999999998</v>
      </c>
      <c r="E24" s="171">
        <f>IF(Utilidad!E38&gt;1,Utilidad!E21&gt;100,Utilidad!E21)</f>
        <v>0.39041999999999999</v>
      </c>
      <c r="G24" s="163" t="s">
        <v>136</v>
      </c>
      <c r="H24" s="170">
        <f>Utilidad!B21</f>
        <v>80</v>
      </c>
      <c r="I24" s="171">
        <f>IF(Utilidad!D38&gt;1,Utilidad!D21&gt;100,Utilidad!D21)</f>
        <v>0.46239999999999998</v>
      </c>
      <c r="J24" s="171">
        <f>IF(Utilidad!F38&gt;1,Utilidad!F21&gt;100,Utilidad!F21)</f>
        <v>0.39041999999999999</v>
      </c>
      <c r="L24" s="172">
        <f t="shared" si="4"/>
        <v>0</v>
      </c>
      <c r="M24" s="172">
        <f t="shared" si="1"/>
        <v>0</v>
      </c>
      <c r="N24" s="172">
        <f t="shared" si="1"/>
        <v>0</v>
      </c>
      <c r="P24" s="171">
        <f t="shared" si="2"/>
        <v>0</v>
      </c>
      <c r="Q24" s="171">
        <f t="shared" si="3"/>
        <v>0</v>
      </c>
      <c r="R24" s="171">
        <f t="shared" si="3"/>
        <v>0</v>
      </c>
    </row>
    <row r="25" spans="2:18" ht="19">
      <c r="B25" s="163" t="s">
        <v>137</v>
      </c>
      <c r="C25" s="170">
        <f>Utilidad!A22</f>
        <v>19779.46</v>
      </c>
      <c r="D25" s="171">
        <f>IF(Utilidad!C39&gt;1,Utilidad!C22&gt;100,Utilidad!C22)</f>
        <v>0.46239999999999998</v>
      </c>
      <c r="E25" s="171">
        <f>IF(Utilidad!E39&gt;1,Utilidad!E22&gt;100,Utilidad!E22)</f>
        <v>0.45317539181294575</v>
      </c>
      <c r="G25" s="163" t="s">
        <v>137</v>
      </c>
      <c r="H25" s="170">
        <f>Utilidad!B22</f>
        <v>19779.46</v>
      </c>
      <c r="I25" s="171">
        <f>IF(Utilidad!D39&gt;1,Utilidad!D22&gt;100,Utilidad!D22)</f>
        <v>0.46239999999999998</v>
      </c>
      <c r="J25" s="171">
        <f>IF(Utilidad!F39&gt;1,Utilidad!F22&gt;100,Utilidad!F22)</f>
        <v>0.45317539181294575</v>
      </c>
      <c r="L25" s="172">
        <f t="shared" si="4"/>
        <v>0</v>
      </c>
      <c r="M25" s="172">
        <f t="shared" si="1"/>
        <v>0</v>
      </c>
      <c r="N25" s="172">
        <f t="shared" si="1"/>
        <v>0</v>
      </c>
      <c r="P25" s="171">
        <f t="shared" si="2"/>
        <v>0</v>
      </c>
      <c r="Q25" s="171">
        <f t="shared" si="3"/>
        <v>0</v>
      </c>
      <c r="R25" s="171">
        <f t="shared" si="3"/>
        <v>0</v>
      </c>
    </row>
    <row r="26" spans="2:18" ht="19">
      <c r="B26" s="163" t="s">
        <v>76</v>
      </c>
      <c r="C26" s="170">
        <f>Utilidad!A23</f>
        <v>8922.43</v>
      </c>
      <c r="D26" s="171">
        <f>IF(Utilidad!C40&gt;1,Utilidad!C23&gt;100,Utilidad!C23)</f>
        <v>0.47120000000000006</v>
      </c>
      <c r="E26" s="171">
        <f>IF(Utilidad!E40&gt;1,Utilidad!E23&gt;100,Utilidad!E23)</f>
        <v>0.44301316531417145</v>
      </c>
      <c r="G26" s="163" t="s">
        <v>76</v>
      </c>
      <c r="H26" s="170">
        <f>Utilidad!B23</f>
        <v>8922.43</v>
      </c>
      <c r="I26" s="171">
        <f>IF(Utilidad!D40&gt;1,Utilidad!D23&gt;100,Utilidad!D23)</f>
        <v>0.47120000000000006</v>
      </c>
      <c r="J26" s="171">
        <f>IF(Utilidad!F40&gt;1,Utilidad!F23&gt;100,Utilidad!F23)</f>
        <v>0.44301316531417145</v>
      </c>
      <c r="L26" s="172">
        <f t="shared" si="4"/>
        <v>0</v>
      </c>
      <c r="M26" s="172">
        <f t="shared" si="1"/>
        <v>0</v>
      </c>
      <c r="N26" s="172">
        <f t="shared" si="1"/>
        <v>0</v>
      </c>
      <c r="P26" s="171">
        <f t="shared" si="2"/>
        <v>0</v>
      </c>
      <c r="Q26" s="171">
        <f t="shared" si="3"/>
        <v>0</v>
      </c>
      <c r="R26" s="171">
        <f t="shared" si="3"/>
        <v>0</v>
      </c>
    </row>
    <row r="27" spans="2:18" ht="19">
      <c r="B27" s="163" t="s">
        <v>138</v>
      </c>
      <c r="C27" s="170">
        <f>Utilidad!A24</f>
        <v>1067</v>
      </c>
      <c r="D27" s="171">
        <f>IF(Utilidad!C41&gt;1,Utilidad!C24&gt;100,Utilidad!C24)</f>
        <v>0.47120000000000001</v>
      </c>
      <c r="E27" s="171">
        <f>IF(Utilidad!E41&gt;1,Utilidad!E24&gt;100,Utilidad!E24)</f>
        <v>0.47443000000000002</v>
      </c>
      <c r="G27" s="163" t="s">
        <v>138</v>
      </c>
      <c r="H27" s="170">
        <f>Utilidad!B24</f>
        <v>1067</v>
      </c>
      <c r="I27" s="171">
        <f>IF(Utilidad!D41&gt;1,Utilidad!D24&gt;100,Utilidad!D24)</f>
        <v>0.47120000000000001</v>
      </c>
      <c r="J27" s="171">
        <f>IF(Utilidad!F41&gt;1,Utilidad!F24&gt;100,Utilidad!F24)</f>
        <v>0.47443000000000002</v>
      </c>
      <c r="L27" s="172">
        <f t="shared" si="4"/>
        <v>0</v>
      </c>
      <c r="M27" s="172">
        <f t="shared" si="1"/>
        <v>0</v>
      </c>
      <c r="N27" s="172">
        <f t="shared" si="1"/>
        <v>0</v>
      </c>
      <c r="P27" s="171">
        <f t="shared" si="2"/>
        <v>0</v>
      </c>
      <c r="Q27" s="171">
        <f t="shared" si="3"/>
        <v>0</v>
      </c>
      <c r="R27" s="171">
        <f t="shared" si="3"/>
        <v>0</v>
      </c>
    </row>
    <row r="28" spans="2:18" ht="19">
      <c r="B28" s="163" t="s">
        <v>139</v>
      </c>
      <c r="C28" s="170">
        <f>Utilidad!A25</f>
        <v>7855.43</v>
      </c>
      <c r="D28" s="171">
        <f>IF(Utilidad!C42&gt;1,Utilidad!C25&gt;100,Utilidad!C25)</f>
        <v>0.47120000000000001</v>
      </c>
      <c r="E28" s="171">
        <f>IF(Utilidad!E42&gt;1,Utilidad!E25&gt;100,Utilidad!E25)</f>
        <v>0.4388296784132556</v>
      </c>
      <c r="G28" s="163" t="s">
        <v>139</v>
      </c>
      <c r="H28" s="170">
        <f>Utilidad!B25</f>
        <v>7855.43</v>
      </c>
      <c r="I28" s="171">
        <f>IF(Utilidad!D42&gt;1,Utilidad!D25&gt;100,Utilidad!D25)</f>
        <v>0.47120000000000001</v>
      </c>
      <c r="J28" s="171">
        <f>IF(Utilidad!F42&gt;1,Utilidad!F25&gt;100,Utilidad!F25)</f>
        <v>0.4388296784132556</v>
      </c>
      <c r="L28" s="172">
        <f t="shared" si="4"/>
        <v>0</v>
      </c>
      <c r="M28" s="172">
        <f t="shared" si="1"/>
        <v>0</v>
      </c>
      <c r="N28" s="172">
        <f t="shared" si="1"/>
        <v>0</v>
      </c>
      <c r="P28" s="171">
        <f t="shared" si="2"/>
        <v>0</v>
      </c>
      <c r="Q28" s="171">
        <f t="shared" si="3"/>
        <v>0</v>
      </c>
      <c r="R28" s="171">
        <f t="shared" si="3"/>
        <v>0</v>
      </c>
    </row>
    <row r="29" spans="2:18" ht="19">
      <c r="B29" s="163" t="s">
        <v>77</v>
      </c>
      <c r="C29" s="170">
        <f>Utilidad!A26</f>
        <v>7335.1100000000006</v>
      </c>
      <c r="D29" s="171">
        <f>IF(Utilidad!C43&gt;1,Utilidad!C26&gt;100,Utilidad!C26)</f>
        <v>0.196191304347826</v>
      </c>
      <c r="E29" s="171">
        <f>IF(Utilidad!E43&gt;1,Utilidad!E26&gt;100,Utilidad!E26)</f>
        <v>0.15411964173912998</v>
      </c>
      <c r="G29" s="163" t="s">
        <v>77</v>
      </c>
      <c r="H29" s="170">
        <f>Utilidad!B26</f>
        <v>7335.1100000000006</v>
      </c>
      <c r="I29" s="171">
        <f>IF(Utilidad!D43&gt;1,Utilidad!D26&gt;100,Utilidad!D26)</f>
        <v>0.196191304347826</v>
      </c>
      <c r="J29" s="171">
        <f>IF(Utilidad!F43&gt;1,Utilidad!F26&gt;100,Utilidad!F26)</f>
        <v>0.15411964173912998</v>
      </c>
      <c r="L29" s="172">
        <f t="shared" si="4"/>
        <v>0</v>
      </c>
      <c r="M29" s="172">
        <f t="shared" si="1"/>
        <v>0</v>
      </c>
      <c r="N29" s="172">
        <f t="shared" si="1"/>
        <v>0</v>
      </c>
      <c r="P29" s="171">
        <f t="shared" si="2"/>
        <v>0</v>
      </c>
      <c r="Q29" s="171">
        <f t="shared" si="3"/>
        <v>0</v>
      </c>
      <c r="R29" s="171">
        <f t="shared" si="3"/>
        <v>0</v>
      </c>
    </row>
    <row r="30" spans="2:18" ht="19">
      <c r="B30" s="163" t="s">
        <v>140</v>
      </c>
      <c r="C30" s="170">
        <f>Utilidad!A27</f>
        <v>176</v>
      </c>
      <c r="D30" s="171">
        <f>IF(Utilidad!C44&gt;1,Utilidad!C27&gt;100,Utilidad!C27)</f>
        <v>0.196191304347826</v>
      </c>
      <c r="E30" s="171">
        <f>IF(Utilidad!E44&gt;1,Utilidad!E27&gt;100,Utilidad!E27)</f>
        <v>0.14010876521739099</v>
      </c>
      <c r="G30" s="163" t="s">
        <v>140</v>
      </c>
      <c r="H30" s="170">
        <f>Utilidad!B27</f>
        <v>176</v>
      </c>
      <c r="I30" s="171">
        <f>IF(Utilidad!D44&gt;1,Utilidad!D27&gt;100,Utilidad!D27)</f>
        <v>0.196191304347826</v>
      </c>
      <c r="J30" s="171">
        <f>IF(Utilidad!F44&gt;1,Utilidad!F27&gt;100,Utilidad!F27)</f>
        <v>0.14010876521739099</v>
      </c>
      <c r="L30" s="172">
        <f t="shared" si="4"/>
        <v>0</v>
      </c>
      <c r="M30" s="172">
        <f t="shared" si="1"/>
        <v>0</v>
      </c>
      <c r="N30" s="172">
        <f t="shared" si="1"/>
        <v>0</v>
      </c>
      <c r="P30" s="171">
        <f t="shared" si="2"/>
        <v>0</v>
      </c>
      <c r="Q30" s="171">
        <f t="shared" si="3"/>
        <v>0</v>
      </c>
      <c r="R30" s="171">
        <f t="shared" si="3"/>
        <v>0</v>
      </c>
    </row>
    <row r="31" spans="2:18" ht="19">
      <c r="B31" s="163" t="s">
        <v>80</v>
      </c>
      <c r="C31" s="170">
        <f>Utilidad!A28</f>
        <v>11126</v>
      </c>
      <c r="D31" s="171">
        <f>IF(Utilidad!C45&gt;1,Utilidad!C28&gt;100,Utilidad!C28)</f>
        <v>0.196191304347826</v>
      </c>
      <c r="E31" s="171">
        <f>IF(Utilidad!E45&gt;1,Utilidad!E28&gt;100,Utilidad!E28)</f>
        <v>0.15411964173913009</v>
      </c>
      <c r="G31" s="163" t="s">
        <v>80</v>
      </c>
      <c r="H31" s="170">
        <f>Utilidad!B28</f>
        <v>11126</v>
      </c>
      <c r="I31" s="171">
        <f>IF(Utilidad!D45&gt;1,Utilidad!D28&gt;100,Utilidad!D28)</f>
        <v>0.196191304347826</v>
      </c>
      <c r="J31" s="171">
        <f>IF(Utilidad!F45&gt;1,Utilidad!F28&gt;100,Utilidad!F28)</f>
        <v>0.15411964173913009</v>
      </c>
      <c r="L31" s="172">
        <f t="shared" si="4"/>
        <v>0</v>
      </c>
      <c r="M31" s="172">
        <f t="shared" si="1"/>
        <v>0</v>
      </c>
      <c r="N31" s="172">
        <f t="shared" si="1"/>
        <v>0</v>
      </c>
      <c r="P31" s="171">
        <f t="shared" si="2"/>
        <v>0</v>
      </c>
      <c r="Q31" s="171">
        <f t="shared" si="3"/>
        <v>0</v>
      </c>
      <c r="R31" s="171">
        <f t="shared" si="3"/>
        <v>0</v>
      </c>
    </row>
    <row r="32" spans="2:18" ht="19">
      <c r="B32" s="203"/>
      <c r="C32" s="204"/>
      <c r="D32" s="205"/>
      <c r="E32" s="205"/>
      <c r="G32" s="203"/>
      <c r="H32" s="204"/>
      <c r="I32" s="205"/>
      <c r="J32" s="205"/>
      <c r="L32" s="206"/>
      <c r="M32" s="206"/>
      <c r="N32" s="206"/>
      <c r="P32" s="205"/>
      <c r="Q32" s="205"/>
      <c r="R32" s="205"/>
    </row>
    <row r="33" spans="2:18" ht="19">
      <c r="B33" s="203"/>
      <c r="C33" s="204"/>
      <c r="D33" s="205"/>
      <c r="E33" s="205"/>
      <c r="G33" s="203"/>
      <c r="H33" s="204"/>
      <c r="I33" s="205"/>
      <c r="J33" s="205"/>
      <c r="L33" s="206"/>
      <c r="M33" s="206"/>
      <c r="N33" s="206"/>
      <c r="P33" s="205"/>
      <c r="Q33" s="205"/>
      <c r="R33" s="205"/>
    </row>
    <row r="34" spans="2:18" ht="19">
      <c r="B34" s="203"/>
      <c r="C34" s="204"/>
      <c r="D34" s="205"/>
      <c r="E34" s="205"/>
      <c r="G34" s="203"/>
      <c r="H34" s="204"/>
      <c r="I34" s="205"/>
      <c r="J34" s="205"/>
      <c r="L34" s="206"/>
      <c r="M34" s="206"/>
      <c r="N34" s="206"/>
      <c r="P34" s="205"/>
      <c r="Q34" s="205"/>
      <c r="R34" s="205"/>
    </row>
    <row r="35" spans="2:18" ht="19">
      <c r="B35" s="203"/>
      <c r="C35" s="204"/>
      <c r="D35" s="205"/>
      <c r="E35" s="205"/>
      <c r="G35" s="203"/>
      <c r="H35" s="204"/>
      <c r="I35" s="205"/>
      <c r="J35" s="205"/>
      <c r="L35" s="206"/>
      <c r="M35" s="206"/>
      <c r="N35" s="206"/>
      <c r="P35" s="205"/>
      <c r="Q35" s="205"/>
      <c r="R35" s="205"/>
    </row>
    <row r="36" spans="2:18" ht="19">
      <c r="B36" s="203"/>
      <c r="C36" s="204"/>
      <c r="D36" s="205"/>
      <c r="E36" s="205"/>
      <c r="G36" s="203"/>
      <c r="H36" s="204"/>
      <c r="I36" s="205"/>
      <c r="J36" s="205"/>
      <c r="L36" s="206"/>
      <c r="M36" s="206"/>
      <c r="N36" s="206"/>
      <c r="P36" s="205"/>
      <c r="Q36" s="205"/>
      <c r="R36" s="205"/>
    </row>
    <row r="37" spans="2:18" ht="19">
      <c r="B37" s="207"/>
      <c r="C37" s="204"/>
      <c r="D37" s="205"/>
      <c r="E37" s="205"/>
      <c r="G37" s="207"/>
      <c r="H37" s="204"/>
      <c r="I37" s="205"/>
      <c r="J37" s="205"/>
      <c r="L37" s="206"/>
      <c r="M37" s="206"/>
      <c r="N37" s="206"/>
      <c r="P37" s="205"/>
      <c r="Q37" s="205"/>
      <c r="R37" s="205"/>
    </row>
    <row r="38" spans="2:18" ht="19">
      <c r="B38" s="207"/>
      <c r="C38" s="204"/>
      <c r="D38" s="205"/>
      <c r="E38" s="205"/>
      <c r="G38" s="207"/>
      <c r="H38" s="204"/>
      <c r="I38" s="205"/>
      <c r="J38" s="205"/>
      <c r="L38" s="206"/>
      <c r="M38" s="206"/>
      <c r="N38" s="206"/>
      <c r="P38" s="205"/>
      <c r="Q38" s="205"/>
      <c r="R38" s="205"/>
    </row>
    <row r="39" spans="2:18" ht="19">
      <c r="B39" s="203"/>
      <c r="C39" s="204"/>
      <c r="D39" s="205"/>
      <c r="E39" s="205"/>
      <c r="G39" s="203"/>
      <c r="H39" s="204"/>
      <c r="I39" s="205"/>
      <c r="J39" s="205"/>
      <c r="L39" s="206"/>
      <c r="M39" s="206"/>
      <c r="N39" s="206"/>
      <c r="P39" s="205"/>
      <c r="Q39" s="205"/>
      <c r="R39" s="205"/>
    </row>
    <row r="40" spans="2:18" ht="19">
      <c r="B40" s="203"/>
      <c r="C40" s="204"/>
      <c r="D40" s="205"/>
      <c r="E40" s="205"/>
      <c r="G40" s="203"/>
      <c r="H40" s="204"/>
      <c r="I40" s="205"/>
      <c r="J40" s="205"/>
      <c r="L40" s="206"/>
      <c r="M40" s="206"/>
      <c r="N40" s="206"/>
      <c r="P40" s="205"/>
      <c r="Q40" s="205"/>
      <c r="R40" s="205"/>
    </row>
    <row r="41" spans="2:18" ht="19">
      <c r="B41" s="203"/>
      <c r="C41" s="204"/>
      <c r="D41" s="205"/>
      <c r="E41" s="205"/>
      <c r="G41" s="203"/>
      <c r="H41" s="204"/>
      <c r="I41" s="205"/>
      <c r="J41" s="205"/>
      <c r="L41" s="206"/>
      <c r="M41" s="206"/>
      <c r="N41" s="206"/>
      <c r="P41" s="205"/>
      <c r="Q41" s="205"/>
      <c r="R41" s="205"/>
    </row>
    <row r="42" spans="2:18" ht="19">
      <c r="B42" s="203"/>
      <c r="C42" s="204"/>
      <c r="D42" s="205"/>
      <c r="E42" s="205"/>
      <c r="G42" s="203"/>
      <c r="H42" s="204"/>
      <c r="I42" s="205"/>
      <c r="J42" s="205"/>
      <c r="L42" s="206"/>
      <c r="M42" s="206"/>
      <c r="N42" s="206"/>
      <c r="P42" s="205"/>
      <c r="Q42" s="205"/>
      <c r="R42" s="205"/>
    </row>
    <row r="43" spans="2:18" ht="19">
      <c r="B43" s="203"/>
      <c r="C43" s="204"/>
      <c r="D43" s="205"/>
      <c r="E43" s="205"/>
      <c r="G43" s="203"/>
      <c r="H43" s="204"/>
      <c r="I43" s="205"/>
      <c r="J43" s="205"/>
      <c r="L43" s="206"/>
      <c r="M43" s="206"/>
      <c r="N43" s="206"/>
      <c r="P43" s="205"/>
      <c r="Q43" s="205"/>
      <c r="R43" s="205"/>
    </row>
    <row r="44" spans="2:18" ht="19">
      <c r="B44" s="203"/>
      <c r="C44" s="204"/>
      <c r="D44" s="205"/>
      <c r="E44" s="205"/>
      <c r="G44" s="203"/>
      <c r="H44" s="204"/>
      <c r="I44" s="205"/>
      <c r="J44" s="205"/>
      <c r="L44" s="206"/>
      <c r="M44" s="206"/>
      <c r="N44" s="206"/>
      <c r="P44" s="205"/>
      <c r="Q44" s="205"/>
      <c r="R44" s="205"/>
    </row>
    <row r="45" spans="2:18" ht="19">
      <c r="B45" s="203"/>
      <c r="C45" s="204"/>
      <c r="D45" s="205"/>
      <c r="E45" s="205"/>
      <c r="G45" s="203"/>
      <c r="H45" s="204"/>
      <c r="I45" s="205"/>
      <c r="J45" s="205"/>
      <c r="L45" s="206"/>
      <c r="M45" s="206"/>
      <c r="N45" s="206"/>
      <c r="P45" s="205"/>
      <c r="Q45" s="205"/>
      <c r="R45" s="205"/>
    </row>
    <row r="46" spans="2:18" ht="19">
      <c r="B46" s="203"/>
      <c r="C46" s="204"/>
      <c r="D46" s="205"/>
      <c r="E46" s="205"/>
      <c r="G46" s="203"/>
      <c r="H46" s="204"/>
      <c r="I46" s="205"/>
      <c r="J46" s="205"/>
      <c r="L46" s="206"/>
      <c r="M46" s="206"/>
      <c r="N46" s="206"/>
      <c r="P46" s="205"/>
      <c r="Q46" s="205"/>
      <c r="R46" s="205"/>
    </row>
    <row r="47" spans="2:18" ht="19">
      <c r="B47" s="203"/>
      <c r="C47" s="204"/>
      <c r="D47" s="205"/>
      <c r="E47" s="205"/>
      <c r="G47" s="203"/>
      <c r="H47" s="204"/>
      <c r="I47" s="205"/>
      <c r="J47" s="205"/>
      <c r="L47" s="206"/>
      <c r="M47" s="206"/>
      <c r="N47" s="206"/>
      <c r="P47" s="205"/>
      <c r="Q47" s="205"/>
      <c r="R47" s="205"/>
    </row>
    <row r="48" spans="2:18" ht="19">
      <c r="B48" s="203"/>
      <c r="C48" s="204"/>
      <c r="D48" s="205"/>
      <c r="E48" s="205"/>
      <c r="G48" s="203"/>
      <c r="H48" s="204"/>
      <c r="I48" s="205"/>
      <c r="J48" s="205"/>
      <c r="L48" s="206"/>
      <c r="M48" s="206"/>
      <c r="N48" s="206"/>
      <c r="P48" s="205"/>
      <c r="Q48" s="205"/>
      <c r="R48" s="205"/>
    </row>
    <row r="49" spans="2:18" ht="19">
      <c r="B49" s="203"/>
      <c r="C49" s="204"/>
      <c r="D49" s="205"/>
      <c r="E49" s="205"/>
      <c r="G49" s="203"/>
      <c r="H49" s="204"/>
      <c r="I49" s="205"/>
      <c r="J49" s="205"/>
      <c r="L49" s="206"/>
      <c r="M49" s="206"/>
      <c r="N49" s="206"/>
      <c r="P49" s="205"/>
      <c r="Q49" s="205"/>
      <c r="R49" s="205"/>
    </row>
    <row r="50" spans="2:18" ht="19">
      <c r="B50" s="203"/>
      <c r="C50" s="204"/>
      <c r="D50" s="205"/>
      <c r="E50" s="205"/>
      <c r="G50" s="203"/>
      <c r="H50" s="204"/>
      <c r="I50" s="205"/>
      <c r="J50" s="205"/>
      <c r="L50" s="206"/>
      <c r="M50" s="206"/>
      <c r="N50" s="206"/>
      <c r="P50" s="205"/>
      <c r="Q50" s="205"/>
      <c r="R50" s="205"/>
    </row>
    <row r="51" spans="2:18" ht="19">
      <c r="B51" s="203"/>
      <c r="C51" s="204"/>
      <c r="D51" s="205"/>
      <c r="E51" s="205"/>
      <c r="G51" s="203"/>
      <c r="H51" s="204"/>
      <c r="I51" s="205"/>
      <c r="J51" s="205"/>
      <c r="L51" s="206"/>
      <c r="M51" s="206"/>
      <c r="N51" s="206"/>
      <c r="P51" s="205"/>
      <c r="Q51" s="205"/>
      <c r="R51" s="205"/>
    </row>
    <row r="52" spans="2:18" ht="19">
      <c r="B52" s="203"/>
      <c r="C52" s="204"/>
      <c r="D52" s="205"/>
      <c r="E52" s="205"/>
      <c r="G52" s="203"/>
      <c r="H52" s="204"/>
      <c r="I52" s="205"/>
      <c r="J52" s="205"/>
      <c r="L52" s="206"/>
      <c r="M52" s="206"/>
      <c r="N52" s="206"/>
      <c r="P52" s="205"/>
      <c r="Q52" s="205"/>
      <c r="R52" s="205"/>
    </row>
    <row r="53" spans="2:18" ht="19">
      <c r="B53" s="203"/>
      <c r="C53" s="204"/>
      <c r="D53" s="205"/>
      <c r="E53" s="205"/>
      <c r="G53" s="203"/>
      <c r="H53" s="204"/>
      <c r="I53" s="205"/>
      <c r="J53" s="205"/>
      <c r="L53" s="206"/>
      <c r="M53" s="206"/>
      <c r="N53" s="206"/>
      <c r="P53" s="205"/>
      <c r="Q53" s="205"/>
      <c r="R53" s="205"/>
    </row>
    <row r="54" spans="2:18">
      <c r="D54" s="83"/>
      <c r="M54" s="42"/>
      <c r="N54" s="42"/>
      <c r="O54" s="83"/>
      <c r="P54" s="44"/>
      <c r="Q54" s="83"/>
    </row>
    <row r="55" spans="2:18">
      <c r="D55" s="83"/>
      <c r="M55" s="42"/>
      <c r="N55" s="42"/>
      <c r="O55" s="83"/>
      <c r="P55" s="44"/>
      <c r="Q55" s="83"/>
    </row>
    <row r="56" spans="2:18" ht="16">
      <c r="D56" s="83"/>
      <c r="M56" s="42"/>
      <c r="N56" s="42"/>
      <c r="O56" s="83"/>
      <c r="P56" s="173"/>
      <c r="Q56" s="83"/>
    </row>
  </sheetData>
  <mergeCells count="3">
    <mergeCell ref="B2:E2"/>
    <mergeCell ref="G2:J2"/>
    <mergeCell ref="L2:N2"/>
  </mergeCells>
  <conditionalFormatting sqref="M54:N56 L4:M53">
    <cfRule type="expression" dxfId="5" priority="2">
      <formula>ABS(L4)&gt;=10%</formula>
    </cfRule>
  </conditionalFormatting>
  <conditionalFormatting sqref="N4:N53">
    <cfRule type="expression" dxfId="4" priority="1">
      <formula>ABS(N4)&gt;=10%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6:W45"/>
  <sheetViews>
    <sheetView showGridLines="0" zoomScaleNormal="100" workbookViewId="0">
      <selection activeCell="K34" sqref="K34"/>
    </sheetView>
  </sheetViews>
  <sheetFormatPr baseColWidth="10" defaultColWidth="11.5" defaultRowHeight="15"/>
  <cols>
    <col min="14" max="14" width="17.6640625" customWidth="1"/>
  </cols>
  <sheetData>
    <row r="6" spans="1:23">
      <c r="A6" s="49">
        <f>+'Bal ML FeT'!J20</f>
        <v>26924</v>
      </c>
      <c r="B6" s="2"/>
      <c r="C6" s="2"/>
      <c r="F6" s="49">
        <f>+'Bal ML FeT'!J22</f>
        <v>19699.46</v>
      </c>
      <c r="I6" s="49">
        <f>+'Bal ML FeT'!J24</f>
        <v>19779.46</v>
      </c>
    </row>
    <row r="7" spans="1:23">
      <c r="A7" s="50">
        <f>+'Bal ML FeT'!K20</f>
        <v>0.441342081414351</v>
      </c>
      <c r="B7" s="81">
        <f>+'Bal ML FeMag'!K20</f>
        <v>0.37928039488169252</v>
      </c>
      <c r="C7" s="2"/>
      <c r="F7" s="50">
        <f>+'Bal ML FeT'!K22</f>
        <v>0.46239999999999992</v>
      </c>
      <c r="G7" s="84">
        <f>+'Bal ML FeMag'!K22</f>
        <v>0.45593008209958086</v>
      </c>
      <c r="H7" s="52">
        <f>+'Bal ML FeT'!J23*'Bal ML FeT'!D23</f>
        <v>-80</v>
      </c>
      <c r="I7" s="50">
        <f>+'Bal ML FeT'!K24</f>
        <v>0.46239999999999998</v>
      </c>
      <c r="J7" s="83">
        <f>+'Bal ML FeMag'!K24</f>
        <v>0.45317539181294575</v>
      </c>
      <c r="N7" s="79" t="s">
        <v>141</v>
      </c>
      <c r="O7" s="80">
        <f>+F6/(A6+A14)</f>
        <v>0.54786161248157517</v>
      </c>
    </row>
    <row r="8" spans="1:23">
      <c r="A8" s="51">
        <f>+'Bal ML FeT'!L20</f>
        <v>11882.694199999985</v>
      </c>
      <c r="B8" s="82">
        <f>+'Bal ML FeMag'!L20</f>
        <v>10211.745351794689</v>
      </c>
      <c r="C8" s="2"/>
      <c r="F8" s="51">
        <f>+'Bal ML FeT'!L22</f>
        <v>9109.0303039999981</v>
      </c>
      <c r="G8" s="85">
        <f>+'Bal ML FeMag'!L22</f>
        <v>8981.576415117408</v>
      </c>
      <c r="H8" s="78">
        <f>+'Bal ML FeT'!L23*'Bal ML FeT'!D23</f>
        <v>-36.991999999999997</v>
      </c>
      <c r="I8" s="51">
        <f>+'Bal ML FeT'!L24</f>
        <v>9146.0223039999983</v>
      </c>
      <c r="J8" s="13">
        <f>+'Bal ML FeMag'!L24</f>
        <v>8963.564535348487</v>
      </c>
      <c r="N8" s="79" t="s">
        <v>142</v>
      </c>
      <c r="O8" s="80">
        <f>+F17/(A6+A14)</f>
        <v>0.24814166921600803</v>
      </c>
    </row>
    <row r="9" spans="1:23">
      <c r="A9" s="2"/>
      <c r="B9" s="2"/>
      <c r="C9" s="2"/>
      <c r="H9" s="85">
        <f>+'Bal ML FeMag'!L23*'Bal ML FeMag'!D23</f>
        <v>-31.233599999999999</v>
      </c>
    </row>
    <row r="10" spans="1:23">
      <c r="A10" s="2"/>
      <c r="B10" s="2"/>
      <c r="C10" s="2"/>
    </row>
    <row r="11" spans="1:23">
      <c r="A11" s="2"/>
      <c r="B11" s="2"/>
      <c r="C11" s="2"/>
    </row>
    <row r="12" spans="1:23">
      <c r="A12" s="2"/>
      <c r="B12" s="2"/>
      <c r="C12" s="2"/>
    </row>
    <row r="13" spans="1:23">
      <c r="A13" s="2"/>
      <c r="B13" s="2"/>
      <c r="C13" s="2"/>
    </row>
    <row r="14" spans="1:23" ht="16">
      <c r="A14" s="49">
        <f>+'Bal ML FeT'!J21</f>
        <v>9033</v>
      </c>
      <c r="B14" s="2"/>
      <c r="C14" s="2"/>
      <c r="N14" s="62" t="s">
        <v>117</v>
      </c>
    </row>
    <row r="15" spans="1:23" ht="19">
      <c r="A15" s="50">
        <f>+'Bal ML FeT'!K21</f>
        <v>0.42468630576774002</v>
      </c>
      <c r="B15" s="81">
        <f>+'Bal ML FeMag'!K21</f>
        <v>0.36724357273085934</v>
      </c>
      <c r="C15" s="2"/>
      <c r="N15" s="264" t="s">
        <v>118</v>
      </c>
      <c r="O15" s="264"/>
      <c r="P15" s="265"/>
      <c r="Q15" s="266" t="s">
        <v>119</v>
      </c>
      <c r="R15" s="266"/>
      <c r="S15" s="266"/>
      <c r="T15" s="267" t="s">
        <v>120</v>
      </c>
      <c r="U15" s="267"/>
      <c r="V15" s="267"/>
      <c r="W15" s="267"/>
    </row>
    <row r="16" spans="1:23">
      <c r="A16" s="51">
        <f>+'Bal ML FeT'!L21</f>
        <v>3836.1913999999956</v>
      </c>
      <c r="B16" s="82">
        <f>+'Bal ML FeMag'!L21</f>
        <v>3317.3111924778523</v>
      </c>
      <c r="C16" s="2"/>
      <c r="N16" s="257" t="s">
        <v>143</v>
      </c>
      <c r="O16" s="258"/>
      <c r="P16" s="63">
        <f>+A6</f>
        <v>26924</v>
      </c>
      <c r="Q16" s="259" t="s">
        <v>144</v>
      </c>
      <c r="R16" s="250"/>
      <c r="S16" s="64">
        <f>+H7</f>
        <v>-80</v>
      </c>
      <c r="T16" s="251" t="s">
        <v>145</v>
      </c>
      <c r="U16" s="251"/>
      <c r="V16" s="251"/>
      <c r="W16" s="64">
        <f>+I6</f>
        <v>19779.46</v>
      </c>
    </row>
    <row r="17" spans="1:23">
      <c r="A17" s="2"/>
      <c r="B17" s="2"/>
      <c r="C17" s="49">
        <f>+'Bal ML FeT'!J28</f>
        <v>7335.1100000000006</v>
      </c>
      <c r="F17" s="49">
        <f>+'Bal ML FeT'!J25</f>
        <v>8922.43</v>
      </c>
      <c r="I17" s="49">
        <f>+'Bal ML FeT'!J27</f>
        <v>7855.43</v>
      </c>
      <c r="N17" s="257" t="s">
        <v>146</v>
      </c>
      <c r="O17" s="258"/>
      <c r="P17" s="63">
        <f>+A14</f>
        <v>9033</v>
      </c>
      <c r="Q17" s="250" t="s">
        <v>147</v>
      </c>
      <c r="R17" s="250"/>
      <c r="S17" s="64">
        <f>+H18</f>
        <v>1067</v>
      </c>
      <c r="T17" s="251" t="s">
        <v>148</v>
      </c>
      <c r="U17" s="251"/>
      <c r="V17" s="251"/>
      <c r="W17" s="64">
        <f>+I17</f>
        <v>7855.43</v>
      </c>
    </row>
    <row r="18" spans="1:23">
      <c r="A18" s="2"/>
      <c r="B18" s="2"/>
      <c r="C18" s="50">
        <f>+'Bal ML FeT'!K28</f>
        <v>0.196191304347826</v>
      </c>
      <c r="D18" s="83">
        <f>+'Bal ML FeMag'!K28</f>
        <v>0.15411964173912998</v>
      </c>
      <c r="F18" s="50">
        <f>+'Bal ML FeT'!K25</f>
        <v>0.47120000000000006</v>
      </c>
      <c r="G18" s="84">
        <f>+'Bal ML FeMag'!K25</f>
        <v>0.44301316531417145</v>
      </c>
      <c r="H18" s="52">
        <f>+'Bal ML FeT'!J26*'Bal ML FeT'!D26</f>
        <v>1067</v>
      </c>
      <c r="I18" s="50">
        <f>+'Bal ML FeT'!K27</f>
        <v>0.47120000000000001</v>
      </c>
      <c r="J18" s="84">
        <f>+'Bal ML FeMag'!K27</f>
        <v>0.4388296784132556</v>
      </c>
      <c r="N18" s="257"/>
      <c r="O18" s="258"/>
      <c r="P18" s="63"/>
      <c r="Q18" s="250" t="s">
        <v>93</v>
      </c>
      <c r="R18" s="250"/>
      <c r="S18" s="64">
        <f>+C27</f>
        <v>176</v>
      </c>
      <c r="T18" s="251" t="s">
        <v>149</v>
      </c>
      <c r="U18" s="251"/>
      <c r="V18" s="251"/>
      <c r="W18" s="64">
        <f>+F26</f>
        <v>11126</v>
      </c>
    </row>
    <row r="19" spans="1:23" ht="19">
      <c r="A19" s="2"/>
      <c r="B19" s="2"/>
      <c r="C19" s="51">
        <f>+'Bal ML FeT'!L28</f>
        <v>1439.084798434782</v>
      </c>
      <c r="D19" s="13">
        <f>+'Bal ML FeMag'!L28</f>
        <v>1130.4845253171097</v>
      </c>
      <c r="F19" s="51">
        <f>+'Bal ML FeT'!L25</f>
        <v>4204.2490160000007</v>
      </c>
      <c r="G19" s="85">
        <f>+'Bal ML FeMag'!L25</f>
        <v>3952.7539565941229</v>
      </c>
      <c r="H19" s="78">
        <f>+'Bal ML FeT'!L26*'Bal ML FeT'!D26</f>
        <v>502.7704</v>
      </c>
      <c r="I19" s="51">
        <f>+'Bal ML FeT'!L27</f>
        <v>3701.4786160000003</v>
      </c>
      <c r="J19" s="85">
        <f>+'Bal ML FeMag'!L27</f>
        <v>3447.1958206978406</v>
      </c>
      <c r="N19" s="252" t="s">
        <v>128</v>
      </c>
      <c r="O19" s="253"/>
      <c r="P19" s="65">
        <f>+SUM(P16:P18)</f>
        <v>35957</v>
      </c>
      <c r="Q19" s="254" t="s">
        <v>129</v>
      </c>
      <c r="R19" s="254"/>
      <c r="S19" s="66">
        <f>+SUM(S16:S18)</f>
        <v>1163</v>
      </c>
      <c r="T19" s="254"/>
      <c r="U19" s="254"/>
      <c r="V19" s="254"/>
      <c r="W19" s="65">
        <f>+SUM(W16:W18)</f>
        <v>38760.89</v>
      </c>
    </row>
    <row r="20" spans="1:23">
      <c r="A20" s="2"/>
      <c r="B20" s="2"/>
      <c r="C20" s="2"/>
      <c r="H20" s="85">
        <f>+'Bal ML FeMag'!L26*'Bal ML FeMag'!D26</f>
        <v>506.21681000000001</v>
      </c>
    </row>
    <row r="21" spans="1:23" ht="19">
      <c r="A21" s="2"/>
      <c r="B21" s="2"/>
      <c r="C21" s="2"/>
      <c r="S21" s="67" t="s">
        <v>130</v>
      </c>
      <c r="T21" s="68"/>
      <c r="U21" s="69"/>
      <c r="V21" s="68"/>
      <c r="W21" s="70">
        <f>+P19-S19-W19</f>
        <v>-3966.8899999999994</v>
      </c>
    </row>
    <row r="22" spans="1:23">
      <c r="A22" s="2"/>
      <c r="B22" s="2"/>
      <c r="C22" s="2"/>
    </row>
    <row r="23" spans="1:23">
      <c r="A23" s="2"/>
      <c r="B23" s="2"/>
      <c r="C23" s="2"/>
    </row>
    <row r="24" spans="1:23">
      <c r="A24" s="2"/>
      <c r="B24" s="2"/>
      <c r="C24" s="2"/>
    </row>
    <row r="25" spans="1:23">
      <c r="A25" s="2"/>
      <c r="B25" s="2"/>
      <c r="C25" s="2"/>
    </row>
    <row r="26" spans="1:23" ht="16">
      <c r="A26" s="2"/>
      <c r="B26" s="2"/>
      <c r="C26" s="2"/>
      <c r="F26" s="49">
        <f>+'Bal ML FeT'!J30</f>
        <v>11126</v>
      </c>
      <c r="N26" s="62" t="s">
        <v>150</v>
      </c>
    </row>
    <row r="27" spans="1:23" ht="19">
      <c r="A27" s="2"/>
      <c r="B27" s="2"/>
      <c r="C27" s="52">
        <f>+'Bal ML FeT'!J29*'Bal ML FeT'!D29</f>
        <v>176</v>
      </c>
      <c r="F27" s="50">
        <f>+'Bal ML FeT'!K30</f>
        <v>0.196191304347826</v>
      </c>
      <c r="G27" s="83">
        <f>+'Bal ML FeMag'!K30</f>
        <v>0.15411964173913009</v>
      </c>
      <c r="N27" s="260" t="s">
        <v>118</v>
      </c>
      <c r="O27" s="260"/>
      <c r="P27" s="261"/>
      <c r="Q27" s="262" t="s">
        <v>119</v>
      </c>
      <c r="R27" s="262"/>
      <c r="S27" s="262"/>
      <c r="T27" s="263" t="s">
        <v>120</v>
      </c>
      <c r="U27" s="263"/>
      <c r="V27" s="263"/>
      <c r="W27" s="263"/>
    </row>
    <row r="28" spans="1:23">
      <c r="A28" s="2"/>
      <c r="B28" s="2"/>
      <c r="C28" s="78">
        <f>+'Bal ML FeT'!L29*'Bal ML FeT'!D29</f>
        <v>34.529669565217375</v>
      </c>
      <c r="F28" s="51">
        <f>+'Bal ML FeT'!L30</f>
        <v>2182.8244521739121</v>
      </c>
      <c r="G28" s="13">
        <f>+'Bal ML FeMag'!L30</f>
        <v>1714.7351339895615</v>
      </c>
      <c r="N28" s="257" t="s">
        <v>143</v>
      </c>
      <c r="O28" s="258"/>
      <c r="P28" s="63">
        <f>+A8</f>
        <v>11882.694199999985</v>
      </c>
      <c r="Q28" s="259" t="s">
        <v>144</v>
      </c>
      <c r="R28" s="250"/>
      <c r="S28" s="64">
        <f>+H8</f>
        <v>-36.991999999999997</v>
      </c>
      <c r="T28" s="251" t="s">
        <v>145</v>
      </c>
      <c r="U28" s="251"/>
      <c r="V28" s="251"/>
      <c r="W28" s="64">
        <f>+I8</f>
        <v>9146.0223039999983</v>
      </c>
    </row>
    <row r="29" spans="1:23">
      <c r="A29" s="2"/>
      <c r="B29" s="2"/>
      <c r="C29" s="85">
        <f>+'Bal ML FeMag'!L29*'Bal ML FeMag'!D29</f>
        <v>24.659142678260814</v>
      </c>
      <c r="N29" s="257" t="s">
        <v>146</v>
      </c>
      <c r="O29" s="258"/>
      <c r="P29" s="63">
        <f>+A16</f>
        <v>3836.1913999999956</v>
      </c>
      <c r="Q29" s="250" t="s">
        <v>147</v>
      </c>
      <c r="R29" s="250"/>
      <c r="S29" s="64">
        <f>+H19</f>
        <v>502.7704</v>
      </c>
      <c r="T29" s="251" t="s">
        <v>148</v>
      </c>
      <c r="U29" s="251"/>
      <c r="V29" s="251"/>
      <c r="W29" s="64">
        <f>+I19</f>
        <v>3701.4786160000003</v>
      </c>
    </row>
    <row r="30" spans="1:23">
      <c r="A30" s="2"/>
      <c r="B30" s="2"/>
      <c r="C30" s="2"/>
      <c r="N30" s="257"/>
      <c r="O30" s="258"/>
      <c r="P30" s="63"/>
      <c r="Q30" s="250" t="s">
        <v>93</v>
      </c>
      <c r="R30" s="250"/>
      <c r="S30" s="64">
        <f>+C28</f>
        <v>34.529669565217375</v>
      </c>
      <c r="T30" s="251" t="s">
        <v>149</v>
      </c>
      <c r="U30" s="251"/>
      <c r="V30" s="251"/>
      <c r="W30" s="64">
        <f>+F28</f>
        <v>2182.8244521739121</v>
      </c>
    </row>
    <row r="31" spans="1:23" ht="19">
      <c r="A31" s="2"/>
      <c r="B31" s="2"/>
      <c r="C31" s="2"/>
      <c r="N31" s="252" t="s">
        <v>128</v>
      </c>
      <c r="O31" s="253"/>
      <c r="P31" s="65">
        <f>+SUM(P28:P30)</f>
        <v>15718.885599999981</v>
      </c>
      <c r="Q31" s="254" t="s">
        <v>129</v>
      </c>
      <c r="R31" s="254"/>
      <c r="S31" s="66">
        <f>+SUM(S28:S30)</f>
        <v>500.30806956521735</v>
      </c>
      <c r="T31" s="254"/>
      <c r="U31" s="254"/>
      <c r="V31" s="254"/>
      <c r="W31" s="65">
        <f>+SUM(W28:W30)</f>
        <v>15030.325372173911</v>
      </c>
    </row>
    <row r="32" spans="1:23">
      <c r="A32" s="2"/>
      <c r="B32" s="2"/>
      <c r="C32" s="2"/>
    </row>
    <row r="33" spans="1:23" ht="19">
      <c r="A33" s="2"/>
      <c r="B33" s="2"/>
      <c r="C33" s="2"/>
      <c r="S33" s="67" t="s">
        <v>130</v>
      </c>
      <c r="T33" s="68"/>
      <c r="U33" s="69"/>
      <c r="V33" s="68"/>
      <c r="W33" s="70">
        <f>+P31-S31-W31</f>
        <v>188.25215826085332</v>
      </c>
    </row>
    <row r="34" spans="1:23">
      <c r="A34" s="2"/>
      <c r="B34" s="2"/>
      <c r="C34" s="2"/>
    </row>
    <row r="35" spans="1:23">
      <c r="A35" s="2"/>
      <c r="B35" s="2"/>
      <c r="C35" s="2"/>
    </row>
    <row r="36" spans="1:23">
      <c r="A36" s="2"/>
      <c r="B36" s="2"/>
      <c r="C36" s="2"/>
    </row>
    <row r="37" spans="1:23">
      <c r="A37" s="2"/>
      <c r="B37" s="2"/>
      <c r="C37" s="2"/>
    </row>
    <row r="38" spans="1:23" ht="16">
      <c r="A38" s="2"/>
      <c r="B38" s="2"/>
      <c r="C38" s="2"/>
      <c r="N38" s="62" t="s">
        <v>151</v>
      </c>
    </row>
    <row r="39" spans="1:23" ht="19">
      <c r="A39" s="2"/>
      <c r="B39" s="2"/>
      <c r="C39" s="2"/>
      <c r="N39" s="260" t="s">
        <v>118</v>
      </c>
      <c r="O39" s="260"/>
      <c r="P39" s="261"/>
      <c r="Q39" s="262" t="s">
        <v>119</v>
      </c>
      <c r="R39" s="262"/>
      <c r="S39" s="262"/>
      <c r="T39" s="263" t="s">
        <v>120</v>
      </c>
      <c r="U39" s="263"/>
      <c r="V39" s="263"/>
      <c r="W39" s="263"/>
    </row>
    <row r="40" spans="1:23">
      <c r="A40" s="2"/>
      <c r="B40" s="2"/>
      <c r="C40" s="2"/>
      <c r="N40" s="257" t="s">
        <v>143</v>
      </c>
      <c r="O40" s="258"/>
      <c r="P40" s="63">
        <f>+B8</f>
        <v>10211.745351794689</v>
      </c>
      <c r="Q40" s="259" t="s">
        <v>144</v>
      </c>
      <c r="R40" s="250"/>
      <c r="S40" s="64">
        <f>+H9</f>
        <v>-31.233599999999999</v>
      </c>
      <c r="T40" s="251" t="s">
        <v>145</v>
      </c>
      <c r="U40" s="251"/>
      <c r="V40" s="251"/>
      <c r="W40" s="64">
        <f>+J8</f>
        <v>8963.564535348487</v>
      </c>
    </row>
    <row r="41" spans="1:23">
      <c r="A41" s="2"/>
      <c r="B41" s="2"/>
      <c r="C41" s="2"/>
      <c r="N41" s="257" t="s">
        <v>146</v>
      </c>
      <c r="O41" s="258"/>
      <c r="P41" s="63">
        <f>+B16</f>
        <v>3317.3111924778523</v>
      </c>
      <c r="Q41" s="250" t="s">
        <v>147</v>
      </c>
      <c r="R41" s="250"/>
      <c r="S41" s="64">
        <f>+H20</f>
        <v>506.21681000000001</v>
      </c>
      <c r="T41" s="251" t="s">
        <v>148</v>
      </c>
      <c r="U41" s="251"/>
      <c r="V41" s="251"/>
      <c r="W41" s="64">
        <f>+J19</f>
        <v>3447.1958206978406</v>
      </c>
    </row>
    <row r="42" spans="1:23">
      <c r="A42" s="2"/>
      <c r="B42" s="2"/>
      <c r="C42" s="2"/>
      <c r="N42" s="257"/>
      <c r="O42" s="258"/>
      <c r="P42" s="63"/>
      <c r="Q42" s="250" t="s">
        <v>93</v>
      </c>
      <c r="R42" s="250"/>
      <c r="S42" s="64">
        <f>+C29</f>
        <v>24.659142678260814</v>
      </c>
      <c r="T42" s="251" t="s">
        <v>149</v>
      </c>
      <c r="U42" s="251"/>
      <c r="V42" s="251"/>
      <c r="W42" s="64">
        <f>+G28</f>
        <v>1714.7351339895615</v>
      </c>
    </row>
    <row r="43" spans="1:23" ht="19">
      <c r="A43" s="2"/>
      <c r="B43" s="2"/>
      <c r="C43" s="2"/>
      <c r="N43" s="252" t="s">
        <v>128</v>
      </c>
      <c r="O43" s="253"/>
      <c r="P43" s="65">
        <f>+SUM(P40:P42)</f>
        <v>13529.056544272542</v>
      </c>
      <c r="Q43" s="254" t="s">
        <v>129</v>
      </c>
      <c r="R43" s="254"/>
      <c r="S43" s="66">
        <f>+SUM(S40:S42)</f>
        <v>499.64235267826081</v>
      </c>
      <c r="T43" s="254"/>
      <c r="U43" s="254"/>
      <c r="V43" s="254"/>
      <c r="W43" s="65">
        <f>+SUM(W40:W42)</f>
        <v>14125.49549003589</v>
      </c>
    </row>
    <row r="45" spans="1:23" ht="19">
      <c r="S45" s="67" t="s">
        <v>130</v>
      </c>
      <c r="T45" s="68"/>
      <c r="U45" s="69"/>
      <c r="V45" s="68"/>
      <c r="W45" s="70">
        <f>+P43-S43-W43</f>
        <v>-1096.0812984416079</v>
      </c>
    </row>
  </sheetData>
  <mergeCells count="45">
    <mergeCell ref="N43:O43"/>
    <mergeCell ref="Q43:R43"/>
    <mergeCell ref="T43:V43"/>
    <mergeCell ref="N41:O41"/>
    <mergeCell ref="Q41:R41"/>
    <mergeCell ref="T41:V41"/>
    <mergeCell ref="N42:O42"/>
    <mergeCell ref="Q42:R42"/>
    <mergeCell ref="T42:V42"/>
    <mergeCell ref="N39:P39"/>
    <mergeCell ref="Q39:S39"/>
    <mergeCell ref="T39:W39"/>
    <mergeCell ref="N40:O40"/>
    <mergeCell ref="Q40:R40"/>
    <mergeCell ref="T40:V40"/>
    <mergeCell ref="N15:P15"/>
    <mergeCell ref="Q15:S15"/>
    <mergeCell ref="T15:W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N19:O19"/>
    <mergeCell ref="Q19:R19"/>
    <mergeCell ref="T19:V19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440B9D3-E7F8-4D67-8EFE-C64605AA1CD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C27</xm:sqref>
        </x14:conditionalFormatting>
        <x14:conditionalFormatting xmlns:xm="http://schemas.microsoft.com/office/excel/2006/main">
          <x14:cfRule type="iconSet" priority="5" id="{76B88E38-7A94-4170-8268-4064DDA4B0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4" id="{6F8ECCF2-5A47-4E22-85F4-6473555A4F4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H18</xm:sqref>
        </x14:conditionalFormatting>
        <x14:conditionalFormatting xmlns:xm="http://schemas.microsoft.com/office/excel/2006/main">
          <x14:cfRule type="iconSet" priority="3" id="{52B61189-CA26-49C1-8CCF-AB1E41705D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" id="{2DA1F13E-EB15-4C2C-8335-75CC1CA0D1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1" id="{E2617450-5361-4915-BAD5-E32D2F67BF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C59"/>
  <sheetViews>
    <sheetView topLeftCell="A15" zoomScale="80" zoomScaleNormal="80" workbookViewId="0">
      <selection activeCell="K20" sqref="K20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14" max="14" width="12.5" bestFit="1" customWidth="1"/>
    <col min="16" max="16" width="15.33203125" bestFit="1" customWidth="1"/>
    <col min="21" max="21" width="19.83203125" bestFit="1" customWidth="1"/>
  </cols>
  <sheetData>
    <row r="2" spans="5:29">
      <c r="G2" s="30"/>
      <c r="H2" s="30"/>
      <c r="I2" s="30"/>
      <c r="J2" s="30"/>
      <c r="K2" s="30"/>
    </row>
    <row r="3" spans="5:29">
      <c r="E3" s="174"/>
      <c r="F3" s="174"/>
      <c r="G3" s="198"/>
      <c r="H3" s="198"/>
      <c r="I3" s="198"/>
      <c r="J3" s="198"/>
      <c r="K3" s="198"/>
    </row>
    <row r="4" spans="5:29">
      <c r="E4" s="174"/>
      <c r="F4" s="174"/>
      <c r="G4" s="198"/>
      <c r="H4" s="198"/>
      <c r="I4" s="198"/>
      <c r="J4" s="198"/>
      <c r="K4" s="198"/>
    </row>
    <row r="5" spans="5:29">
      <c r="E5" s="174"/>
      <c r="F5" s="174"/>
      <c r="G5" s="198"/>
      <c r="H5" s="198"/>
      <c r="I5" s="198"/>
      <c r="J5" s="198"/>
      <c r="K5" s="198"/>
    </row>
    <row r="6" spans="5:29">
      <c r="E6" s="174"/>
      <c r="F6" s="174"/>
      <c r="G6" s="198"/>
      <c r="H6" s="198"/>
      <c r="I6" s="198"/>
      <c r="J6" s="198"/>
      <c r="K6" s="198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</row>
    <row r="7" spans="5:29">
      <c r="E7" s="174"/>
      <c r="F7" s="174"/>
      <c r="G7" s="198"/>
      <c r="H7" s="198"/>
      <c r="I7" s="198"/>
      <c r="J7" s="198"/>
      <c r="K7" s="198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</row>
    <row r="8" spans="5:29">
      <c r="E8" s="174"/>
      <c r="F8" s="174"/>
      <c r="G8" s="198"/>
      <c r="H8" s="198"/>
      <c r="I8" s="198"/>
      <c r="J8" s="198"/>
      <c r="K8" s="198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</row>
    <row r="9" spans="5:29">
      <c r="E9" s="174"/>
      <c r="F9" s="174"/>
      <c r="G9" s="198"/>
      <c r="H9" s="198"/>
      <c r="I9" s="198"/>
      <c r="J9" s="198"/>
      <c r="K9" s="198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4"/>
      <c r="Z9" s="194"/>
      <c r="AA9" s="191"/>
      <c r="AB9" s="191"/>
      <c r="AC9" s="191"/>
    </row>
    <row r="10" spans="5:29">
      <c r="E10" s="174"/>
      <c r="F10" s="174"/>
      <c r="G10" s="198"/>
      <c r="H10" s="198"/>
      <c r="I10" s="198"/>
      <c r="J10" s="198"/>
      <c r="K10" s="198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4"/>
      <c r="Z10" s="194"/>
      <c r="AA10" s="191"/>
      <c r="AB10" s="191"/>
      <c r="AC10" s="191"/>
    </row>
    <row r="11" spans="5:29">
      <c r="E11" s="174"/>
      <c r="F11" s="174"/>
      <c r="G11" s="198"/>
      <c r="H11" s="198"/>
      <c r="I11" s="198"/>
      <c r="J11" s="198"/>
      <c r="K11" s="198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4"/>
      <c r="Z11" s="194"/>
      <c r="AA11" s="191"/>
      <c r="AB11" s="191"/>
      <c r="AC11" s="191"/>
    </row>
    <row r="12" spans="5:29">
      <c r="E12" s="174"/>
      <c r="F12" s="174"/>
      <c r="G12" s="198"/>
      <c r="H12" s="198"/>
      <c r="I12" s="198"/>
      <c r="J12" s="198"/>
      <c r="K12" s="198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4"/>
      <c r="Z12" s="194"/>
      <c r="AA12" s="191"/>
      <c r="AB12" s="191"/>
      <c r="AC12" s="191"/>
    </row>
    <row r="13" spans="5:29">
      <c r="E13" s="174"/>
      <c r="F13" s="174"/>
      <c r="G13" s="198"/>
      <c r="H13" s="198"/>
      <c r="I13" s="198"/>
      <c r="J13" s="198"/>
      <c r="K13" s="198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4"/>
      <c r="Z13" s="194"/>
      <c r="AA13" s="191"/>
      <c r="AB13" s="191"/>
      <c r="AC13" s="191"/>
    </row>
    <row r="14" spans="5:29">
      <c r="E14" s="174"/>
      <c r="F14" s="174"/>
      <c r="G14" s="198"/>
      <c r="H14" s="198"/>
      <c r="I14" s="198"/>
      <c r="J14" s="198"/>
      <c r="K14" s="198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4"/>
      <c r="Z14" s="194"/>
      <c r="AA14" s="191"/>
      <c r="AB14" s="191"/>
      <c r="AC14" s="191"/>
    </row>
    <row r="15" spans="5:29">
      <c r="E15" s="174"/>
      <c r="F15" s="174"/>
      <c r="G15" s="198"/>
      <c r="H15" s="198"/>
      <c r="I15" s="198"/>
      <c r="J15" s="198"/>
      <c r="K15" s="198"/>
      <c r="M15" s="174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91"/>
      <c r="Y15" s="194"/>
      <c r="Z15" s="194"/>
      <c r="AA15" s="191"/>
      <c r="AB15" s="191"/>
      <c r="AC15" s="191"/>
    </row>
    <row r="16" spans="5:29">
      <c r="E16" s="174"/>
      <c r="F16" s="174"/>
      <c r="G16" s="198"/>
      <c r="H16" s="198"/>
      <c r="I16" s="201">
        <f>+G24-J24</f>
        <v>0</v>
      </c>
      <c r="J16" s="202"/>
      <c r="K16" s="198"/>
      <c r="M16" s="174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91"/>
      <c r="Y16" s="194"/>
      <c r="Z16" s="194"/>
      <c r="AA16" s="191"/>
      <c r="AB16" s="191"/>
      <c r="AC16" s="191"/>
    </row>
    <row r="17" spans="1:29" ht="16" thickBot="1">
      <c r="M17" s="174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91"/>
      <c r="Y17" s="194"/>
      <c r="Z17" s="194"/>
      <c r="AA17" s="191"/>
      <c r="AB17" s="191"/>
      <c r="AC17" s="191"/>
    </row>
    <row r="18" spans="1:29" ht="19">
      <c r="C18">
        <v>32846</v>
      </c>
      <c r="G18" s="244" t="s">
        <v>108</v>
      </c>
      <c r="H18" s="245"/>
      <c r="J18" s="247" t="s">
        <v>109</v>
      </c>
      <c r="K18" s="248"/>
      <c r="L18" s="249"/>
      <c r="M18" s="174"/>
      <c r="N18" s="246"/>
      <c r="O18" s="246"/>
      <c r="P18" s="178"/>
      <c r="Q18" s="178"/>
      <c r="R18" s="179"/>
      <c r="S18" s="178"/>
      <c r="T18" s="178"/>
      <c r="U18" s="178"/>
      <c r="V18" s="178"/>
      <c r="W18" s="178"/>
      <c r="X18" s="191"/>
      <c r="Y18" s="194"/>
      <c r="Z18" s="194"/>
      <c r="AA18" s="191"/>
      <c r="AB18" s="191"/>
      <c r="AC18" s="191"/>
    </row>
    <row r="19" spans="1:29">
      <c r="G19" s="5" t="s">
        <v>111</v>
      </c>
      <c r="H19" s="5" t="s">
        <v>13</v>
      </c>
      <c r="J19" s="8" t="s">
        <v>111</v>
      </c>
      <c r="K19" s="9" t="s">
        <v>13</v>
      </c>
      <c r="L19" s="10" t="s">
        <v>112</v>
      </c>
      <c r="M19" s="174"/>
      <c r="N19" s="180"/>
      <c r="O19" s="180"/>
      <c r="P19" s="181"/>
      <c r="Q19" s="182"/>
      <c r="R19" s="183"/>
      <c r="S19" s="182"/>
      <c r="T19" s="178"/>
      <c r="U19" s="178"/>
      <c r="V19" s="178"/>
      <c r="W19" s="178"/>
      <c r="X19" s="191"/>
      <c r="Y19" s="194"/>
      <c r="Z19" s="194"/>
      <c r="AA19" s="191"/>
      <c r="AB19" s="191"/>
      <c r="AC19" s="191"/>
    </row>
    <row r="20" spans="1:29">
      <c r="E20">
        <f t="shared" ref="E20:F30" si="0">+E3</f>
        <v>0</v>
      </c>
      <c r="F20">
        <f t="shared" si="0"/>
        <v>0</v>
      </c>
      <c r="G20" s="6">
        <f>+'Info Planta'!D18</f>
        <v>26924</v>
      </c>
      <c r="H20" s="7">
        <f>+'Info Planta'!E18</f>
        <v>0.441342081414351</v>
      </c>
      <c r="I20" s="44"/>
      <c r="J20" s="11">
        <f>Utilidad!B18</f>
        <v>26924</v>
      </c>
      <c r="K20" s="12">
        <f>IF(Utilidad!D18&gt;1,Utilidad!D18&gt;100,Utilidad!D18)</f>
        <v>0.441342081414351</v>
      </c>
      <c r="L20" s="11">
        <f>+J20*K20</f>
        <v>11882.694199999985</v>
      </c>
      <c r="M20" s="199"/>
      <c r="N20" s="184"/>
      <c r="O20" s="185"/>
      <c r="P20" s="184"/>
      <c r="Q20" s="182"/>
      <c r="R20" s="186"/>
      <c r="S20" s="182"/>
      <c r="T20" s="178"/>
      <c r="U20" s="178"/>
      <c r="V20" s="178"/>
      <c r="W20" s="178"/>
      <c r="X20" s="191"/>
      <c r="Y20" s="194"/>
      <c r="Z20" s="194"/>
      <c r="AA20" s="191"/>
      <c r="AB20" s="191"/>
      <c r="AC20" s="191"/>
    </row>
    <row r="21" spans="1:29">
      <c r="E21">
        <f t="shared" si="0"/>
        <v>0</v>
      </c>
      <c r="F21">
        <f t="shared" si="0"/>
        <v>0</v>
      </c>
      <c r="G21" s="6">
        <f>+'Info Planta'!D19</f>
        <v>9033</v>
      </c>
      <c r="H21" s="7">
        <f>+'Info Planta'!E19</f>
        <v>0.42468630576774002</v>
      </c>
      <c r="J21" s="11">
        <f>Utilidad!B19</f>
        <v>9033</v>
      </c>
      <c r="K21" s="12">
        <f>IF(Utilidad!D19&gt;1,Utilidad!D19&gt;100,Utilidad!D19)</f>
        <v>0.42468630576774002</v>
      </c>
      <c r="L21" s="11">
        <f>+J21*K21</f>
        <v>3836.1913999999956</v>
      </c>
      <c r="M21" s="174"/>
      <c r="N21" s="184"/>
      <c r="O21" s="185"/>
      <c r="P21" s="184"/>
      <c r="Q21" s="182"/>
      <c r="R21" s="186"/>
      <c r="S21" s="182"/>
      <c r="T21" s="178"/>
      <c r="U21" s="178"/>
      <c r="V21" s="178"/>
      <c r="W21" s="178"/>
      <c r="X21" s="191"/>
      <c r="Y21" s="194"/>
      <c r="Z21" s="194"/>
      <c r="AA21" s="191"/>
      <c r="AB21" s="191"/>
      <c r="AC21" s="191"/>
    </row>
    <row r="22" spans="1:29">
      <c r="E22">
        <f t="shared" si="0"/>
        <v>0</v>
      </c>
      <c r="F22">
        <f t="shared" si="0"/>
        <v>0</v>
      </c>
      <c r="G22" s="6">
        <f>+G24+A23</f>
        <v>19699.46</v>
      </c>
      <c r="H22" s="7">
        <f>+IF(G22&lt;&gt;0,(G24*H24+A23*H23)/G22,0)</f>
        <v>0.46239999999999992</v>
      </c>
      <c r="J22" s="11">
        <f>Utilidad!B20</f>
        <v>19699.46</v>
      </c>
      <c r="K22" s="12">
        <f>IF(Utilidad!D20&gt;1,Utilidad!D20&gt;100,Utilidad!D20)</f>
        <v>0.46239999999999992</v>
      </c>
      <c r="L22" s="11">
        <f t="shared" ref="L22:L28" si="1">+J22*K22</f>
        <v>9109.0303039999981</v>
      </c>
      <c r="M22" s="174"/>
      <c r="N22" s="184"/>
      <c r="O22" s="185"/>
      <c r="P22" s="184"/>
      <c r="Q22" s="182"/>
      <c r="R22" s="186"/>
      <c r="S22" s="182"/>
      <c r="T22" s="178"/>
      <c r="U22" s="178"/>
      <c r="V22" s="178"/>
      <c r="W22" s="178"/>
      <c r="X22" s="191"/>
      <c r="Y22" s="194"/>
      <c r="Z22" s="194"/>
      <c r="AA22" s="191"/>
      <c r="AB22" s="191"/>
      <c r="AC22" s="191"/>
    </row>
    <row r="23" spans="1:2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>
        <f t="shared" si="0"/>
        <v>0</v>
      </c>
      <c r="G23" s="6">
        <f>+ABS(A23)</f>
        <v>80</v>
      </c>
      <c r="H23" s="7">
        <f>+H24</f>
        <v>0.46239999999999998</v>
      </c>
      <c r="J23" s="11">
        <f>Utilidad!B21</f>
        <v>80</v>
      </c>
      <c r="K23" s="12">
        <f>IF(Utilidad!D21&gt;1,Utilidad!D21&gt;100,Utilidad!D21)</f>
        <v>0.46239999999999998</v>
      </c>
      <c r="L23" s="11">
        <f t="shared" si="1"/>
        <v>36.991999999999997</v>
      </c>
      <c r="M23" s="174"/>
      <c r="N23" s="184"/>
      <c r="O23" s="185"/>
      <c r="P23" s="184"/>
      <c r="Q23" s="182"/>
      <c r="R23" s="186"/>
      <c r="S23" s="182"/>
      <c r="T23" s="178"/>
      <c r="U23" s="178"/>
      <c r="V23" s="178"/>
      <c r="W23" s="178"/>
      <c r="X23" s="191"/>
      <c r="Y23" s="194"/>
      <c r="Z23" s="191"/>
      <c r="AA23" s="191"/>
      <c r="AB23" s="191"/>
      <c r="AC23" s="191"/>
    </row>
    <row r="24" spans="1:29">
      <c r="A24" s="13"/>
      <c r="B24" s="13"/>
      <c r="C24" s="13"/>
      <c r="E24">
        <f t="shared" si="0"/>
        <v>0</v>
      </c>
      <c r="F24" s="114">
        <f t="shared" si="0"/>
        <v>0</v>
      </c>
      <c r="G24" s="115">
        <f>+'Info Planta'!D24</f>
        <v>19779.46</v>
      </c>
      <c r="H24" s="116">
        <f>+'Info Planta'!E24</f>
        <v>0.46239999999999998</v>
      </c>
      <c r="I24" s="114"/>
      <c r="J24" s="11">
        <f>Utilidad!B22</f>
        <v>19779.46</v>
      </c>
      <c r="K24" s="12">
        <f>IF(Utilidad!D22&gt;1,Utilidad!D22&gt;100,Utilidad!D22)</f>
        <v>0.46239999999999998</v>
      </c>
      <c r="L24" s="115">
        <f t="shared" si="1"/>
        <v>9146.0223039999983</v>
      </c>
      <c r="M24" s="174"/>
      <c r="N24" s="184"/>
      <c r="O24" s="185"/>
      <c r="P24" s="184"/>
      <c r="Q24" s="182"/>
      <c r="R24" s="186"/>
      <c r="S24" s="182"/>
      <c r="T24" s="178"/>
      <c r="U24" s="178"/>
      <c r="V24" s="178"/>
      <c r="W24" s="178"/>
      <c r="X24" s="191"/>
      <c r="Y24" s="194"/>
      <c r="Z24" s="191"/>
      <c r="AA24" s="191"/>
      <c r="AB24" s="191"/>
      <c r="AC24" s="191"/>
    </row>
    <row r="25" spans="1:29">
      <c r="E25">
        <f t="shared" si="0"/>
        <v>0</v>
      </c>
      <c r="F25">
        <f t="shared" si="0"/>
        <v>0</v>
      </c>
      <c r="G25" s="6">
        <f>+G27+A26</f>
        <v>8922.43</v>
      </c>
      <c r="H25" s="7">
        <f>+IF(G25&lt;&gt;0,(G27*H27+A26*H26)/G25,0)</f>
        <v>0.47120000000000006</v>
      </c>
      <c r="J25" s="11">
        <f>Utilidad!B23</f>
        <v>8922.43</v>
      </c>
      <c r="K25" s="12">
        <f>IF(Utilidad!D23&gt;1,Utilidad!D23&gt;100,Utilidad!D23)</f>
        <v>0.47120000000000006</v>
      </c>
      <c r="L25" s="11">
        <f t="shared" si="1"/>
        <v>4204.2490160000007</v>
      </c>
      <c r="M25" s="174"/>
      <c r="N25" s="184"/>
      <c r="O25" s="185"/>
      <c r="P25" s="184"/>
      <c r="Q25" s="182"/>
      <c r="R25" s="186"/>
      <c r="S25" s="182"/>
      <c r="T25" s="178"/>
      <c r="U25" s="178"/>
      <c r="V25" s="178"/>
      <c r="W25" s="178"/>
      <c r="X25" s="191"/>
      <c r="Y25" s="194"/>
      <c r="Z25" s="191"/>
      <c r="AA25" s="191"/>
      <c r="AB25" s="191"/>
      <c r="AC25" s="191"/>
    </row>
    <row r="26" spans="1:2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>
        <f t="shared" si="0"/>
        <v>0</v>
      </c>
      <c r="G26" s="6">
        <f>+ABS(A26)</f>
        <v>1067</v>
      </c>
      <c r="H26" s="7">
        <f>+H27</f>
        <v>0.47120000000000001</v>
      </c>
      <c r="J26" s="11">
        <f>Utilidad!B24</f>
        <v>1067</v>
      </c>
      <c r="K26" s="12">
        <f>IF(Utilidad!D24&gt;1,Utilidad!D24&gt;100,Utilidad!D24)</f>
        <v>0.47120000000000001</v>
      </c>
      <c r="L26" s="11">
        <f t="shared" si="1"/>
        <v>502.7704</v>
      </c>
      <c r="M26" s="174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91"/>
      <c r="Y26" s="194"/>
      <c r="Z26" s="191"/>
      <c r="AA26" s="191"/>
      <c r="AB26" s="191"/>
      <c r="AC26" s="191"/>
    </row>
    <row r="27" spans="1:29">
      <c r="E27">
        <f t="shared" si="0"/>
        <v>0</v>
      </c>
      <c r="F27" s="114">
        <f t="shared" si="0"/>
        <v>0</v>
      </c>
      <c r="G27" s="115">
        <f>+'Info Planta'!D25</f>
        <v>7855.43</v>
      </c>
      <c r="H27" s="116">
        <f>+'Info Planta'!E25</f>
        <v>0.47120000000000001</v>
      </c>
      <c r="I27" s="114"/>
      <c r="J27" s="11">
        <f>Utilidad!B25</f>
        <v>7855.43</v>
      </c>
      <c r="K27" s="12">
        <f>IF(Utilidad!D25&gt;1,Utilidad!D25&gt;100,Utilidad!D25)</f>
        <v>0.47120000000000001</v>
      </c>
      <c r="L27" s="115">
        <f t="shared" si="1"/>
        <v>3701.4786160000003</v>
      </c>
      <c r="M27" s="174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91"/>
      <c r="Y27" s="191"/>
      <c r="Z27" s="191"/>
      <c r="AA27" s="191"/>
      <c r="AB27" s="191"/>
      <c r="AC27" s="191"/>
    </row>
    <row r="28" spans="1:29">
      <c r="A28" s="13"/>
      <c r="B28" s="13"/>
      <c r="C28" s="13"/>
      <c r="E28">
        <f t="shared" si="0"/>
        <v>0</v>
      </c>
      <c r="F28">
        <f t="shared" si="0"/>
        <v>0</v>
      </c>
      <c r="G28" s="6">
        <f>+G20+G21-(G22+G25)</f>
        <v>7335.1100000000006</v>
      </c>
      <c r="H28" s="7">
        <f>+IF(G28&lt;&gt;0,(G30*H30+G29*H29)/(G29+G30),0)</f>
        <v>0.196191304347826</v>
      </c>
      <c r="J28" s="11">
        <f>Utilidad!B26</f>
        <v>7335.1100000000006</v>
      </c>
      <c r="K28" s="12">
        <f>IF(Utilidad!D26&gt;1,Utilidad!D26&gt;100,Utilidad!D26)</f>
        <v>0.196191304347826</v>
      </c>
      <c r="L28" s="11">
        <f t="shared" si="1"/>
        <v>1439.084798434782</v>
      </c>
      <c r="M28" s="174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91"/>
      <c r="Y28" s="191"/>
      <c r="Z28" s="191"/>
      <c r="AA28" s="191"/>
      <c r="AB28" s="191"/>
      <c r="AC28" s="191"/>
    </row>
    <row r="29" spans="1:2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>
        <f t="shared" si="0"/>
        <v>0</v>
      </c>
      <c r="G29" s="6">
        <f>+ABS(A29)</f>
        <v>176</v>
      </c>
      <c r="H29" s="7">
        <f>+H30</f>
        <v>0.196191304347826</v>
      </c>
      <c r="J29" s="11">
        <f>Utilidad!B27</f>
        <v>176</v>
      </c>
      <c r="K29" s="12">
        <f>IF(Utilidad!D27&gt;1,Utilidad!D27&gt;100,Utilidad!D27)</f>
        <v>0.196191304347826</v>
      </c>
      <c r="L29" s="11">
        <f>+J29*K29</f>
        <v>34.529669565217375</v>
      </c>
      <c r="M29" s="174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91"/>
      <c r="Y29" s="191"/>
      <c r="Z29" s="191"/>
      <c r="AA29" s="191"/>
      <c r="AB29" s="191"/>
      <c r="AC29" s="191"/>
    </row>
    <row r="30" spans="1:29">
      <c r="E30">
        <f t="shared" si="0"/>
        <v>0</v>
      </c>
      <c r="F30">
        <f t="shared" si="0"/>
        <v>0</v>
      </c>
      <c r="G30" s="6">
        <f>+'Info Planta'!D26</f>
        <v>11126</v>
      </c>
      <c r="H30" s="7">
        <f>+'Info Planta'!E26</f>
        <v>0.196191304347826</v>
      </c>
      <c r="J30" s="11">
        <f>Utilidad!B28</f>
        <v>11126</v>
      </c>
      <c r="K30" s="12">
        <f>IF(Utilidad!D28&gt;1,Utilidad!D28&gt;100,Utilidad!D28)</f>
        <v>0.196191304347826</v>
      </c>
      <c r="L30" s="11">
        <f>+J30*K30</f>
        <v>2182.8244521739121</v>
      </c>
      <c r="M30" s="174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91"/>
      <c r="Y30" s="191"/>
      <c r="Z30" s="191"/>
      <c r="AA30" s="191"/>
      <c r="AB30" s="191"/>
      <c r="AC30" s="191"/>
    </row>
    <row r="31" spans="1:29">
      <c r="M31" s="174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91"/>
      <c r="Y31" s="191"/>
      <c r="Z31" s="191"/>
      <c r="AA31" s="191"/>
      <c r="AB31" s="191"/>
      <c r="AC31" s="191"/>
    </row>
    <row r="32" spans="1:29">
      <c r="D32" s="191"/>
      <c r="E32" s="191"/>
      <c r="F32" s="192"/>
      <c r="G32" s="242"/>
      <c r="H32" s="242"/>
      <c r="I32" s="191"/>
      <c r="J32" s="242"/>
      <c r="K32" s="242"/>
      <c r="L32" s="191"/>
      <c r="M32" s="178"/>
      <c r="N32" s="187"/>
      <c r="O32" s="178"/>
      <c r="P32" s="178"/>
      <c r="Q32" s="178"/>
      <c r="R32" s="178"/>
      <c r="S32" s="178"/>
      <c r="T32" s="178"/>
      <c r="U32" s="178"/>
      <c r="V32" s="178"/>
      <c r="W32" s="178"/>
      <c r="X32" s="191"/>
      <c r="Y32" s="191"/>
      <c r="Z32" s="191"/>
      <c r="AA32" s="191"/>
      <c r="AB32" s="191"/>
      <c r="AC32" s="191"/>
    </row>
    <row r="33" spans="4:29">
      <c r="D33" s="191"/>
      <c r="E33" s="191"/>
      <c r="F33" s="192"/>
      <c r="G33" s="193"/>
      <c r="H33" s="193"/>
      <c r="I33" s="191"/>
      <c r="J33" s="193"/>
      <c r="K33" s="193"/>
      <c r="L33" s="191"/>
      <c r="M33" s="187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91"/>
      <c r="Y33" s="191"/>
      <c r="Z33" s="191"/>
      <c r="AA33" s="191"/>
      <c r="AB33" s="191"/>
      <c r="AC33" s="191"/>
    </row>
    <row r="34" spans="4:29">
      <c r="D34" s="191"/>
      <c r="E34" s="191"/>
      <c r="F34" s="191"/>
      <c r="G34" s="191"/>
      <c r="H34" s="191"/>
      <c r="I34" s="191"/>
      <c r="J34" s="194"/>
      <c r="K34" s="195"/>
      <c r="L34" s="191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91"/>
      <c r="Y34" s="191"/>
      <c r="Z34" s="191"/>
      <c r="AA34" s="191"/>
      <c r="AB34" s="191"/>
      <c r="AC34" s="191"/>
    </row>
    <row r="35" spans="4:29">
      <c r="D35" s="191"/>
      <c r="E35" s="191"/>
      <c r="F35" s="191"/>
      <c r="G35" s="191"/>
      <c r="H35" s="191"/>
      <c r="I35" s="191"/>
      <c r="J35" s="194"/>
      <c r="K35" s="195"/>
      <c r="L35" s="191"/>
      <c r="M35" s="178"/>
      <c r="N35" s="178"/>
      <c r="O35" s="174"/>
      <c r="P35" s="175"/>
      <c r="Q35" s="174"/>
      <c r="R35" s="174"/>
      <c r="S35" s="174"/>
      <c r="T35" s="174"/>
      <c r="U35" s="174"/>
      <c r="V35" s="174"/>
      <c r="W35" s="174"/>
    </row>
    <row r="36" spans="4:29">
      <c r="D36" s="191"/>
      <c r="E36" s="191"/>
      <c r="F36" s="191"/>
      <c r="G36" s="191"/>
      <c r="H36" s="191"/>
      <c r="I36" s="191"/>
      <c r="J36" s="194"/>
      <c r="K36" s="195"/>
      <c r="L36" s="191"/>
      <c r="M36" s="178"/>
      <c r="N36" s="178"/>
      <c r="O36" s="174"/>
      <c r="P36" s="174"/>
      <c r="Q36" s="174"/>
      <c r="R36" s="174"/>
      <c r="S36" s="174"/>
      <c r="T36" s="174"/>
      <c r="U36" s="174"/>
      <c r="V36" s="174"/>
      <c r="W36" s="174"/>
    </row>
    <row r="37" spans="4:29">
      <c r="D37" s="191"/>
      <c r="E37" s="191"/>
      <c r="F37" s="191"/>
      <c r="G37" s="191"/>
      <c r="H37" s="191"/>
      <c r="I37" s="191"/>
      <c r="J37" s="194"/>
      <c r="K37" s="195"/>
      <c r="L37" s="191"/>
      <c r="M37" s="178"/>
      <c r="N37" s="178"/>
      <c r="O37" s="174"/>
      <c r="P37" s="174"/>
      <c r="Q37" s="174"/>
      <c r="R37" s="174"/>
      <c r="S37" s="174"/>
      <c r="T37" s="174"/>
      <c r="U37" s="174"/>
      <c r="V37" s="174"/>
      <c r="W37" s="174"/>
    </row>
    <row r="38" spans="4:29">
      <c r="D38" s="191"/>
      <c r="E38" s="191"/>
      <c r="F38" s="191"/>
      <c r="G38" s="191"/>
      <c r="H38" s="191"/>
      <c r="I38" s="191"/>
      <c r="J38" s="194"/>
      <c r="K38" s="195"/>
      <c r="L38" s="191"/>
      <c r="M38" s="178"/>
      <c r="N38" s="178"/>
      <c r="O38" s="174"/>
      <c r="P38" s="174"/>
      <c r="Q38" s="174"/>
      <c r="R38" s="174"/>
      <c r="S38" s="174"/>
      <c r="T38" s="174"/>
      <c r="U38" s="174"/>
      <c r="V38" s="174"/>
      <c r="W38" s="174"/>
    </row>
    <row r="39" spans="4:29">
      <c r="D39" s="191"/>
      <c r="E39" s="191"/>
      <c r="F39" s="191"/>
      <c r="G39" s="191"/>
      <c r="H39" s="191"/>
      <c r="I39" s="191"/>
      <c r="J39" s="194"/>
      <c r="K39" s="195"/>
      <c r="L39" s="191"/>
      <c r="M39" s="178"/>
      <c r="N39" s="178"/>
      <c r="O39" s="174"/>
      <c r="P39" s="174"/>
      <c r="Q39" s="174"/>
      <c r="R39" s="174"/>
      <c r="S39" s="174"/>
      <c r="T39" s="174"/>
      <c r="U39" s="174"/>
      <c r="V39" s="174"/>
      <c r="W39" s="174"/>
    </row>
    <row r="40" spans="4:29">
      <c r="D40" s="191"/>
      <c r="E40" s="191"/>
      <c r="F40" s="191"/>
      <c r="G40" s="191"/>
      <c r="H40" s="191"/>
      <c r="I40" s="191"/>
      <c r="J40" s="194"/>
      <c r="K40" s="195"/>
      <c r="L40" s="191"/>
      <c r="M40" s="178"/>
      <c r="N40" s="178"/>
      <c r="O40" s="174"/>
      <c r="P40" s="174"/>
      <c r="Q40" s="174"/>
      <c r="R40" s="174"/>
      <c r="S40" s="174"/>
      <c r="T40" s="174"/>
      <c r="U40" s="174"/>
      <c r="V40" s="174"/>
      <c r="W40" s="174"/>
    </row>
    <row r="41" spans="4:29">
      <c r="D41" s="191"/>
      <c r="E41" s="191"/>
      <c r="F41" s="191"/>
      <c r="G41" s="191"/>
      <c r="H41" s="191"/>
      <c r="I41" s="191"/>
      <c r="J41" s="194"/>
      <c r="K41" s="195"/>
      <c r="L41" s="191"/>
      <c r="M41" s="178"/>
      <c r="N41" s="178"/>
      <c r="O41" s="174"/>
      <c r="P41" s="174"/>
      <c r="Q41" s="174"/>
      <c r="R41" s="174"/>
      <c r="S41" s="174"/>
      <c r="T41" s="174"/>
      <c r="U41" s="174"/>
      <c r="V41" s="174"/>
      <c r="W41" s="174"/>
    </row>
    <row r="42" spans="4:29">
      <c r="D42" s="191"/>
      <c r="E42" s="191"/>
      <c r="F42" s="191"/>
      <c r="G42" s="191"/>
      <c r="H42" s="191"/>
      <c r="I42" s="191"/>
      <c r="J42" s="194"/>
      <c r="K42" s="195"/>
      <c r="L42" s="191"/>
      <c r="M42" s="178"/>
      <c r="N42" s="178"/>
      <c r="O42" s="174"/>
      <c r="P42" s="174"/>
      <c r="Q42" s="174"/>
      <c r="R42" s="174"/>
      <c r="S42" s="174"/>
      <c r="T42" s="174"/>
      <c r="U42" s="174"/>
      <c r="V42" s="174"/>
      <c r="W42" s="174"/>
    </row>
    <row r="43" spans="4:29">
      <c r="D43" s="191"/>
      <c r="E43" s="191"/>
      <c r="F43" s="191"/>
      <c r="G43" s="191"/>
      <c r="H43" s="191"/>
      <c r="I43" s="191"/>
      <c r="J43" s="194"/>
      <c r="K43" s="195"/>
      <c r="L43" s="191"/>
      <c r="M43" s="178"/>
      <c r="N43" s="178"/>
      <c r="O43" s="174"/>
      <c r="P43" s="174"/>
      <c r="Q43" s="174"/>
      <c r="R43" s="174"/>
      <c r="S43" s="174"/>
      <c r="T43" s="174"/>
      <c r="U43" s="174"/>
      <c r="V43" s="174"/>
      <c r="W43" s="174"/>
    </row>
    <row r="44" spans="4:29">
      <c r="D44" s="191"/>
      <c r="E44" s="191"/>
      <c r="F44" s="191"/>
      <c r="G44" s="191"/>
      <c r="H44" s="191"/>
      <c r="I44" s="191"/>
      <c r="J44" s="194"/>
      <c r="K44" s="195"/>
      <c r="L44" s="191"/>
      <c r="M44" s="178"/>
      <c r="N44" s="178"/>
      <c r="O44" s="174"/>
      <c r="P44" s="174"/>
      <c r="Q44" s="174"/>
      <c r="R44" s="174"/>
      <c r="S44" s="174"/>
      <c r="T44" s="174"/>
      <c r="U44" s="174"/>
      <c r="V44" s="174"/>
      <c r="W44" s="174"/>
    </row>
    <row r="45" spans="4:29">
      <c r="D45" s="191"/>
      <c r="E45" s="191"/>
      <c r="F45" s="191"/>
      <c r="G45" s="191"/>
      <c r="H45" s="191"/>
      <c r="I45" s="191"/>
      <c r="J45" s="191"/>
      <c r="K45" s="191"/>
      <c r="L45" s="191"/>
      <c r="M45" s="178"/>
      <c r="N45" s="178"/>
      <c r="O45" s="174"/>
      <c r="P45" s="174"/>
      <c r="Q45" s="174"/>
      <c r="R45" s="174"/>
      <c r="S45" s="174"/>
      <c r="T45" s="174"/>
      <c r="U45" s="174"/>
      <c r="V45" s="174"/>
      <c r="W45" s="174"/>
    </row>
    <row r="46" spans="4:29">
      <c r="D46" s="191"/>
      <c r="E46" s="191"/>
      <c r="F46" s="192"/>
      <c r="G46" s="242"/>
      <c r="H46" s="242"/>
      <c r="I46" s="191"/>
      <c r="J46" s="191"/>
      <c r="K46" s="191"/>
      <c r="L46" s="191"/>
      <c r="M46" s="178"/>
      <c r="N46" s="178"/>
      <c r="O46" s="174"/>
      <c r="P46" s="174"/>
      <c r="Q46" s="174"/>
      <c r="R46" s="174"/>
      <c r="S46" s="174"/>
      <c r="T46" s="174"/>
      <c r="U46" s="174"/>
      <c r="V46" s="174"/>
      <c r="W46" s="174"/>
    </row>
    <row r="47" spans="4:29">
      <c r="D47" s="191"/>
      <c r="E47" s="191"/>
      <c r="F47" s="192"/>
      <c r="G47" s="193"/>
      <c r="H47" s="193"/>
      <c r="I47" s="191"/>
      <c r="J47" s="191"/>
      <c r="K47" s="191"/>
      <c r="L47" s="191"/>
      <c r="M47" s="178"/>
      <c r="N47" s="178"/>
      <c r="O47" s="174"/>
      <c r="P47" s="174"/>
      <c r="Q47" s="174"/>
      <c r="R47" s="174"/>
      <c r="S47" s="174"/>
      <c r="T47" s="174"/>
      <c r="U47" s="174"/>
      <c r="V47" s="174"/>
      <c r="W47" s="174"/>
    </row>
    <row r="48" spans="4:29"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</row>
    <row r="49" spans="4:14"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</row>
    <row r="50" spans="4:14"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</row>
    <row r="51" spans="4:14"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</row>
    <row r="52" spans="4:14"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</row>
    <row r="53" spans="4:14"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</row>
    <row r="54" spans="4:14"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</row>
    <row r="55" spans="4:14"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</row>
    <row r="56" spans="4:14"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</row>
    <row r="57" spans="4:14"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</row>
    <row r="58" spans="4:14"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</row>
    <row r="59" spans="4:14"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1" priority="1">
      <formula>ABS(N20)&gt;=10%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2:AM64"/>
  <sheetViews>
    <sheetView zoomScale="80" zoomScaleNormal="80" workbookViewId="0">
      <selection activeCell="D32" sqref="D32:L64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9.83203125" bestFit="1" customWidth="1"/>
  </cols>
  <sheetData>
    <row r="2" spans="5:39">
      <c r="E2" s="174"/>
      <c r="F2" s="174"/>
      <c r="G2" s="197"/>
      <c r="H2" s="197"/>
      <c r="I2" s="197"/>
      <c r="J2" s="197"/>
      <c r="K2" s="197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</row>
    <row r="3" spans="5:39">
      <c r="E3" s="174"/>
      <c r="F3" s="174"/>
      <c r="G3" s="198"/>
      <c r="H3" s="198"/>
      <c r="I3" s="198"/>
      <c r="J3" s="198"/>
      <c r="K3" s="198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</row>
    <row r="4" spans="5:39">
      <c r="E4" s="174"/>
      <c r="F4" s="174"/>
      <c r="G4" s="198"/>
      <c r="H4" s="198"/>
      <c r="I4" s="198"/>
      <c r="J4" s="198"/>
      <c r="K4" s="198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</row>
    <row r="5" spans="5:39">
      <c r="E5" s="174"/>
      <c r="F5" s="174"/>
      <c r="G5" s="198"/>
      <c r="H5" s="198"/>
      <c r="I5" s="198"/>
      <c r="J5" s="198"/>
      <c r="K5" s="198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</row>
    <row r="6" spans="5:39">
      <c r="E6" s="174"/>
      <c r="F6" s="174"/>
      <c r="G6" s="198"/>
      <c r="H6" s="198"/>
      <c r="I6" s="198"/>
      <c r="J6" s="198"/>
      <c r="K6" s="198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</row>
    <row r="7" spans="5:39">
      <c r="E7" s="174"/>
      <c r="F7" s="174"/>
      <c r="G7" s="198"/>
      <c r="H7" s="198"/>
      <c r="I7" s="198"/>
      <c r="J7" s="198"/>
      <c r="K7" s="198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</row>
    <row r="8" spans="5:39">
      <c r="E8" s="174"/>
      <c r="F8" s="174"/>
      <c r="G8" s="198"/>
      <c r="H8" s="198"/>
      <c r="I8" s="198"/>
      <c r="J8" s="198"/>
      <c r="K8" s="198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</row>
    <row r="9" spans="5:39">
      <c r="E9" s="174"/>
      <c r="F9" s="174"/>
      <c r="G9" s="198"/>
      <c r="H9" s="198"/>
      <c r="I9" s="198"/>
      <c r="J9" s="198"/>
      <c r="K9" s="198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  <c r="Z9" s="175"/>
      <c r="AA9" s="174"/>
      <c r="AB9" s="174"/>
      <c r="AC9" s="174"/>
      <c r="AD9" s="174"/>
      <c r="AE9" s="174"/>
      <c r="AF9" s="174"/>
      <c r="AG9" s="174"/>
    </row>
    <row r="10" spans="5:39">
      <c r="E10" s="174"/>
      <c r="F10" s="174"/>
      <c r="G10" s="198"/>
      <c r="H10" s="198"/>
      <c r="I10" s="198"/>
      <c r="J10" s="198"/>
      <c r="K10" s="198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5"/>
      <c r="Z10" s="175"/>
      <c r="AA10" s="174"/>
      <c r="AB10" s="174"/>
      <c r="AC10" s="174"/>
      <c r="AD10" s="174"/>
      <c r="AE10" s="174"/>
      <c r="AF10" s="174"/>
      <c r="AG10" s="174"/>
    </row>
    <row r="11" spans="5:39">
      <c r="E11" s="174"/>
      <c r="F11" s="174"/>
      <c r="G11" s="198"/>
      <c r="H11" s="198"/>
      <c r="I11" s="198"/>
      <c r="J11" s="198"/>
      <c r="K11" s="198"/>
      <c r="L11" s="174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87"/>
      <c r="Z11" s="187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</row>
    <row r="12" spans="5:39">
      <c r="E12" s="174"/>
      <c r="F12" s="174"/>
      <c r="G12" s="198"/>
      <c r="H12" s="198"/>
      <c r="I12" s="198"/>
      <c r="J12" s="198"/>
      <c r="K12" s="198"/>
      <c r="L12" s="174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87"/>
      <c r="Z12" s="187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</row>
    <row r="13" spans="5:39">
      <c r="E13" s="174"/>
      <c r="F13" s="174"/>
      <c r="G13" s="198"/>
      <c r="H13" s="198"/>
      <c r="I13" s="198"/>
      <c r="J13" s="198"/>
      <c r="K13" s="198"/>
      <c r="L13" s="174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87"/>
      <c r="Z13" s="187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</row>
    <row r="14" spans="5:39">
      <c r="E14" s="174"/>
      <c r="F14" s="174"/>
      <c r="G14" s="198"/>
      <c r="H14" s="198"/>
      <c r="I14" s="198"/>
      <c r="J14" s="198"/>
      <c r="K14" s="198"/>
      <c r="L14" s="174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87"/>
      <c r="Z14" s="187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</row>
    <row r="15" spans="5:39">
      <c r="G15" s="29"/>
      <c r="H15" s="29"/>
      <c r="I15" s="29"/>
      <c r="J15" s="29"/>
      <c r="K15" s="29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87"/>
      <c r="Z15" s="187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</row>
    <row r="16" spans="5:39">
      <c r="G16" s="29"/>
      <c r="H16" s="29"/>
      <c r="I16" s="29"/>
      <c r="J16" s="29"/>
      <c r="K16" s="29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87"/>
      <c r="Z16" s="187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</row>
    <row r="17" spans="1:39" ht="16" thickBot="1"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87"/>
      <c r="Z17" s="187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</row>
    <row r="18" spans="1:39" ht="19">
      <c r="C18">
        <v>32846</v>
      </c>
      <c r="G18" s="244" t="s">
        <v>108</v>
      </c>
      <c r="H18" s="245"/>
      <c r="J18" s="247" t="s">
        <v>109</v>
      </c>
      <c r="K18" s="248"/>
      <c r="L18" s="248"/>
      <c r="M18" s="178"/>
      <c r="N18" s="246"/>
      <c r="O18" s="246"/>
      <c r="P18" s="178"/>
      <c r="Q18" s="178"/>
      <c r="R18" s="179"/>
      <c r="S18" s="178"/>
      <c r="T18" s="178"/>
      <c r="U18" s="178"/>
      <c r="V18" s="178"/>
      <c r="W18" s="178"/>
      <c r="X18" s="178"/>
      <c r="Y18" s="187"/>
      <c r="Z18" s="187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</row>
    <row r="19" spans="1:39">
      <c r="G19" s="5" t="s">
        <v>111</v>
      </c>
      <c r="H19" s="5" t="s">
        <v>115</v>
      </c>
      <c r="J19" s="8" t="s">
        <v>111</v>
      </c>
      <c r="K19" s="9" t="s">
        <v>115</v>
      </c>
      <c r="L19" s="176" t="s">
        <v>116</v>
      </c>
      <c r="M19" s="178"/>
      <c r="N19" s="180"/>
      <c r="O19" s="180"/>
      <c r="P19" s="181"/>
      <c r="Q19" s="182"/>
      <c r="R19" s="183"/>
      <c r="S19" s="182"/>
      <c r="T19" s="178"/>
      <c r="U19" s="178"/>
      <c r="V19" s="178"/>
      <c r="W19" s="178"/>
      <c r="X19" s="178"/>
      <c r="Y19" s="187"/>
      <c r="Z19" s="187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</row>
    <row r="20" spans="1:39">
      <c r="E20">
        <f t="shared" ref="E20:E30" si="0">+E3</f>
        <v>0</v>
      </c>
      <c r="F20" t="s">
        <v>134</v>
      </c>
      <c r="G20" s="6">
        <f>+'Bal ML FeT'!J20</f>
        <v>26924</v>
      </c>
      <c r="H20" s="7">
        <f>+'Info Planta'!F18</f>
        <v>0.40327125984251999</v>
      </c>
      <c r="I20" s="44"/>
      <c r="J20" s="11">
        <f>'Bal ML FeT'!J20</f>
        <v>26924</v>
      </c>
      <c r="K20" s="12">
        <f>IF(Utilidad!F18&gt;1,Utilidad!F18&gt;100,Utilidad!F18)</f>
        <v>0.37928039488169252</v>
      </c>
      <c r="L20" s="177">
        <f>+J20*K20</f>
        <v>10211.745351794689</v>
      </c>
      <c r="M20" s="200"/>
      <c r="N20" s="184"/>
      <c r="O20" s="185"/>
      <c r="P20" s="184"/>
      <c r="Q20" s="182"/>
      <c r="R20" s="186"/>
      <c r="S20" s="182"/>
      <c r="T20" s="178"/>
      <c r="U20" s="178"/>
      <c r="V20" s="178"/>
      <c r="W20" s="178"/>
      <c r="X20" s="178"/>
      <c r="Y20" s="187"/>
      <c r="Z20" s="187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</row>
    <row r="21" spans="1:39">
      <c r="E21">
        <f t="shared" si="0"/>
        <v>0</v>
      </c>
      <c r="F21" t="s">
        <v>135</v>
      </c>
      <c r="G21" s="6">
        <f>+'Bal ML FeT'!J21</f>
        <v>9033</v>
      </c>
      <c r="H21" s="7">
        <f>+'Info Planta'!F19</f>
        <v>0.37383114137052997</v>
      </c>
      <c r="J21" s="11">
        <f>'Bal ML FeT'!J21</f>
        <v>9033</v>
      </c>
      <c r="K21" s="12">
        <f>IF(Utilidad!F19&gt;1,Utilidad!F19&gt;100,Utilidad!F19)</f>
        <v>0.36724357273085934</v>
      </c>
      <c r="L21" s="177">
        <f t="shared" ref="L21:L30" si="1">+J21*K21</f>
        <v>3317.3111924778523</v>
      </c>
      <c r="M21" s="178"/>
      <c r="N21" s="184"/>
      <c r="O21" s="185"/>
      <c r="P21" s="184"/>
      <c r="Q21" s="182"/>
      <c r="R21" s="186"/>
      <c r="S21" s="182"/>
      <c r="T21" s="178"/>
      <c r="U21" s="178"/>
      <c r="V21" s="178"/>
      <c r="W21" s="178"/>
      <c r="X21" s="178"/>
      <c r="Y21" s="187"/>
      <c r="Z21" s="187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</row>
    <row r="22" spans="1:39">
      <c r="E22">
        <f t="shared" si="0"/>
        <v>0</v>
      </c>
      <c r="F22" t="s">
        <v>75</v>
      </c>
      <c r="G22" s="6">
        <f>+'Bal ML FeT'!J22</f>
        <v>19699.46</v>
      </c>
      <c r="H22" s="7">
        <f>+IF(G22&lt;&gt;0,(G24*H24+A23*H23)/G22,0)</f>
        <v>0.43380000000000002</v>
      </c>
      <c r="J22" s="11">
        <f>'Bal ML FeT'!J22</f>
        <v>19699.46</v>
      </c>
      <c r="K22" s="12">
        <f>IF(Utilidad!F20&gt;1,Utilidad!F20&gt;100,Utilidad!F20)</f>
        <v>0.45593008209958086</v>
      </c>
      <c r="L22" s="177">
        <f t="shared" si="1"/>
        <v>8981.576415117408</v>
      </c>
      <c r="M22" s="178"/>
      <c r="N22" s="184"/>
      <c r="O22" s="185"/>
      <c r="P22" s="184"/>
      <c r="Q22" s="182"/>
      <c r="R22" s="186"/>
      <c r="S22" s="182"/>
      <c r="T22" s="178"/>
      <c r="U22" s="178"/>
      <c r="V22" s="178"/>
      <c r="W22" s="178"/>
      <c r="X22" s="178"/>
      <c r="Y22" s="187"/>
      <c r="Z22" s="187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</row>
    <row r="23" spans="1:3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 t="s">
        <v>136</v>
      </c>
      <c r="G23" s="6">
        <f>+'Bal ML FeT'!J23</f>
        <v>80</v>
      </c>
      <c r="H23" s="7">
        <f>+H24</f>
        <v>0.43380000000000002</v>
      </c>
      <c r="J23" s="11">
        <f>'Bal ML FeT'!J23</f>
        <v>80</v>
      </c>
      <c r="K23" s="12">
        <f>IF(Utilidad!F21&gt;1,Utilidad!F21&gt;100,Utilidad!F21)</f>
        <v>0.39041999999999999</v>
      </c>
      <c r="L23" s="177">
        <f t="shared" si="1"/>
        <v>31.233599999999999</v>
      </c>
      <c r="M23" s="178"/>
      <c r="N23" s="184"/>
      <c r="O23" s="185"/>
      <c r="P23" s="184"/>
      <c r="Q23" s="182"/>
      <c r="R23" s="186"/>
      <c r="S23" s="182"/>
      <c r="T23" s="178"/>
      <c r="U23" s="178"/>
      <c r="V23" s="178"/>
      <c r="W23" s="178"/>
      <c r="X23" s="178"/>
      <c r="Y23" s="187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</row>
    <row r="24" spans="1:39">
      <c r="A24" s="13"/>
      <c r="B24" s="13"/>
      <c r="C24" s="13"/>
      <c r="E24">
        <f t="shared" si="0"/>
        <v>0</v>
      </c>
      <c r="F24" t="s">
        <v>137</v>
      </c>
      <c r="G24" s="6">
        <f>+'Bal ML FeT'!J24</f>
        <v>19779.46</v>
      </c>
      <c r="H24" s="7">
        <f>+'Info Planta'!F24</f>
        <v>0.43380000000000002</v>
      </c>
      <c r="J24" s="11">
        <f>'Bal ML FeT'!J24</f>
        <v>19779.46</v>
      </c>
      <c r="K24" s="12">
        <f>IF(Utilidad!F22&gt;1,Utilidad!F22&gt;100,Utilidad!F22)</f>
        <v>0.45317539181294575</v>
      </c>
      <c r="L24" s="177">
        <f t="shared" si="1"/>
        <v>8963.564535348487</v>
      </c>
      <c r="M24" s="178"/>
      <c r="N24" s="184"/>
      <c r="O24" s="185"/>
      <c r="P24" s="184"/>
      <c r="Q24" s="182"/>
      <c r="R24" s="186"/>
      <c r="S24" s="182"/>
      <c r="T24" s="178"/>
      <c r="U24" s="178"/>
      <c r="V24" s="178"/>
      <c r="W24" s="178"/>
      <c r="X24" s="178"/>
      <c r="Y24" s="187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</row>
    <row r="25" spans="1:39">
      <c r="E25">
        <f t="shared" si="0"/>
        <v>0</v>
      </c>
      <c r="F25" t="s">
        <v>76</v>
      </c>
      <c r="G25" s="6">
        <f>+'Bal ML FeT'!J25</f>
        <v>8922.43</v>
      </c>
      <c r="H25" s="7">
        <f>+IF(G25&lt;&gt;0,(G27*H27+A26*H26)/G25,0)</f>
        <v>0.43130000000000002</v>
      </c>
      <c r="J25" s="11">
        <f>'Bal ML FeT'!J25</f>
        <v>8922.43</v>
      </c>
      <c r="K25" s="12">
        <f>IF(Utilidad!F23&gt;1,Utilidad!F23&gt;100,Utilidad!F23)</f>
        <v>0.44301316531417145</v>
      </c>
      <c r="L25" s="177">
        <f t="shared" si="1"/>
        <v>3952.7539565941229</v>
      </c>
      <c r="M25" s="178"/>
      <c r="N25" s="184"/>
      <c r="O25" s="185"/>
      <c r="P25" s="184"/>
      <c r="Q25" s="182"/>
      <c r="R25" s="186"/>
      <c r="S25" s="182"/>
      <c r="T25" s="178"/>
      <c r="U25" s="178"/>
      <c r="V25" s="178"/>
      <c r="W25" s="178"/>
      <c r="X25" s="178"/>
      <c r="Y25" s="187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</row>
    <row r="26" spans="1:3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 t="s">
        <v>138</v>
      </c>
      <c r="G26" s="6">
        <f>+'Bal ML FeT'!J26</f>
        <v>1067</v>
      </c>
      <c r="H26" s="7">
        <f>+H27</f>
        <v>0.43130000000000002</v>
      </c>
      <c r="J26" s="11">
        <f>'Bal ML FeT'!J26</f>
        <v>1067</v>
      </c>
      <c r="K26" s="12">
        <f>IF(Utilidad!F24&gt;1,Utilidad!F24&gt;100,Utilidad!F24)</f>
        <v>0.47443000000000002</v>
      </c>
      <c r="L26" s="177">
        <f t="shared" si="1"/>
        <v>506.21681000000001</v>
      </c>
      <c r="M26" s="178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Y26" s="187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</row>
    <row r="27" spans="1:39">
      <c r="E27">
        <f t="shared" si="0"/>
        <v>0</v>
      </c>
      <c r="F27" t="s">
        <v>139</v>
      </c>
      <c r="G27" s="6">
        <f>+'Bal ML FeT'!J27</f>
        <v>7855.43</v>
      </c>
      <c r="H27" s="7">
        <f>+'Info Planta'!F25</f>
        <v>0.43130000000000002</v>
      </c>
      <c r="J27" s="11">
        <f>'Bal ML FeT'!J27</f>
        <v>7855.43</v>
      </c>
      <c r="K27" s="12">
        <f>IF(Utilidad!F25&gt;1,Utilidad!F25&gt;100,Utilidad!F25)</f>
        <v>0.4388296784132556</v>
      </c>
      <c r="L27" s="177">
        <f t="shared" si="1"/>
        <v>3447.1958206978406</v>
      </c>
      <c r="M27" s="178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</row>
    <row r="28" spans="1:39">
      <c r="A28" s="13"/>
      <c r="B28" s="13"/>
      <c r="C28" s="13"/>
      <c r="E28">
        <f t="shared" si="0"/>
        <v>0</v>
      </c>
      <c r="F28" t="s">
        <v>77</v>
      </c>
      <c r="G28" s="6">
        <f>+'Bal ML FeT'!J28</f>
        <v>7335.1100000000006</v>
      </c>
      <c r="H28" s="7">
        <f>+IF(G28&lt;&gt;0,(G30*H30+A29*H29)/G28,0)</f>
        <v>0.21588077949573392</v>
      </c>
      <c r="J28" s="11">
        <f>'Bal ML FeT'!J28</f>
        <v>7335.1100000000006</v>
      </c>
      <c r="K28" s="12">
        <f>IF(Utilidad!F26&gt;1,Utilidad!F26&gt;100,Utilidad!F26)</f>
        <v>0.15411964173912998</v>
      </c>
      <c r="L28" s="177">
        <f t="shared" si="1"/>
        <v>1130.4845253171097</v>
      </c>
      <c r="M28" s="178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</row>
    <row r="29" spans="1:3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 t="s">
        <v>140</v>
      </c>
      <c r="G29" s="6">
        <f>+'Bal ML FeT'!J29</f>
        <v>176</v>
      </c>
      <c r="H29" s="7">
        <f>+H30</f>
        <v>0.14010876521739099</v>
      </c>
      <c r="J29" s="11">
        <f>'Bal ML FeT'!J29</f>
        <v>176</v>
      </c>
      <c r="K29" s="12">
        <f>IF(Utilidad!F27&gt;1,Utilidad!F27&gt;100,Utilidad!F27)</f>
        <v>0.14010876521739099</v>
      </c>
      <c r="L29" s="177">
        <f t="shared" si="1"/>
        <v>24.659142678260814</v>
      </c>
      <c r="M29" s="178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</row>
    <row r="30" spans="1:39">
      <c r="E30">
        <f t="shared" si="0"/>
        <v>0</v>
      </c>
      <c r="F30" t="s">
        <v>80</v>
      </c>
      <c r="G30" s="6">
        <f>+'Bal ML FeT'!J30</f>
        <v>11126</v>
      </c>
      <c r="H30" s="7">
        <f>+'Info Planta'!F26</f>
        <v>0.14010876521739099</v>
      </c>
      <c r="J30" s="11">
        <f>'Bal ML FeT'!J30</f>
        <v>11126</v>
      </c>
      <c r="K30" s="12">
        <f>IF(Utilidad!F28&gt;1,Utilidad!F28&gt;100,Utilidad!F28)</f>
        <v>0.15411964173913009</v>
      </c>
      <c r="L30" s="177">
        <f t="shared" si="1"/>
        <v>1714.7351339895615</v>
      </c>
      <c r="M30" s="178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</row>
    <row r="31" spans="1:39"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</row>
    <row r="32" spans="1:39">
      <c r="D32" s="191"/>
      <c r="E32" s="191"/>
      <c r="F32" s="192"/>
      <c r="G32" s="242"/>
      <c r="H32" s="242"/>
      <c r="I32" s="191"/>
      <c r="J32" s="242"/>
      <c r="K32" s="242"/>
      <c r="L32" s="191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</row>
    <row r="33" spans="4:39">
      <c r="D33" s="191"/>
      <c r="E33" s="191"/>
      <c r="F33" s="192"/>
      <c r="G33" s="193"/>
      <c r="H33" s="193"/>
      <c r="I33" s="191"/>
      <c r="J33" s="193"/>
      <c r="K33" s="193"/>
      <c r="L33" s="191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</row>
    <row r="34" spans="4:39">
      <c r="D34" s="191"/>
      <c r="E34" s="191"/>
      <c r="F34" s="191"/>
      <c r="G34" s="191"/>
      <c r="H34" s="191"/>
      <c r="I34" s="191"/>
      <c r="J34" s="194"/>
      <c r="K34" s="195"/>
      <c r="L34" s="191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</row>
    <row r="35" spans="4:39">
      <c r="D35" s="191"/>
      <c r="E35" s="191"/>
      <c r="F35" s="191"/>
      <c r="G35" s="191"/>
      <c r="H35" s="191"/>
      <c r="I35" s="191"/>
      <c r="J35" s="194"/>
      <c r="K35" s="195"/>
      <c r="L35" s="191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</row>
    <row r="36" spans="4:39">
      <c r="D36" s="191"/>
      <c r="E36" s="191"/>
      <c r="F36" s="191"/>
      <c r="G36" s="191"/>
      <c r="H36" s="191"/>
      <c r="I36" s="191"/>
      <c r="J36" s="194"/>
      <c r="K36" s="195"/>
      <c r="L36" s="191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</row>
    <row r="37" spans="4:39">
      <c r="D37" s="191"/>
      <c r="E37" s="191"/>
      <c r="F37" s="191"/>
      <c r="G37" s="191"/>
      <c r="H37" s="191"/>
      <c r="I37" s="191"/>
      <c r="J37" s="194"/>
      <c r="K37" s="195"/>
      <c r="L37" s="191"/>
    </row>
    <row r="38" spans="4:39">
      <c r="D38" s="191"/>
      <c r="E38" s="191"/>
      <c r="F38" s="191"/>
      <c r="G38" s="191"/>
      <c r="H38" s="191"/>
      <c r="I38" s="191"/>
      <c r="J38" s="194"/>
      <c r="K38" s="195"/>
      <c r="L38" s="191"/>
    </row>
    <row r="39" spans="4:39">
      <c r="D39" s="191"/>
      <c r="E39" s="191"/>
      <c r="F39" s="191"/>
      <c r="G39" s="191"/>
      <c r="H39" s="191"/>
      <c r="I39" s="191"/>
      <c r="J39" s="194"/>
      <c r="K39" s="195"/>
      <c r="L39" s="191"/>
    </row>
    <row r="40" spans="4:39">
      <c r="D40" s="191"/>
      <c r="E40" s="191"/>
      <c r="F40" s="191"/>
      <c r="G40" s="191"/>
      <c r="H40" s="191"/>
      <c r="I40" s="191"/>
      <c r="J40" s="194"/>
      <c r="K40" s="195"/>
      <c r="L40" s="191"/>
    </row>
    <row r="41" spans="4:39">
      <c r="D41" s="191"/>
      <c r="E41" s="191"/>
      <c r="F41" s="191"/>
      <c r="G41" s="191"/>
      <c r="H41" s="191"/>
      <c r="I41" s="191"/>
      <c r="J41" s="194"/>
      <c r="K41" s="195"/>
      <c r="L41" s="191"/>
    </row>
    <row r="42" spans="4:39">
      <c r="D42" s="191"/>
      <c r="E42" s="191"/>
      <c r="F42" s="191"/>
      <c r="G42" s="191"/>
      <c r="H42" s="191"/>
      <c r="I42" s="191"/>
      <c r="J42" s="194"/>
      <c r="K42" s="195"/>
      <c r="L42" s="191"/>
    </row>
    <row r="43" spans="4:39">
      <c r="D43" s="191"/>
      <c r="E43" s="191"/>
      <c r="F43" s="191"/>
      <c r="G43" s="191"/>
      <c r="H43" s="191"/>
      <c r="I43" s="191"/>
      <c r="J43" s="194"/>
      <c r="K43" s="195"/>
      <c r="L43" s="191"/>
    </row>
    <row r="44" spans="4:39">
      <c r="D44" s="191"/>
      <c r="E44" s="191"/>
      <c r="F44" s="191"/>
      <c r="G44" s="191"/>
      <c r="H44" s="191"/>
      <c r="I44" s="191"/>
      <c r="J44" s="194"/>
      <c r="K44" s="195"/>
      <c r="L44" s="191"/>
    </row>
    <row r="45" spans="4:39">
      <c r="D45" s="191"/>
      <c r="E45" s="191"/>
      <c r="F45" s="191"/>
      <c r="G45" s="191"/>
      <c r="H45" s="191"/>
      <c r="I45" s="191"/>
      <c r="J45" s="191"/>
      <c r="K45" s="191"/>
      <c r="L45" s="191"/>
    </row>
    <row r="46" spans="4:39">
      <c r="D46" s="191"/>
      <c r="E46" s="191"/>
      <c r="F46" s="192"/>
      <c r="G46" s="242"/>
      <c r="H46" s="242"/>
      <c r="I46" s="191"/>
      <c r="J46" s="191"/>
      <c r="K46" s="191"/>
      <c r="L46" s="191"/>
    </row>
    <row r="47" spans="4:39">
      <c r="D47" s="191"/>
      <c r="E47" s="191"/>
      <c r="F47" s="192"/>
      <c r="G47" s="193"/>
      <c r="H47" s="193"/>
      <c r="I47" s="191"/>
      <c r="J47" s="191"/>
      <c r="K47" s="191"/>
      <c r="L47" s="191"/>
    </row>
    <row r="48" spans="4:39">
      <c r="D48" s="191"/>
      <c r="E48" s="191"/>
      <c r="F48" s="191"/>
      <c r="G48" s="191"/>
      <c r="H48" s="191"/>
      <c r="I48" s="191"/>
      <c r="J48" s="191"/>
      <c r="K48" s="191"/>
      <c r="L48" s="191"/>
    </row>
    <row r="49" spans="4:12">
      <c r="D49" s="191"/>
      <c r="E49" s="191"/>
      <c r="F49" s="191"/>
      <c r="G49" s="191"/>
      <c r="H49" s="191"/>
      <c r="I49" s="191"/>
      <c r="J49" s="191"/>
      <c r="K49" s="191"/>
      <c r="L49" s="191"/>
    </row>
    <row r="50" spans="4:12">
      <c r="D50" s="191"/>
      <c r="E50" s="191"/>
      <c r="F50" s="191"/>
      <c r="G50" s="191"/>
      <c r="H50" s="191"/>
      <c r="I50" s="191"/>
      <c r="J50" s="191"/>
      <c r="K50" s="191"/>
      <c r="L50" s="191"/>
    </row>
    <row r="51" spans="4:12">
      <c r="D51" s="191"/>
      <c r="E51" s="191"/>
      <c r="F51" s="191"/>
      <c r="G51" s="191"/>
      <c r="H51" s="191"/>
      <c r="I51" s="191"/>
      <c r="J51" s="191"/>
      <c r="K51" s="191"/>
      <c r="L51" s="191"/>
    </row>
    <row r="52" spans="4:12">
      <c r="D52" s="191"/>
      <c r="E52" s="191"/>
      <c r="F52" s="191"/>
      <c r="G52" s="191"/>
      <c r="H52" s="191"/>
      <c r="I52" s="191"/>
      <c r="J52" s="191"/>
      <c r="K52" s="191"/>
      <c r="L52" s="191"/>
    </row>
    <row r="53" spans="4:12">
      <c r="D53" s="191"/>
      <c r="E53" s="191"/>
      <c r="F53" s="191"/>
      <c r="G53" s="191"/>
      <c r="H53" s="191"/>
      <c r="I53" s="191"/>
      <c r="J53" s="191"/>
      <c r="K53" s="191"/>
      <c r="L53" s="191"/>
    </row>
    <row r="54" spans="4:12">
      <c r="D54" s="191"/>
      <c r="E54" s="191"/>
      <c r="F54" s="191"/>
      <c r="G54" s="191"/>
      <c r="H54" s="191"/>
      <c r="I54" s="191"/>
      <c r="J54" s="191"/>
      <c r="K54" s="191"/>
      <c r="L54" s="191"/>
    </row>
    <row r="55" spans="4:12">
      <c r="D55" s="191"/>
      <c r="E55" s="191"/>
      <c r="F55" s="191"/>
      <c r="G55" s="191"/>
      <c r="H55" s="191"/>
      <c r="I55" s="191"/>
      <c r="J55" s="191"/>
      <c r="K55" s="191"/>
      <c r="L55" s="191"/>
    </row>
    <row r="56" spans="4:12">
      <c r="D56" s="191"/>
      <c r="E56" s="191"/>
      <c r="F56" s="191"/>
      <c r="G56" s="191"/>
      <c r="H56" s="191"/>
      <c r="I56" s="191"/>
      <c r="J56" s="191"/>
      <c r="K56" s="191"/>
      <c r="L56" s="191"/>
    </row>
    <row r="57" spans="4:12">
      <c r="D57" s="191"/>
      <c r="E57" s="191"/>
      <c r="F57" s="191"/>
      <c r="G57" s="191"/>
      <c r="H57" s="191"/>
      <c r="I57" s="191"/>
      <c r="J57" s="191"/>
      <c r="K57" s="191"/>
      <c r="L57" s="191"/>
    </row>
    <row r="58" spans="4:12">
      <c r="D58" s="191"/>
      <c r="E58" s="191"/>
      <c r="F58" s="191"/>
      <c r="G58" s="191"/>
      <c r="H58" s="191"/>
      <c r="I58" s="191"/>
      <c r="J58" s="191"/>
      <c r="K58" s="191"/>
      <c r="L58" s="191"/>
    </row>
    <row r="59" spans="4:12">
      <c r="D59" s="191"/>
      <c r="E59" s="191"/>
      <c r="F59" s="191"/>
      <c r="G59" s="191"/>
      <c r="H59" s="191"/>
      <c r="I59" s="191"/>
      <c r="J59" s="191"/>
      <c r="K59" s="191"/>
      <c r="L59" s="191"/>
    </row>
    <row r="60" spans="4:12">
      <c r="D60" s="191"/>
      <c r="E60" s="191"/>
      <c r="F60" s="191"/>
      <c r="G60" s="191"/>
      <c r="H60" s="191"/>
      <c r="I60" s="191"/>
      <c r="J60" s="191"/>
      <c r="K60" s="191"/>
      <c r="L60" s="191"/>
    </row>
    <row r="61" spans="4:12">
      <c r="D61" s="191"/>
      <c r="E61" s="191"/>
      <c r="F61" s="191"/>
      <c r="G61" s="191"/>
      <c r="H61" s="191"/>
      <c r="I61" s="191"/>
      <c r="J61" s="191"/>
      <c r="K61" s="191"/>
      <c r="L61" s="191"/>
    </row>
    <row r="62" spans="4:12">
      <c r="D62" s="191"/>
      <c r="E62" s="191"/>
      <c r="F62" s="191"/>
      <c r="G62" s="191"/>
      <c r="H62" s="191"/>
      <c r="I62" s="191"/>
      <c r="J62" s="191"/>
      <c r="K62" s="191"/>
      <c r="L62" s="191"/>
    </row>
    <row r="63" spans="4:12">
      <c r="D63" s="191"/>
      <c r="E63" s="191"/>
      <c r="F63" s="191"/>
      <c r="G63" s="191"/>
      <c r="H63" s="191"/>
      <c r="I63" s="191"/>
      <c r="J63" s="191"/>
      <c r="K63" s="191"/>
      <c r="L63" s="191"/>
    </row>
    <row r="64" spans="4:12">
      <c r="D64" s="191"/>
      <c r="E64" s="191"/>
      <c r="F64" s="191"/>
      <c r="G64" s="191"/>
      <c r="H64" s="191"/>
      <c r="I64" s="191"/>
      <c r="J64" s="191"/>
      <c r="K64" s="191"/>
      <c r="L64" s="19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0" priority="1">
      <formula>ABS(N20)&gt;=10%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X77"/>
  <sheetViews>
    <sheetView showGridLines="0" view="pageBreakPreview" topLeftCell="A14" zoomScale="80" zoomScaleNormal="100" zoomScaleSheetLayoutView="80" workbookViewId="0">
      <selection activeCell="E48" sqref="E48:F49"/>
    </sheetView>
  </sheetViews>
  <sheetFormatPr baseColWidth="10" defaultColWidth="11.5" defaultRowHeight="15"/>
  <cols>
    <col min="3" max="3" width="36.1640625" customWidth="1"/>
    <col min="4" max="6" width="11.5" style="29"/>
    <col min="8" max="8" width="16.5" customWidth="1"/>
    <col min="13" max="13" width="13" bestFit="1" customWidth="1"/>
    <col min="16" max="16" width="13" bestFit="1" customWidth="1"/>
    <col min="17" max="17" width="15.6640625" bestFit="1" customWidth="1"/>
  </cols>
  <sheetData>
    <row r="1" spans="2:21" ht="16" thickBot="1"/>
    <row r="2" spans="2:21">
      <c r="B2" s="92"/>
      <c r="C2" s="93"/>
      <c r="D2" s="94"/>
      <c r="E2" s="94"/>
      <c r="F2" s="94"/>
      <c r="G2" s="95"/>
    </row>
    <row r="3" spans="2:21">
      <c r="B3" s="96"/>
      <c r="G3" s="97"/>
      <c r="M3" t="s">
        <v>0</v>
      </c>
    </row>
    <row r="4" spans="2:21" ht="16">
      <c r="B4" s="96"/>
      <c r="C4" s="218" t="s">
        <v>1</v>
      </c>
      <c r="D4" s="218"/>
      <c r="E4" s="218"/>
      <c r="F4" s="218"/>
      <c r="G4" s="97"/>
      <c r="M4" s="122"/>
    </row>
    <row r="5" spans="2:21">
      <c r="B5" s="96"/>
      <c r="G5" s="97"/>
      <c r="M5" s="29" t="s">
        <v>2</v>
      </c>
      <c r="N5" s="29" t="s">
        <v>3</v>
      </c>
      <c r="O5" s="29" t="s">
        <v>4</v>
      </c>
      <c r="P5" s="29" t="s">
        <v>5</v>
      </c>
      <c r="Q5" s="29" t="s">
        <v>6</v>
      </c>
      <c r="R5" s="29" t="s">
        <v>7</v>
      </c>
      <c r="S5" s="29" t="s">
        <v>8</v>
      </c>
      <c r="T5" s="29" t="s">
        <v>9</v>
      </c>
      <c r="U5" s="29" t="s">
        <v>169</v>
      </c>
    </row>
    <row r="6" spans="2:21">
      <c r="B6" s="96"/>
      <c r="C6" t="s">
        <v>2</v>
      </c>
      <c r="D6" s="219">
        <v>44865</v>
      </c>
      <c r="E6" s="219"/>
      <c r="G6" s="97"/>
      <c r="M6" s="123">
        <v>44566</v>
      </c>
      <c r="N6" s="118">
        <v>51.7</v>
      </c>
      <c r="O6" s="118">
        <v>25.2</v>
      </c>
      <c r="P6" s="118">
        <v>23.1</v>
      </c>
      <c r="Q6" s="118"/>
      <c r="R6" s="118"/>
      <c r="S6" s="118"/>
      <c r="T6" s="118"/>
      <c r="U6" s="118"/>
    </row>
    <row r="7" spans="2:21">
      <c r="B7" s="96"/>
      <c r="G7" s="98"/>
      <c r="M7" s="123">
        <v>44571</v>
      </c>
      <c r="N7" s="118">
        <v>43.3</v>
      </c>
      <c r="O7" s="118">
        <v>22.6</v>
      </c>
      <c r="P7" s="118">
        <v>34</v>
      </c>
      <c r="Q7" s="118"/>
      <c r="R7" s="118"/>
      <c r="S7" s="118"/>
      <c r="T7" s="118"/>
      <c r="U7" s="118"/>
    </row>
    <row r="8" spans="2:21">
      <c r="B8" s="96"/>
      <c r="C8" s="220" t="s">
        <v>10</v>
      </c>
      <c r="D8" s="220"/>
      <c r="E8" s="220"/>
      <c r="F8" s="220"/>
      <c r="G8" s="97"/>
      <c r="M8" s="123">
        <v>44574</v>
      </c>
      <c r="N8" s="118">
        <v>44.16</v>
      </c>
      <c r="O8" s="118">
        <v>23.87</v>
      </c>
      <c r="P8" s="118">
        <v>31.97</v>
      </c>
      <c r="Q8" s="118"/>
      <c r="R8" s="118"/>
      <c r="S8" s="118"/>
      <c r="T8" s="118"/>
      <c r="U8" s="118"/>
    </row>
    <row r="9" spans="2:21" ht="16">
      <c r="B9" s="96"/>
      <c r="C9" s="99" t="s">
        <v>11</v>
      </c>
      <c r="D9" s="100" t="s">
        <v>12</v>
      </c>
      <c r="E9" s="100" t="s">
        <v>13</v>
      </c>
      <c r="F9" s="100" t="s">
        <v>14</v>
      </c>
      <c r="G9" s="97"/>
      <c r="M9" s="123">
        <v>37273</v>
      </c>
      <c r="N9" s="118">
        <v>45.56</v>
      </c>
      <c r="O9" s="118">
        <v>22.1</v>
      </c>
      <c r="P9" s="118">
        <v>32.340000000000003</v>
      </c>
      <c r="Q9" s="118"/>
      <c r="R9" s="118"/>
      <c r="S9" s="118"/>
      <c r="T9" s="118"/>
      <c r="U9" s="118"/>
    </row>
    <row r="10" spans="2:21">
      <c r="B10" s="96"/>
      <c r="C10" s="101" t="s">
        <v>15</v>
      </c>
      <c r="D10" s="102">
        <f>+'Bal AL FeT'!J26+'Bal AL FeT'!J27+'Bal AL FeT'!J28</f>
        <v>79712.600000000006</v>
      </c>
      <c r="E10" s="113">
        <f>IF(D10=0, "0", ('Bal AL FeT'!J26*'Bal AL FeT'!K26+'Bal AL FeT'!J27*'Bal AL FeT'!K27+'Bal AL FeT'!J28*'Bal AL FeT'!K28)/'Reporte '!D10)</f>
        <v>0.53763808256160295</v>
      </c>
      <c r="F10" s="113">
        <f>IF(D10=0, "0",('Bal AL FeMag'!J26*'Bal AL FeMag'!K26+'Bal AL FeMag'!J27*'Bal AL FeMag'!K27+'Bal AL FeMag'!J28*'Bal AL FeMag'!K28)/'Reporte '!D10)</f>
        <v>0.49049724987015858</v>
      </c>
      <c r="G10" s="97"/>
      <c r="M10" s="123">
        <v>44585</v>
      </c>
      <c r="N10" s="118"/>
      <c r="O10" s="118"/>
      <c r="P10" s="118"/>
      <c r="Q10" s="118">
        <v>26.030560691746768</v>
      </c>
      <c r="R10" s="118">
        <v>24.127870543396419</v>
      </c>
      <c r="S10" s="118">
        <v>21.681077255402485</v>
      </c>
      <c r="T10" s="118">
        <v>28.160491509454332</v>
      </c>
      <c r="U10" s="118"/>
    </row>
    <row r="11" spans="2:21">
      <c r="B11" s="96"/>
      <c r="C11" s="101" t="s">
        <v>16</v>
      </c>
      <c r="D11" s="102">
        <f>+'Bal ML FeT'!J20+'Bal ML FeT'!J21</f>
        <v>35957</v>
      </c>
      <c r="E11" s="113">
        <f>IF(D11=0, "0", ('Bal ML FeT'!K20*'Bal ML FeT'!J20+'Bal ML FeT'!K21*'Bal ML FeT'!J21)/'Reporte '!D11)</f>
        <v>0.43715787190254973</v>
      </c>
      <c r="F11" s="113">
        <f>IF(D11=0,"0", ('Bal ML FeMag'!J20*'Bal ML FeMag'!K20+'Bal ML FeMag'!J21*'Bal ML FeMag'!K21)/'Reporte '!D11)</f>
        <v>0.37625654376818263</v>
      </c>
      <c r="G11" s="97"/>
      <c r="H11" s="113"/>
      <c r="M11" s="123">
        <v>44588</v>
      </c>
      <c r="N11" s="118"/>
      <c r="O11" s="118"/>
      <c r="P11" s="118"/>
      <c r="Q11" s="118">
        <v>26.94493734511574</v>
      </c>
      <c r="R11" s="118">
        <v>21.524750736682844</v>
      </c>
      <c r="S11" s="118">
        <v>21.895407811341272</v>
      </c>
      <c r="T11" s="118">
        <v>29.634904106860155</v>
      </c>
      <c r="U11" s="118"/>
    </row>
    <row r="12" spans="2:21">
      <c r="B12" s="96"/>
      <c r="C12" s="101" t="s">
        <v>17</v>
      </c>
      <c r="D12" s="102">
        <f>+D10+D11</f>
        <v>115669.6</v>
      </c>
      <c r="E12" s="113">
        <f>+(D10*E10+D11*E11)/D12</f>
        <v>0.50640284932255331</v>
      </c>
      <c r="F12" s="113">
        <f>+(D10*F10+D11*F11)/D12</f>
        <v>0.45498443518670895</v>
      </c>
      <c r="G12" s="97"/>
      <c r="I12" s="13"/>
      <c r="M12" s="123">
        <v>44599</v>
      </c>
      <c r="N12" s="118">
        <v>48.1</v>
      </c>
      <c r="O12" s="118">
        <v>19.8</v>
      </c>
      <c r="P12" s="118">
        <v>32.1</v>
      </c>
      <c r="Q12" s="118"/>
      <c r="R12" s="118"/>
      <c r="S12" s="118"/>
      <c r="T12" s="118"/>
      <c r="U12" s="118"/>
    </row>
    <row r="13" spans="2:21" ht="7.5" customHeight="1">
      <c r="B13" s="96"/>
      <c r="C13" s="104"/>
      <c r="D13" s="105"/>
      <c r="E13" s="106"/>
      <c r="F13" s="106"/>
      <c r="G13" s="97"/>
      <c r="N13" s="118"/>
      <c r="O13" s="118"/>
      <c r="P13" s="118"/>
      <c r="Q13" s="118"/>
      <c r="R13" s="118"/>
      <c r="S13" s="118"/>
      <c r="T13" s="118"/>
      <c r="U13" s="118"/>
    </row>
    <row r="14" spans="2:21">
      <c r="B14" s="96"/>
      <c r="C14" s="220" t="s">
        <v>18</v>
      </c>
      <c r="D14" s="220"/>
      <c r="E14" s="220"/>
      <c r="F14" s="220"/>
      <c r="G14" s="97"/>
      <c r="M14" s="123">
        <v>44608</v>
      </c>
      <c r="N14" s="118">
        <v>55.8</v>
      </c>
      <c r="O14" s="118">
        <v>24.2</v>
      </c>
      <c r="P14" s="118">
        <v>19.899999999999999</v>
      </c>
      <c r="Q14" s="118">
        <v>25.1</v>
      </c>
      <c r="R14" s="118">
        <v>21.3</v>
      </c>
      <c r="S14" s="118">
        <f>100-Q14-R14-T14</f>
        <v>28.300000000000008</v>
      </c>
      <c r="T14" s="118">
        <v>25.3</v>
      </c>
      <c r="U14" s="118"/>
    </row>
    <row r="15" spans="2:21">
      <c r="B15" s="96"/>
      <c r="C15" s="221" t="s">
        <v>19</v>
      </c>
      <c r="D15" s="222"/>
      <c r="E15" s="222"/>
      <c r="F15" s="223"/>
      <c r="G15" s="97"/>
      <c r="H15" t="s">
        <v>153</v>
      </c>
      <c r="I15" t="s">
        <v>182</v>
      </c>
      <c r="M15" s="123">
        <v>44620</v>
      </c>
      <c r="N15" s="118">
        <v>52.770469684239551</v>
      </c>
      <c r="O15" s="118">
        <v>23.429146980192652</v>
      </c>
      <c r="P15" s="118">
        <v>23.800383335567783</v>
      </c>
      <c r="Q15" s="118">
        <v>31.820992677119964</v>
      </c>
      <c r="R15" s="118">
        <v>23.605751202300098</v>
      </c>
      <c r="S15" s="118">
        <v>18.352691205793604</v>
      </c>
      <c r="T15" s="118">
        <v>27.920221029251373</v>
      </c>
      <c r="U15" s="118"/>
    </row>
    <row r="16" spans="2:21">
      <c r="B16" s="96"/>
      <c r="C16" s="101" t="s">
        <v>6</v>
      </c>
      <c r="D16" s="102">
        <f>+'Bal AL FeT'!J29</f>
        <v>22667.152000000002</v>
      </c>
      <c r="E16" s="113">
        <f>'Bal AL FeT'!K29</f>
        <v>0.60588953488372099</v>
      </c>
      <c r="F16" s="113">
        <f>+'Bal AL FeMag'!K29</f>
        <v>0.59221159069767404</v>
      </c>
      <c r="G16" s="97"/>
      <c r="H16">
        <f>+D16/$D$10*100</f>
        <v>28.436096677313248</v>
      </c>
      <c r="I16">
        <f>+H16*E16/$E$10</f>
        <v>32.045969116690543</v>
      </c>
      <c r="M16" s="123">
        <v>44628</v>
      </c>
      <c r="N16" s="118">
        <v>50.123788472073286</v>
      </c>
      <c r="O16" s="118">
        <v>28.031570771681903</v>
      </c>
      <c r="P16" s="118">
        <v>21.844640756244836</v>
      </c>
      <c r="Q16" s="118">
        <v>19.553648470753359</v>
      </c>
      <c r="R16" s="118">
        <v>17.268254076296866</v>
      </c>
      <c r="S16" s="118">
        <v>25.482289647286471</v>
      </c>
      <c r="T16" s="118">
        <v>37.695807805665197</v>
      </c>
      <c r="U16" s="118"/>
    </row>
    <row r="17" spans="2:21">
      <c r="B17" s="96"/>
      <c r="C17" s="101" t="s">
        <v>7</v>
      </c>
      <c r="D17" s="102">
        <f>+'Bal AL FeT'!J33</f>
        <v>18314.103999999999</v>
      </c>
      <c r="E17" s="113">
        <f>+'Bal AL FeT'!K33</f>
        <v>0.602155555555556</v>
      </c>
      <c r="F17" s="113">
        <f>+'Bal AL FeMag'!K33</f>
        <v>0.58622512000000004</v>
      </c>
      <c r="G17" s="97"/>
      <c r="H17">
        <f>+D17/$D$10*100</f>
        <v>22.975168292089329</v>
      </c>
      <c r="I17">
        <f>+H17*E17/$E$10</f>
        <v>25.732227079208556</v>
      </c>
      <c r="M17" s="123">
        <v>44634</v>
      </c>
      <c r="N17" s="118">
        <v>42.020691003790162</v>
      </c>
      <c r="O17" s="118">
        <v>23.863622240954417</v>
      </c>
      <c r="P17" s="118">
        <v>34.115686755255432</v>
      </c>
      <c r="Q17" s="118"/>
      <c r="R17" s="118"/>
      <c r="S17" s="118"/>
      <c r="T17" s="118"/>
      <c r="U17" s="118"/>
    </row>
    <row r="18" spans="2:21" hidden="1">
      <c r="B18" s="96"/>
      <c r="C18" s="101" t="s">
        <v>169</v>
      </c>
      <c r="D18" s="102">
        <f>+D20+D19</f>
        <v>38952</v>
      </c>
      <c r="E18" s="113">
        <f>IFERROR((E19*D19+E20*D20)/D18, 0)</f>
        <v>0.39346143183978372</v>
      </c>
      <c r="F18" s="113">
        <f>IFERROR((D19*F19+D20*F20)/D18, 0)</f>
        <v>0.35735114163440668</v>
      </c>
      <c r="G18" s="97"/>
      <c r="H18">
        <f>+D18/$D$10*100</f>
        <v>48.865549486530355</v>
      </c>
      <c r="I18">
        <f>+H18*E18/$E$10</f>
        <v>35.76143448953885</v>
      </c>
      <c r="M18" s="123"/>
      <c r="N18" s="118"/>
      <c r="O18" s="118"/>
      <c r="P18" s="118"/>
      <c r="Q18" s="118"/>
      <c r="R18" s="118"/>
      <c r="S18" s="118"/>
      <c r="T18" s="118"/>
      <c r="U18" s="118"/>
    </row>
    <row r="19" spans="2:21">
      <c r="B19" s="96"/>
      <c r="C19" s="101" t="s">
        <v>20</v>
      </c>
      <c r="D19" s="102">
        <f>+'Bal AL FeT'!J37</f>
        <v>13136</v>
      </c>
      <c r="E19" s="113">
        <f>+'Bal AL FeT'!K37</f>
        <v>0.35781395348837203</v>
      </c>
      <c r="F19" s="113">
        <f>+'Bal AL FeMag'!K37</f>
        <v>0.321851323255814</v>
      </c>
      <c r="G19" s="97"/>
      <c r="H19">
        <f>+D19/$D$10*100</f>
        <v>16.479201531501918</v>
      </c>
      <c r="I19">
        <f>+H19*E19/$E$10</f>
        <v>10.967393199202389</v>
      </c>
      <c r="M19" s="123">
        <v>44640</v>
      </c>
      <c r="N19" s="118">
        <v>40.930034488224514</v>
      </c>
      <c r="O19" s="118">
        <v>22.732547535537993</v>
      </c>
      <c r="P19" s="118">
        <v>36.337417976237504</v>
      </c>
      <c r="Q19" s="118"/>
      <c r="R19" s="118"/>
      <c r="S19" s="118"/>
      <c r="T19" s="118"/>
      <c r="U19" s="118"/>
    </row>
    <row r="20" spans="2:21" ht="16" thickBot="1">
      <c r="B20" s="96"/>
      <c r="C20" s="101" t="s">
        <v>21</v>
      </c>
      <c r="D20" s="102">
        <f>+'Bal AL FeT'!J40</f>
        <v>25816</v>
      </c>
      <c r="E20" s="113">
        <f>+'Bal AL FeT'!K40</f>
        <v>0.41160000000000002</v>
      </c>
      <c r="F20" s="113">
        <f>+'Bal AL FeMag'!K40</f>
        <v>0.37541457571486819</v>
      </c>
      <c r="G20" s="97"/>
      <c r="H20">
        <f>+D20/$D$10*100</f>
        <v>32.386347955028441</v>
      </c>
      <c r="I20">
        <f>+H20*E20/$E$10</f>
        <v>24.794041290336462</v>
      </c>
      <c r="M20" s="123">
        <v>44651</v>
      </c>
      <c r="N20" s="118">
        <v>45.522044621819717</v>
      </c>
      <c r="O20" s="118">
        <v>22.565223189681692</v>
      </c>
      <c r="P20" s="118">
        <v>31.912732188498559</v>
      </c>
      <c r="Q20" s="118">
        <v>22.764828734766127</v>
      </c>
      <c r="R20" s="118">
        <v>18.853508874218125</v>
      </c>
      <c r="S20" s="118">
        <v>27.944074145335744</v>
      </c>
      <c r="T20" s="118">
        <v>30.437588245680004</v>
      </c>
      <c r="U20" s="118"/>
    </row>
    <row r="21" spans="2:21">
      <c r="B21" s="96"/>
      <c r="C21" s="221" t="s">
        <v>22</v>
      </c>
      <c r="D21" s="222"/>
      <c r="E21" s="222"/>
      <c r="F21" s="223"/>
      <c r="G21" s="97"/>
      <c r="H21" s="151" t="s">
        <v>171</v>
      </c>
      <c r="M21" s="123">
        <v>44661</v>
      </c>
      <c r="N21" s="118">
        <v>48.1</v>
      </c>
      <c r="O21" s="118">
        <v>25.5</v>
      </c>
      <c r="P21" s="118">
        <v>26.4</v>
      </c>
      <c r="Q21" s="118">
        <v>21.1</v>
      </c>
      <c r="R21" s="118">
        <v>19.5</v>
      </c>
      <c r="S21" s="118">
        <v>10.9</v>
      </c>
      <c r="T21" s="118">
        <v>48.4</v>
      </c>
      <c r="U21" s="118"/>
    </row>
    <row r="22" spans="2:21" ht="16" thickBot="1">
      <c r="B22" s="96"/>
      <c r="C22" s="101" t="str">
        <f>+C16</f>
        <v>Granzas</v>
      </c>
      <c r="D22" s="102"/>
      <c r="E22" s="103"/>
      <c r="F22" s="103"/>
      <c r="G22" s="97"/>
      <c r="H22" s="152">
        <f>+D20+D31+D32</f>
        <v>54437.89</v>
      </c>
      <c r="J22" s="13"/>
      <c r="K22" s="13">
        <f>+D20+D31+D32</f>
        <v>54437.89</v>
      </c>
      <c r="M22" s="123">
        <v>44669</v>
      </c>
      <c r="N22" s="118">
        <v>48.36</v>
      </c>
      <c r="O22" s="118">
        <v>25.32</v>
      </c>
      <c r="P22" s="118">
        <v>26.31</v>
      </c>
      <c r="Q22" s="118"/>
      <c r="R22" s="118"/>
      <c r="S22" s="118"/>
      <c r="T22" s="118"/>
      <c r="U22" s="118"/>
    </row>
    <row r="23" spans="2:21">
      <c r="B23" s="96"/>
      <c r="C23" s="101" t="s">
        <v>7</v>
      </c>
      <c r="D23" s="102"/>
      <c r="E23" s="103"/>
      <c r="F23" s="103"/>
      <c r="G23" s="97"/>
      <c r="H23" s="13">
        <f>+D40+D41+D42</f>
        <v>54511.360000000001</v>
      </c>
      <c r="K23" s="13">
        <f>+D40+D41+D42</f>
        <v>54511.360000000001</v>
      </c>
      <c r="M23" s="123">
        <v>44671</v>
      </c>
      <c r="N23" s="118">
        <v>48.112824867806346</v>
      </c>
      <c r="O23" s="118">
        <v>25.194419254708961</v>
      </c>
      <c r="P23" s="118">
        <v>26.692755877484696</v>
      </c>
      <c r="Q23" s="118">
        <v>29.71560235071976</v>
      </c>
      <c r="R23" s="118">
        <v>16.850572775793239</v>
      </c>
      <c r="S23" s="118">
        <v>19.093989182387393</v>
      </c>
      <c r="T23" s="118">
        <v>34.339835691098095</v>
      </c>
      <c r="U23" s="118"/>
    </row>
    <row r="24" spans="2:21">
      <c r="B24" s="96"/>
      <c r="C24" s="101" t="s">
        <v>20</v>
      </c>
      <c r="D24" s="102"/>
      <c r="E24" s="103"/>
      <c r="F24" s="103"/>
      <c r="G24" s="97"/>
      <c r="H24" s="13">
        <f>+H23-H22</f>
        <v>73.470000000001164</v>
      </c>
      <c r="K24" s="13">
        <f>+K22-K23</f>
        <v>-73.470000000001164</v>
      </c>
      <c r="M24" s="123">
        <v>44675</v>
      </c>
      <c r="N24" s="118">
        <v>48.171989182455867</v>
      </c>
      <c r="O24" s="118">
        <v>24.394485494376305</v>
      </c>
      <c r="P24" s="118">
        <v>27.433525323167817</v>
      </c>
      <c r="Q24" s="118">
        <v>24.503351381736433</v>
      </c>
      <c r="R24" s="118">
        <v>20.475598157245081</v>
      </c>
      <c r="S24" s="118">
        <v>19.970313401727605</v>
      </c>
      <c r="T24" s="118">
        <v>35.050737059444067</v>
      </c>
      <c r="U24" s="118"/>
    </row>
    <row r="25" spans="2:21">
      <c r="B25" s="96"/>
      <c r="C25" s="101" t="str">
        <f>+C20</f>
        <v>Prec Mixto 2</v>
      </c>
      <c r="D25" s="102"/>
      <c r="E25" s="103"/>
      <c r="F25" s="103"/>
      <c r="G25" s="97"/>
      <c r="M25" s="123">
        <v>44681</v>
      </c>
      <c r="N25" s="118">
        <v>48.719831704506205</v>
      </c>
      <c r="O25" s="118">
        <v>24.600454531790859</v>
      </c>
      <c r="P25" s="118">
        <v>26.679713763702946</v>
      </c>
      <c r="Q25" s="118">
        <v>24.283004591258678</v>
      </c>
      <c r="R25" s="118">
        <v>20.649736965871345</v>
      </c>
      <c r="T25" s="118"/>
      <c r="U25" s="118">
        <v>55.067258442869971</v>
      </c>
    </row>
    <row r="26" spans="2:21" hidden="1">
      <c r="B26" s="96"/>
      <c r="C26" s="221" t="s">
        <v>23</v>
      </c>
      <c r="D26" s="222"/>
      <c r="E26" s="222"/>
      <c r="F26" s="223"/>
      <c r="G26" s="97"/>
      <c r="N26" s="118"/>
      <c r="O26" s="118"/>
      <c r="P26" s="118"/>
      <c r="Q26" s="118"/>
      <c r="R26" s="118"/>
      <c r="S26" s="118"/>
      <c r="T26" s="118"/>
      <c r="U26" s="118"/>
    </row>
    <row r="27" spans="2:21" hidden="1">
      <c r="B27" s="96"/>
      <c r="C27" s="101" t="s">
        <v>24</v>
      </c>
      <c r="D27" s="102"/>
      <c r="E27" s="103"/>
      <c r="F27" s="103"/>
      <c r="G27" s="97"/>
      <c r="N27" s="118"/>
      <c r="O27" s="118"/>
      <c r="P27" s="118"/>
      <c r="Q27" s="118"/>
      <c r="R27" s="118"/>
      <c r="S27" s="118"/>
      <c r="T27" s="118"/>
      <c r="U27" s="118"/>
    </row>
    <row r="28" spans="2:21" hidden="1">
      <c r="B28" s="96"/>
      <c r="C28" s="101" t="s">
        <v>7</v>
      </c>
      <c r="D28" s="102"/>
      <c r="E28" s="103"/>
      <c r="F28" s="103"/>
      <c r="G28" s="97"/>
      <c r="N28" s="118"/>
      <c r="O28" s="118"/>
      <c r="P28" s="118"/>
      <c r="Q28" s="118"/>
      <c r="R28" s="118"/>
      <c r="S28" s="118"/>
      <c r="T28" s="118"/>
      <c r="U28" s="118"/>
    </row>
    <row r="29" spans="2:21" hidden="1">
      <c r="B29" s="96"/>
      <c r="C29" s="101" t="s">
        <v>5</v>
      </c>
      <c r="D29" s="102"/>
      <c r="E29" s="103"/>
      <c r="F29" s="103"/>
      <c r="G29" s="97"/>
      <c r="N29" s="118"/>
      <c r="O29" s="118"/>
      <c r="P29" s="118"/>
      <c r="Q29" s="118"/>
      <c r="R29" s="118"/>
      <c r="S29" s="118"/>
      <c r="T29" s="118"/>
      <c r="U29" s="118"/>
    </row>
    <row r="30" spans="2:21">
      <c r="B30" s="96"/>
      <c r="C30" s="221" t="s">
        <v>25</v>
      </c>
      <c r="D30" s="222"/>
      <c r="E30" s="222"/>
      <c r="F30" s="223"/>
      <c r="G30" s="97"/>
      <c r="H30" t="s">
        <v>153</v>
      </c>
      <c r="M30" s="123">
        <v>44690</v>
      </c>
      <c r="N30" s="118">
        <v>44.899464237158625</v>
      </c>
      <c r="O30" s="118">
        <v>21.855867730827036</v>
      </c>
      <c r="P30" s="118">
        <v>33.244668032014324</v>
      </c>
      <c r="Q30" s="118"/>
      <c r="R30" s="118"/>
      <c r="S30" s="118"/>
      <c r="T30" s="118"/>
      <c r="U30" s="118"/>
    </row>
    <row r="31" spans="2:21">
      <c r="B31" s="96"/>
      <c r="C31" s="101" t="str">
        <f>+C27</f>
        <v>Prec. Granzas</v>
      </c>
      <c r="D31" s="102">
        <f>+'Bal ML FeT'!J22</f>
        <v>19699.46</v>
      </c>
      <c r="E31" s="113">
        <f>+'Bal ML FeT'!K22</f>
        <v>0.46239999999999992</v>
      </c>
      <c r="F31" s="113">
        <f>+'Bal ML FeMag'!K22</f>
        <v>0.45593008209958086</v>
      </c>
      <c r="G31" s="97"/>
      <c r="H31">
        <f>+D31/$D$11*100</f>
        <v>54.786161248157519</v>
      </c>
      <c r="I31" s="13">
        <f>+E31*H31/$E$11</f>
        <v>57.949593474998061</v>
      </c>
      <c r="M31" s="123">
        <v>44692</v>
      </c>
      <c r="N31" s="118">
        <v>46.640092870449045</v>
      </c>
      <c r="O31" s="118">
        <v>22.447490579301839</v>
      </c>
      <c r="P31" s="118">
        <v>30.912416550249088</v>
      </c>
      <c r="Q31" s="118"/>
      <c r="R31" s="118"/>
      <c r="S31" s="118"/>
      <c r="T31" s="118"/>
      <c r="U31" s="118"/>
    </row>
    <row r="32" spans="2:21">
      <c r="B32" s="96"/>
      <c r="C32" s="101" t="s">
        <v>26</v>
      </c>
      <c r="D32" s="102">
        <f>+'Bal ML FeT'!J25</f>
        <v>8922.43</v>
      </c>
      <c r="E32" s="113">
        <f>+'Bal ML FeT'!K25</f>
        <v>0.47120000000000006</v>
      </c>
      <c r="F32" s="113">
        <f>+'Bal ML FeMag'!K25</f>
        <v>0.44301316531417145</v>
      </c>
      <c r="G32" s="97"/>
      <c r="H32">
        <f>+D32/$D$11*100</f>
        <v>24.814166921600801</v>
      </c>
      <c r="I32" s="13">
        <f>+E32*H32/$E$11</f>
        <v>26.746482689587143</v>
      </c>
      <c r="M32" s="123">
        <v>44696</v>
      </c>
      <c r="N32" s="118">
        <v>50.487428837127567</v>
      </c>
      <c r="O32" s="118">
        <v>25.420469946560392</v>
      </c>
      <c r="P32" s="118">
        <v>24.092101216312031</v>
      </c>
      <c r="Q32" s="118"/>
      <c r="R32" s="118"/>
      <c r="S32" s="118"/>
      <c r="T32" s="118"/>
      <c r="U32" s="118"/>
    </row>
    <row r="33" spans="2:24" ht="16" thickBot="1">
      <c r="B33" s="96"/>
      <c r="C33" s="101" t="s">
        <v>5</v>
      </c>
      <c r="D33" s="102">
        <f>+'Bal ML FeT'!J28</f>
        <v>7335.1100000000006</v>
      </c>
      <c r="E33" s="113">
        <f>+'Bal ML FeT'!K28</f>
        <v>0.196191304347826</v>
      </c>
      <c r="F33" s="113">
        <f>+'Bal ML FeMag'!K28</f>
        <v>0.15411964173912998</v>
      </c>
      <c r="G33" s="97"/>
      <c r="H33">
        <f>+D33/$D$11*100</f>
        <v>20.39967183024168</v>
      </c>
      <c r="I33" s="13">
        <f>+E33*H33/$E$11</f>
        <v>9.1551324633012392</v>
      </c>
      <c r="M33" s="123">
        <v>44712</v>
      </c>
      <c r="N33" s="118">
        <v>45.901815259599424</v>
      </c>
      <c r="O33" s="118">
        <v>22.233155757739134</v>
      </c>
      <c r="P33" s="118">
        <v>31.865028982661443</v>
      </c>
      <c r="Q33" s="118">
        <v>20.828047696343617</v>
      </c>
      <c r="R33" s="118">
        <v>19.171440066485598</v>
      </c>
      <c r="S33" s="118">
        <v>28.103542694633916</v>
      </c>
      <c r="T33" s="118">
        <v>31.896969542537022</v>
      </c>
      <c r="U33" s="118"/>
    </row>
    <row r="34" spans="2:24">
      <c r="B34" s="96"/>
      <c r="C34" s="221" t="s">
        <v>27</v>
      </c>
      <c r="D34" s="222"/>
      <c r="E34" s="222"/>
      <c r="F34" s="223"/>
      <c r="G34" s="97"/>
      <c r="H34" s="92" t="s">
        <v>159</v>
      </c>
      <c r="I34" s="130" t="s">
        <v>156</v>
      </c>
      <c r="J34" s="131" t="s">
        <v>157</v>
      </c>
      <c r="M34" s="123">
        <v>44725</v>
      </c>
      <c r="N34" s="118">
        <v>56.202944073361074</v>
      </c>
      <c r="O34" s="118">
        <v>24.491211128444316</v>
      </c>
      <c r="P34" s="118">
        <v>19.305844798194578</v>
      </c>
      <c r="Q34" s="118">
        <v>23.202422604974736</v>
      </c>
      <c r="R34" s="118">
        <v>20.104294645468617</v>
      </c>
      <c r="S34" s="118">
        <v>39.286693016779921</v>
      </c>
      <c r="T34" s="118">
        <v>17.406589732776727</v>
      </c>
      <c r="U34" s="118"/>
    </row>
    <row r="35" spans="2:24" ht="16" thickBot="1">
      <c r="B35" s="96"/>
      <c r="C35" s="101" t="str">
        <f>+C31</f>
        <v>Prec. Granzas</v>
      </c>
      <c r="D35" s="102"/>
      <c r="E35" s="103"/>
      <c r="F35" s="103"/>
      <c r="G35" s="97"/>
      <c r="H35" s="132">
        <f>+D16+D17+D20+D31+D32</f>
        <v>95419.145999999979</v>
      </c>
      <c r="I35" s="110">
        <f>+(D16*E16+D17*E17+D20*E20+D31*E31+D32*E32)/H35*100</f>
        <v>51.038891682221568</v>
      </c>
      <c r="J35" s="112">
        <f>+(D16*F16+D17*F17+D20*F20+D31*F31+D32*F32)/H35*100</f>
        <v>49.032058006435122</v>
      </c>
      <c r="M35" s="123">
        <v>44731</v>
      </c>
      <c r="N35" s="118">
        <v>54.583475517839517</v>
      </c>
      <c r="O35" s="118">
        <v>24.686504836078285</v>
      </c>
      <c r="P35" s="118">
        <v>20.730019646082219</v>
      </c>
      <c r="Q35" s="118">
        <v>28.95605755460387</v>
      </c>
      <c r="R35" s="118">
        <v>21.04173421720925</v>
      </c>
      <c r="S35" s="118">
        <v>29.119544357890508</v>
      </c>
      <c r="T35" s="118">
        <v>20.882663870296327</v>
      </c>
      <c r="U35" s="118"/>
    </row>
    <row r="36" spans="2:24">
      <c r="B36" s="96"/>
      <c r="C36" s="101" t="str">
        <f>+C32</f>
        <v>Pre. Finos</v>
      </c>
      <c r="D36" s="102"/>
      <c r="E36" s="103"/>
      <c r="F36" s="103"/>
      <c r="G36" s="97"/>
      <c r="H36" s="129" t="s">
        <v>155</v>
      </c>
      <c r="I36" s="130" t="s">
        <v>156</v>
      </c>
      <c r="J36" s="131" t="s">
        <v>157</v>
      </c>
      <c r="M36" s="123">
        <v>44742</v>
      </c>
      <c r="N36" s="118">
        <v>47.863399193392517</v>
      </c>
      <c r="O36" s="118">
        <v>23.581032690000239</v>
      </c>
      <c r="P36" s="118">
        <v>28.555568116607251</v>
      </c>
      <c r="Q36" s="118">
        <v>31.81119552601232</v>
      </c>
      <c r="R36" s="118">
        <v>21.278001336779703</v>
      </c>
      <c r="S36" s="118">
        <v>23.994582043443607</v>
      </c>
      <c r="T36" s="118">
        <v>22.916221093765852</v>
      </c>
      <c r="W36" t="s">
        <v>2</v>
      </c>
      <c r="X36" t="s">
        <v>178</v>
      </c>
    </row>
    <row r="37" spans="2:24" ht="16" thickBot="1">
      <c r="B37" s="96"/>
      <c r="C37" s="101" t="str">
        <f>+C33</f>
        <v>Rechazo</v>
      </c>
      <c r="D37" s="102"/>
      <c r="E37" s="103"/>
      <c r="F37" s="103"/>
      <c r="G37" s="97"/>
      <c r="H37" s="132">
        <f>+D19+D33</f>
        <v>20471.11</v>
      </c>
      <c r="I37" s="133">
        <f>(D19*E19+D33*E33)/H37</f>
        <v>0.29990210064124695</v>
      </c>
      <c r="J37" s="134">
        <f>+(D19*F19+D33*F33)/H37</f>
        <v>0.26175051121338716</v>
      </c>
      <c r="M37" s="123">
        <v>44753</v>
      </c>
      <c r="N37" s="159">
        <v>48.823627076342021</v>
      </c>
      <c r="O37" s="159">
        <v>23.802861417600223</v>
      </c>
      <c r="P37" s="159">
        <v>27.373511506057756</v>
      </c>
      <c r="W37" s="123">
        <v>44725</v>
      </c>
      <c r="X37" s="118">
        <v>23.202422604974736</v>
      </c>
    </row>
    <row r="38" spans="2:24" ht="7.5" customHeight="1">
      <c r="B38" s="96"/>
      <c r="C38" s="104"/>
      <c r="D38" s="105"/>
      <c r="E38" s="106"/>
      <c r="F38" s="106"/>
      <c r="G38" s="97"/>
      <c r="W38" s="123">
        <v>44731</v>
      </c>
      <c r="X38" s="118">
        <v>28.95605755460387</v>
      </c>
    </row>
    <row r="39" spans="2:24">
      <c r="B39" s="96"/>
      <c r="C39" s="220" t="s">
        <v>28</v>
      </c>
      <c r="D39" s="220"/>
      <c r="E39" s="220"/>
      <c r="F39" s="220"/>
      <c r="G39" s="97"/>
      <c r="H39" s="13"/>
      <c r="M39" s="123">
        <v>44755</v>
      </c>
      <c r="N39" s="159"/>
      <c r="O39" s="159"/>
      <c r="P39" s="159"/>
      <c r="Q39" s="159">
        <v>33.090909090909086</v>
      </c>
      <c r="R39" s="159">
        <v>25.892045454545453</v>
      </c>
      <c r="S39" s="159">
        <v>18.171681028372376</v>
      </c>
      <c r="T39" s="159">
        <v>22.84536442617307</v>
      </c>
      <c r="W39" s="123">
        <v>44742</v>
      </c>
      <c r="X39" s="118">
        <v>31.81119552601232</v>
      </c>
    </row>
    <row r="40" spans="2:24">
      <c r="B40" s="96"/>
      <c r="C40" s="101" t="s">
        <v>29</v>
      </c>
      <c r="D40" s="102">
        <f>+'Bal ML FeT'!J24</f>
        <v>19779.46</v>
      </c>
      <c r="E40" s="113">
        <f>+'Bal ML FeT'!K22</f>
        <v>0.46239999999999992</v>
      </c>
      <c r="F40" s="113">
        <f>+'Bal ML FeMag'!K24</f>
        <v>0.45317539181294575</v>
      </c>
      <c r="G40" s="97"/>
      <c r="H40" s="13"/>
      <c r="M40" s="123">
        <v>44773</v>
      </c>
      <c r="N40" s="159">
        <v>62.561747486232697</v>
      </c>
      <c r="O40" s="159">
        <v>25.462690705596358</v>
      </c>
      <c r="P40" s="159">
        <v>11.975561808170958</v>
      </c>
      <c r="Q40" s="159">
        <v>29.311530250289223</v>
      </c>
      <c r="R40" s="159">
        <v>21.753158379361658</v>
      </c>
      <c r="S40" s="159">
        <v>31.001434641248675</v>
      </c>
      <c r="T40" s="159">
        <v>17.933876729127149</v>
      </c>
      <c r="W40" s="123">
        <v>44755</v>
      </c>
      <c r="X40">
        <v>33.090909090909086</v>
      </c>
    </row>
    <row r="41" spans="2:24">
      <c r="B41" s="96"/>
      <c r="C41" s="101" t="s">
        <v>30</v>
      </c>
      <c r="D41" s="102">
        <f>+'Bal ML FeT'!J27</f>
        <v>7855.43</v>
      </c>
      <c r="E41" s="113">
        <f>+'Bal ML FeT'!K25</f>
        <v>0.47120000000000006</v>
      </c>
      <c r="F41" s="113">
        <f>+'Bal ML FeMag'!K27</f>
        <v>0.4388296784132556</v>
      </c>
      <c r="G41" s="97"/>
      <c r="J41" s="13"/>
      <c r="K41" s="13"/>
      <c r="M41" s="123">
        <v>44781</v>
      </c>
      <c r="N41" s="159">
        <v>58.241579747493567</v>
      </c>
      <c r="O41" s="159">
        <v>22.013043380088575</v>
      </c>
      <c r="P41" s="159">
        <v>19.745376872417875</v>
      </c>
      <c r="Q41" s="159"/>
      <c r="R41" s="159"/>
      <c r="S41" s="159"/>
      <c r="T41" s="159"/>
      <c r="W41" s="123">
        <v>44773</v>
      </c>
      <c r="X41">
        <v>29.311530250289223</v>
      </c>
    </row>
    <row r="42" spans="2:24">
      <c r="B42" s="96"/>
      <c r="C42" s="101" t="s">
        <v>154</v>
      </c>
      <c r="D42" s="102">
        <f>+'Bal AL FeT'!J42</f>
        <v>26876.47</v>
      </c>
      <c r="E42" s="113">
        <f>+'Bal AL FeMag'!K42</f>
        <v>0.376</v>
      </c>
      <c r="F42" s="113">
        <f>+'Bal AL FeMag'!K42</f>
        <v>0.376</v>
      </c>
      <c r="G42" s="97"/>
      <c r="H42" s="13"/>
      <c r="J42" s="13"/>
      <c r="K42" s="13"/>
      <c r="M42" s="123">
        <v>44789</v>
      </c>
      <c r="N42" s="159">
        <v>56.753881655541797</v>
      </c>
      <c r="O42" s="159">
        <v>23.689882919758013</v>
      </c>
      <c r="P42" s="159">
        <v>19.556235424700194</v>
      </c>
      <c r="Q42" s="159">
        <v>36.897265505739803</v>
      </c>
      <c r="R42" s="159">
        <v>22.699249753099583</v>
      </c>
      <c r="S42" s="159">
        <v>13.15723401017976</v>
      </c>
      <c r="T42" s="159">
        <v>27.24625073098148</v>
      </c>
      <c r="W42" s="123">
        <v>44789</v>
      </c>
      <c r="X42">
        <v>36.897265505739803</v>
      </c>
    </row>
    <row r="43" spans="2:24" hidden="1">
      <c r="B43" s="96"/>
      <c r="C43" s="101" t="s">
        <v>31</v>
      </c>
      <c r="D43" s="102"/>
      <c r="E43" s="113"/>
      <c r="F43" s="113"/>
      <c r="G43" s="97"/>
      <c r="J43" s="13"/>
      <c r="N43" s="159"/>
      <c r="O43" s="159"/>
      <c r="P43" s="159"/>
      <c r="Q43" s="159"/>
      <c r="R43" s="159"/>
      <c r="S43" s="159"/>
      <c r="T43" s="159"/>
    </row>
    <row r="44" spans="2:24">
      <c r="B44" s="96"/>
      <c r="C44" s="101" t="s">
        <v>32</v>
      </c>
      <c r="D44" s="102">
        <f>+'Bal AL FeT'!J32</f>
        <v>20879.289999999997</v>
      </c>
      <c r="E44" s="113">
        <f>+'Bal AL FeT'!K32</f>
        <v>0.58489999999999998</v>
      </c>
      <c r="F44" s="113">
        <f>+'Bal AL FeMag'!K32</f>
        <v>0.59221159069767404</v>
      </c>
      <c r="G44" s="97"/>
      <c r="H44" s="143">
        <f>+D16-D44</f>
        <v>1787.8620000000046</v>
      </c>
      <c r="M44" s="123">
        <v>44795</v>
      </c>
      <c r="N44" s="159"/>
      <c r="O44" s="159"/>
      <c r="P44" s="159"/>
      <c r="Q44" s="159">
        <v>32.239297525750516</v>
      </c>
      <c r="R44" s="159">
        <v>21.597812987342195</v>
      </c>
      <c r="S44" s="159">
        <v>13.703436539043839</v>
      </c>
      <c r="T44" s="159">
        <v>32.459452947864442</v>
      </c>
    </row>
    <row r="45" spans="2:24">
      <c r="B45" s="96"/>
      <c r="C45" s="101" t="s">
        <v>33</v>
      </c>
      <c r="D45" s="102">
        <f>+'Bal AL FeT'!J36</f>
        <v>16230.67</v>
      </c>
      <c r="E45" s="113">
        <f>+'Bal AL FeT'!K36</f>
        <v>0.60060000000000002</v>
      </c>
      <c r="F45" s="113">
        <f>+'Bal AL FeMag'!K36</f>
        <v>0.58622512000000004</v>
      </c>
      <c r="G45" s="97"/>
      <c r="H45" s="143">
        <f>+D17-D45</f>
        <v>2083.4339999999993</v>
      </c>
      <c r="M45" s="123">
        <v>44804</v>
      </c>
      <c r="N45" s="159">
        <v>52.056233099948081</v>
      </c>
      <c r="O45" s="159">
        <v>21.506125485549973</v>
      </c>
      <c r="P45" s="159">
        <v>26.437641414501933</v>
      </c>
      <c r="Q45" s="159">
        <v>30.795335284818577</v>
      </c>
      <c r="R45" s="159">
        <v>20.351867137406852</v>
      </c>
      <c r="S45" s="159">
        <v>19.4051274711689</v>
      </c>
      <c r="T45" s="159">
        <v>29.447670106606289</v>
      </c>
    </row>
    <row r="46" spans="2:24" ht="6" customHeight="1">
      <c r="B46" s="96"/>
      <c r="C46" s="104"/>
      <c r="D46" s="105"/>
      <c r="E46" s="107"/>
      <c r="F46" s="106"/>
      <c r="G46" s="97"/>
      <c r="N46" s="159"/>
      <c r="O46" s="159"/>
      <c r="P46" s="159"/>
      <c r="Q46" s="159"/>
      <c r="R46" s="159"/>
      <c r="S46" s="159"/>
      <c r="T46" s="159"/>
    </row>
    <row r="47" spans="2:24">
      <c r="B47" s="96"/>
      <c r="C47" s="220" t="s">
        <v>34</v>
      </c>
      <c r="D47" s="220"/>
      <c r="E47" s="220"/>
      <c r="F47" s="220"/>
      <c r="G47" s="97"/>
      <c r="M47" s="123">
        <v>44810</v>
      </c>
      <c r="N47" s="159">
        <v>46.380945200220367</v>
      </c>
      <c r="O47" s="159">
        <v>23.886311709324655</v>
      </c>
      <c r="P47" s="159">
        <v>29.732743090454957</v>
      </c>
      <c r="Q47" s="159"/>
      <c r="R47" s="159"/>
      <c r="S47" s="159"/>
      <c r="T47" s="159"/>
    </row>
    <row r="48" spans="2:24">
      <c r="B48" s="96"/>
      <c r="C48" s="101" t="s">
        <v>35</v>
      </c>
      <c r="D48" s="102">
        <f>'Datos Extra'!B1</f>
        <v>0</v>
      </c>
      <c r="E48" s="113">
        <f>'Datos Extra'!C1</f>
        <v>0</v>
      </c>
      <c r="F48" s="113">
        <f>'Datos Extra'!D1</f>
        <v>0</v>
      </c>
      <c r="G48" s="97"/>
      <c r="H48" s="13"/>
      <c r="M48" s="123">
        <v>44823</v>
      </c>
      <c r="N48" s="159">
        <v>48.980428141243905</v>
      </c>
      <c r="O48" s="159">
        <v>26.328297139623551</v>
      </c>
      <c r="P48" s="159">
        <v>24.691274719132572</v>
      </c>
      <c r="Q48" s="159"/>
      <c r="R48" s="159"/>
      <c r="S48" s="159"/>
      <c r="T48" s="159"/>
    </row>
    <row r="49" spans="2:20">
      <c r="B49" s="96"/>
      <c r="C49" s="101" t="s">
        <v>36</v>
      </c>
      <c r="D49" s="102">
        <f>'Datos Extra'!B2</f>
        <v>35808.82</v>
      </c>
      <c r="E49" s="113">
        <f>'Datos Extra'!C2</f>
        <v>0.43715787190254973</v>
      </c>
      <c r="F49" s="113">
        <f>'Datos Extra'!D2</f>
        <v>0.37625654376818263</v>
      </c>
      <c r="G49" s="97"/>
      <c r="M49" s="123">
        <v>44829</v>
      </c>
      <c r="N49" s="159">
        <v>48.724888884392726</v>
      </c>
      <c r="O49" s="159">
        <v>26.312031384906486</v>
      </c>
      <c r="P49" s="159">
        <v>24.963079730700787</v>
      </c>
      <c r="Q49" s="159">
        <v>30.335485825220704</v>
      </c>
      <c r="R49" s="159">
        <v>20.915121984478585</v>
      </c>
      <c r="S49" s="159">
        <v>20.009096731631807</v>
      </c>
      <c r="T49" s="159">
        <v>28.740295458668442</v>
      </c>
    </row>
    <row r="50" spans="2:20">
      <c r="B50" s="96"/>
      <c r="D50" s="74"/>
      <c r="E50" s="108"/>
      <c r="F50" s="108"/>
      <c r="G50" s="97"/>
      <c r="M50" s="123">
        <v>44834</v>
      </c>
      <c r="N50" s="159">
        <v>48.765604052665623</v>
      </c>
      <c r="O50" s="159">
        <v>24.372185256327871</v>
      </c>
      <c r="P50" s="159">
        <v>26.862210691006499</v>
      </c>
      <c r="Q50" s="159">
        <v>27.254216363694994</v>
      </c>
      <c r="R50" s="159">
        <v>22.992879622148887</v>
      </c>
      <c r="S50" s="159">
        <v>11.813463046976659</v>
      </c>
      <c r="T50" s="159">
        <v>37.939440967180204</v>
      </c>
    </row>
    <row r="51" spans="2:20">
      <c r="B51" s="96"/>
      <c r="C51" s="227" t="s">
        <v>37</v>
      </c>
      <c r="D51" s="228"/>
      <c r="E51" s="228"/>
      <c r="F51" s="229"/>
      <c r="G51" s="97"/>
      <c r="M51" s="123">
        <v>44846</v>
      </c>
      <c r="N51" s="159">
        <v>57.413628230462834</v>
      </c>
      <c r="O51" s="159">
        <v>20.735217744194188</v>
      </c>
      <c r="P51" s="159">
        <v>21.851154025342982</v>
      </c>
      <c r="Q51" s="159">
        <v>41.815922440231375</v>
      </c>
      <c r="R51" s="159">
        <v>24.429551609113346</v>
      </c>
      <c r="S51" s="159">
        <v>3.6936490621524811</v>
      </c>
      <c r="T51">
        <v>30.060876888527389</v>
      </c>
    </row>
    <row r="52" spans="2:20" ht="15" customHeight="1">
      <c r="B52" s="96"/>
      <c r="C52" s="224" t="s">
        <v>184</v>
      </c>
      <c r="D52" s="225"/>
      <c r="E52" s="225"/>
      <c r="F52" s="226"/>
      <c r="G52" s="97"/>
      <c r="M52" s="123">
        <v>44851</v>
      </c>
      <c r="N52" s="159">
        <v>54.667164328291996</v>
      </c>
      <c r="O52" s="159">
        <v>21.989040320303811</v>
      </c>
      <c r="P52" s="159">
        <v>23.343795351404218</v>
      </c>
    </row>
    <row r="53" spans="2:20">
      <c r="B53" s="96"/>
      <c r="C53" s="124"/>
      <c r="F53" s="125"/>
      <c r="G53" s="97"/>
      <c r="I53" s="212"/>
      <c r="J53" s="212"/>
      <c r="M53" s="123">
        <v>44860</v>
      </c>
      <c r="Q53" s="159">
        <v>35.5980166619538</v>
      </c>
      <c r="R53" s="159">
        <v>23.560473996263315</v>
      </c>
      <c r="S53" s="159">
        <v>5.0254420131225688</v>
      </c>
      <c r="T53" s="159">
        <v>35.816067328606785</v>
      </c>
    </row>
    <row r="54" spans="2:20" ht="16">
      <c r="B54" s="96"/>
      <c r="C54" s="148" t="s">
        <v>161</v>
      </c>
      <c r="D54" s="149" t="s">
        <v>153</v>
      </c>
      <c r="E54" s="149" t="s">
        <v>182</v>
      </c>
      <c r="F54" s="125"/>
      <c r="G54" s="97"/>
      <c r="I54" s="212"/>
      <c r="J54" s="212"/>
      <c r="M54" s="123">
        <v>44865</v>
      </c>
    </row>
    <row r="55" spans="2:20" ht="16">
      <c r="B55" s="96"/>
      <c r="C55" s="147" t="str">
        <f>+C16</f>
        <v>Granzas</v>
      </c>
      <c r="D55" s="150">
        <f>IFERROR(H16, 0)</f>
        <v>28.436096677313248</v>
      </c>
      <c r="E55" s="150">
        <f>IFERROR(I16, 0)</f>
        <v>32.045969116690543</v>
      </c>
      <c r="F55" s="125"/>
      <c r="G55" s="97"/>
      <c r="I55" s="146"/>
      <c r="J55" s="146"/>
    </row>
    <row r="56" spans="2:20" ht="16">
      <c r="B56" s="96"/>
      <c r="C56" s="147" t="str">
        <f>+C17</f>
        <v>Finos</v>
      </c>
      <c r="D56" s="150">
        <f>IFERROR(H17, 0)</f>
        <v>22.975168292089329</v>
      </c>
      <c r="E56" s="150">
        <f>IFERROR(I17, 0)</f>
        <v>25.732227079208556</v>
      </c>
      <c r="F56" s="125"/>
      <c r="G56" s="97"/>
      <c r="I56" s="146"/>
      <c r="J56" s="146"/>
    </row>
    <row r="57" spans="2:20" ht="16">
      <c r="B57" s="96"/>
      <c r="C57" s="147" t="str">
        <f>+C19</f>
        <v>Prec Mixto 1</v>
      </c>
      <c r="D57" s="150">
        <f>IFERROR(H19, 0)</f>
        <v>16.479201531501918</v>
      </c>
      <c r="E57" s="150">
        <f>IFERROR(I19, 0)</f>
        <v>10.967393199202389</v>
      </c>
      <c r="F57" s="125"/>
      <c r="G57" s="97"/>
      <c r="I57" s="146"/>
      <c r="J57" s="146"/>
    </row>
    <row r="58" spans="2:20" ht="16">
      <c r="B58" s="96"/>
      <c r="C58" s="147" t="str">
        <f>+C20</f>
        <v>Prec Mixto 2</v>
      </c>
      <c r="D58" s="150">
        <f>IFERROR(H20,0)</f>
        <v>32.386347955028441</v>
      </c>
      <c r="E58" s="150">
        <f>IFERROR(I20,0)</f>
        <v>24.794041290336462</v>
      </c>
      <c r="F58" s="125"/>
      <c r="G58" s="97"/>
      <c r="I58" s="146"/>
      <c r="J58" s="146"/>
    </row>
    <row r="59" spans="2:20" ht="16">
      <c r="B59" s="96"/>
      <c r="C59" s="147" t="str">
        <f>+C31</f>
        <v>Prec. Granzas</v>
      </c>
      <c r="D59" s="150">
        <f t="shared" ref="D59:E61" si="0">+H31</f>
        <v>54.786161248157519</v>
      </c>
      <c r="E59" s="150">
        <f t="shared" si="0"/>
        <v>57.949593474998061</v>
      </c>
      <c r="F59" s="125"/>
      <c r="G59" s="97"/>
      <c r="I59" s="146"/>
      <c r="J59" s="146"/>
      <c r="O59" s="149" t="s">
        <v>179</v>
      </c>
      <c r="P59" s="149" t="s">
        <v>180</v>
      </c>
      <c r="Q59" s="149" t="s">
        <v>181</v>
      </c>
    </row>
    <row r="60" spans="2:20" ht="16">
      <c r="B60" s="96"/>
      <c r="C60" s="147" t="str">
        <f>+C32</f>
        <v>Pre. Finos</v>
      </c>
      <c r="D60" s="150">
        <f t="shared" si="0"/>
        <v>24.814166921600801</v>
      </c>
      <c r="E60" s="150">
        <f t="shared" si="0"/>
        <v>26.746482689587143</v>
      </c>
      <c r="F60" s="125"/>
      <c r="G60" s="97"/>
      <c r="I60" s="146"/>
      <c r="J60" s="146"/>
      <c r="O60" s="161" t="s">
        <v>6</v>
      </c>
      <c r="P60" s="161">
        <v>25.3</v>
      </c>
      <c r="Q60" s="161">
        <v>30</v>
      </c>
    </row>
    <row r="61" spans="2:20" ht="16">
      <c r="B61" s="96"/>
      <c r="C61" s="147" t="str">
        <f>+C33</f>
        <v>Rechazo</v>
      </c>
      <c r="D61" s="150">
        <f t="shared" si="0"/>
        <v>20.39967183024168</v>
      </c>
      <c r="E61" s="150">
        <f t="shared" si="0"/>
        <v>9.1551324633012392</v>
      </c>
      <c r="F61" s="125"/>
      <c r="G61" s="97"/>
      <c r="I61" s="146"/>
      <c r="J61" s="146"/>
      <c r="O61" s="161" t="s">
        <v>7</v>
      </c>
      <c r="P61" s="161">
        <v>23.1</v>
      </c>
      <c r="Q61" s="161">
        <v>23</v>
      </c>
    </row>
    <row r="62" spans="2:20">
      <c r="B62" s="96"/>
      <c r="C62" s="124"/>
      <c r="F62" s="125"/>
      <c r="G62" s="97"/>
      <c r="I62" s="146"/>
      <c r="J62" s="146"/>
      <c r="O62" s="161" t="s">
        <v>8</v>
      </c>
      <c r="P62" s="161">
        <v>14.2</v>
      </c>
      <c r="Q62" s="161">
        <f>100-Q60-Q61-Q63</f>
        <v>18</v>
      </c>
    </row>
    <row r="63" spans="2:20" ht="30.75" customHeight="1">
      <c r="B63" s="96"/>
      <c r="C63" s="213" t="s">
        <v>188</v>
      </c>
      <c r="D63" s="212"/>
      <c r="E63" s="212"/>
      <c r="F63" s="214"/>
      <c r="G63" s="97"/>
      <c r="I63" s="146"/>
      <c r="J63" s="146"/>
      <c r="O63" s="161" t="s">
        <v>9</v>
      </c>
      <c r="P63" s="161">
        <v>37.4</v>
      </c>
      <c r="Q63" s="161">
        <v>29</v>
      </c>
    </row>
    <row r="64" spans="2:20" ht="45" customHeight="1">
      <c r="B64" s="96"/>
      <c r="C64" s="215"/>
      <c r="D64" s="216"/>
      <c r="E64" s="216"/>
      <c r="F64" s="217"/>
      <c r="G64" s="97"/>
      <c r="I64" s="212"/>
      <c r="J64" s="212"/>
    </row>
    <row r="65" spans="2:9">
      <c r="B65" s="96"/>
      <c r="G65" s="97"/>
    </row>
    <row r="66" spans="2:9" ht="16" thickBot="1">
      <c r="B66" s="109"/>
      <c r="C66" s="110"/>
      <c r="D66" s="111"/>
      <c r="E66" s="111"/>
      <c r="F66" s="111"/>
      <c r="G66" s="112"/>
    </row>
    <row r="68" spans="2:9">
      <c r="C68" t="s">
        <v>38</v>
      </c>
      <c r="D68" s="29">
        <v>47087</v>
      </c>
      <c r="E68" s="29">
        <v>20539</v>
      </c>
    </row>
    <row r="69" spans="2:9">
      <c r="C69" t="s">
        <v>39</v>
      </c>
      <c r="D69" s="29">
        <v>74332</v>
      </c>
      <c r="E69" s="29">
        <v>57215</v>
      </c>
      <c r="F69" s="29">
        <v>59695</v>
      </c>
      <c r="G69" s="29">
        <v>118094</v>
      </c>
      <c r="H69" s="29">
        <v>21736</v>
      </c>
      <c r="I69" s="29">
        <v>38418</v>
      </c>
    </row>
    <row r="70" spans="2:9">
      <c r="C70" t="s">
        <v>40</v>
      </c>
      <c r="D70" s="29" t="s">
        <v>41</v>
      </c>
      <c r="E70" s="29" t="s">
        <v>42</v>
      </c>
      <c r="F70" s="119">
        <v>44880</v>
      </c>
      <c r="G70" s="120">
        <v>44895</v>
      </c>
      <c r="H70" s="120">
        <v>44910</v>
      </c>
      <c r="I70" s="120">
        <v>44925</v>
      </c>
    </row>
    <row r="71" spans="2:9">
      <c r="C71" t="s">
        <v>43</v>
      </c>
      <c r="D71" s="118">
        <f>12859/D68*100</f>
        <v>27.309023722046426</v>
      </c>
      <c r="E71" s="118">
        <f>5640/E68*100</f>
        <v>27.459954233409611</v>
      </c>
      <c r="F71" s="118"/>
      <c r="G71" s="118"/>
      <c r="H71" s="118"/>
    </row>
    <row r="72" spans="2:9">
      <c r="C72" t="s">
        <v>44</v>
      </c>
      <c r="D72" s="118">
        <f>11814/D68*100</f>
        <v>25.089727525644022</v>
      </c>
      <c r="E72" s="118">
        <f>3967/E68*100</f>
        <v>19.314474901407081</v>
      </c>
      <c r="F72" s="118"/>
      <c r="G72" s="118"/>
      <c r="H72" s="118"/>
    </row>
    <row r="73" spans="2:9">
      <c r="C73" t="s">
        <v>45</v>
      </c>
      <c r="D73" s="118">
        <f>6355/D68*100</f>
        <v>13.496294093911271</v>
      </c>
      <c r="E73" s="118">
        <f>(2509)/E68*100</f>
        <v>12.215784604897999</v>
      </c>
      <c r="F73" s="118"/>
      <c r="G73" s="118"/>
      <c r="H73" s="118"/>
    </row>
    <row r="74" spans="2:9">
      <c r="C74" t="s">
        <v>46</v>
      </c>
      <c r="D74" s="118">
        <f>16059/D68*100</f>
        <v>34.104954658398285</v>
      </c>
      <c r="E74" s="118">
        <f>8422/E68*100</f>
        <v>41.004917474073714</v>
      </c>
      <c r="F74" s="118"/>
      <c r="G74" s="118"/>
      <c r="H74" s="118"/>
    </row>
    <row r="75" spans="2:9">
      <c r="C75" t="s">
        <v>47</v>
      </c>
      <c r="D75" s="118">
        <f>34786/D69*100</f>
        <v>46.798148845719204</v>
      </c>
      <c r="E75" s="118">
        <f>+(7598+14018+984)/E69*100</f>
        <v>39.50013108450581</v>
      </c>
      <c r="F75" s="118">
        <f>24307/F69*100</f>
        <v>40.718653153530447</v>
      </c>
      <c r="G75" s="118">
        <v>41.73</v>
      </c>
      <c r="H75" s="118">
        <v>49.6</v>
      </c>
      <c r="I75">
        <v>36</v>
      </c>
    </row>
    <row r="76" spans="2:9">
      <c r="C76" t="s">
        <v>48</v>
      </c>
      <c r="D76" s="118">
        <f>13243/D69*100</f>
        <v>17.816014637033849</v>
      </c>
      <c r="E76" s="118">
        <f>+(8088+2573+2431)/E69*100</f>
        <v>22.882111334440268</v>
      </c>
      <c r="F76" s="118">
        <f>12514/F69*100</f>
        <v>20.963229751235446</v>
      </c>
      <c r="G76" s="118">
        <v>19.88</v>
      </c>
      <c r="H76" s="118">
        <v>24.4</v>
      </c>
      <c r="I76">
        <v>23.1</v>
      </c>
    </row>
    <row r="77" spans="2:9">
      <c r="C77" t="s">
        <v>49</v>
      </c>
      <c r="D77" s="118">
        <f>26302/D69*100</f>
        <v>35.384491201635903</v>
      </c>
      <c r="E77" s="118">
        <f>+(5683+10477+5362)/E69*100</f>
        <v>37.616009787643101</v>
      </c>
      <c r="F77" s="118">
        <f>22874/F69*100</f>
        <v>38.318117095234108</v>
      </c>
      <c r="G77" s="118">
        <v>38.39</v>
      </c>
      <c r="H77" s="118">
        <v>26</v>
      </c>
      <c r="I77">
        <v>40.799999999999997</v>
      </c>
    </row>
  </sheetData>
  <mergeCells count="18">
    <mergeCell ref="C21:F21"/>
    <mergeCell ref="C52:F52"/>
    <mergeCell ref="C26:F26"/>
    <mergeCell ref="C30:F30"/>
    <mergeCell ref="C34:F34"/>
    <mergeCell ref="C39:F39"/>
    <mergeCell ref="C47:F47"/>
    <mergeCell ref="C51:F51"/>
    <mergeCell ref="C4:F4"/>
    <mergeCell ref="D6:E6"/>
    <mergeCell ref="C8:F8"/>
    <mergeCell ref="C14:F14"/>
    <mergeCell ref="C15:F15"/>
    <mergeCell ref="I64:J64"/>
    <mergeCell ref="I53:J53"/>
    <mergeCell ref="I54:J54"/>
    <mergeCell ref="C63:F63"/>
    <mergeCell ref="C64:F64"/>
  </mergeCells>
  <phoneticPr fontId="6" type="noConversion"/>
  <pageMargins left="0.7" right="0.7" top="0.75" bottom="0.75" header="0.3" footer="0.3"/>
  <pageSetup paperSize="122" scale="77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57518A3-6FC3-4CD9-B6DB-6271495FA0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'!N6:N20</xm:f>
              <xm:sqref>N4</xm:sqref>
            </x14:sparkline>
            <x14:sparkline>
              <xm:f>'Reporte '!O6:O20</xm:f>
              <xm:sqref>O4</xm:sqref>
            </x14:sparkline>
            <x14:sparkline>
              <xm:f>'Reporte '!P6:P20</xm:f>
              <xm:sqref>P4</xm:sqref>
            </x14:sparkline>
            <x14:sparkline>
              <xm:f>'Reporte '!Q6:Q20</xm:f>
              <xm:sqref>Q4</xm:sqref>
            </x14:sparkline>
            <x14:sparkline>
              <xm:f>'Reporte '!R6:R20</xm:f>
              <xm:sqref>R4</xm:sqref>
            </x14:sparkline>
            <x14:sparkline>
              <xm:f>'Reporte '!S6:S20</xm:f>
              <xm:sqref>S4</xm:sqref>
            </x14:sparkline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7AC1-BAD2-464C-AC4F-D181A98794E2}">
  <dimension ref="A1:E2"/>
  <sheetViews>
    <sheetView workbookViewId="0">
      <selection sqref="A1:E2"/>
    </sheetView>
  </sheetViews>
  <sheetFormatPr baseColWidth="10" defaultRowHeight="15"/>
  <cols>
    <col min="1" max="1" width="17.6640625" customWidth="1"/>
  </cols>
  <sheetData>
    <row r="1" spans="1:5">
      <c r="A1" s="163" t="s">
        <v>35</v>
      </c>
      <c r="B1" s="137">
        <v>0</v>
      </c>
      <c r="C1" s="145">
        <v>0</v>
      </c>
      <c r="D1" s="145">
        <v>0</v>
      </c>
      <c r="E1" s="48">
        <v>0</v>
      </c>
    </row>
    <row r="2" spans="1:5">
      <c r="A2" s="163" t="s">
        <v>36</v>
      </c>
      <c r="B2" s="137">
        <v>35808.82</v>
      </c>
      <c r="C2" s="145">
        <v>0.43715787190254973</v>
      </c>
      <c r="D2" s="145">
        <v>0.37625654376818263</v>
      </c>
      <c r="E2" s="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R48"/>
  <sheetViews>
    <sheetView showGridLines="0" topLeftCell="H5" zoomScale="80" zoomScaleNormal="80" workbookViewId="0">
      <selection activeCell="C18" sqref="C18:F27"/>
    </sheetView>
  </sheetViews>
  <sheetFormatPr baseColWidth="10" defaultColWidth="11.5" defaultRowHeight="15"/>
  <cols>
    <col min="1" max="1" width="17.1640625" customWidth="1"/>
    <col min="2" max="2" width="8.1640625" customWidth="1"/>
    <col min="3" max="3" width="35.33203125" customWidth="1"/>
    <col min="4" max="4" width="11" customWidth="1"/>
    <col min="5" max="5" width="12" bestFit="1" customWidth="1"/>
    <col min="6" max="6" width="13.33203125" customWidth="1"/>
    <col min="7" max="7" width="19.6640625" bestFit="1" customWidth="1"/>
    <col min="8" max="8" width="20.6640625" customWidth="1"/>
    <col min="9" max="9" width="14.83203125" bestFit="1" customWidth="1"/>
    <col min="10" max="10" width="9.1640625" customWidth="1"/>
    <col min="11" max="11" width="30.6640625" customWidth="1"/>
    <col min="12" max="12" width="14.5" customWidth="1"/>
    <col min="13" max="13" width="20.83203125" customWidth="1"/>
    <col min="14" max="17" width="14.5" customWidth="1"/>
  </cols>
  <sheetData>
    <row r="1" spans="1:14" ht="16" thickBot="1">
      <c r="D1" s="13"/>
      <c r="F1" s="13"/>
    </row>
    <row r="2" spans="1:14" ht="15" customHeight="1" thickBot="1">
      <c r="C2" s="14" t="s">
        <v>50</v>
      </c>
      <c r="D2" s="13"/>
      <c r="F2" s="13"/>
      <c r="G2" s="160"/>
      <c r="H2" s="237" t="s">
        <v>152</v>
      </c>
      <c r="I2" s="238"/>
      <c r="J2" s="238"/>
      <c r="K2" s="238"/>
      <c r="L2" s="239"/>
    </row>
    <row r="3" spans="1:14" ht="16" thickBot="1">
      <c r="A3" s="157" t="s">
        <v>173</v>
      </c>
      <c r="B3" s="158">
        <f>+D5+D6-D7-D8-D9-D10</f>
        <v>-220.6559999999954</v>
      </c>
      <c r="C3" s="35"/>
      <c r="D3" s="36" t="s">
        <v>12</v>
      </c>
      <c r="E3" s="24" t="s">
        <v>13</v>
      </c>
      <c r="F3" s="24" t="s">
        <v>51</v>
      </c>
      <c r="H3" s="230" t="s">
        <v>52</v>
      </c>
      <c r="I3" s="231"/>
      <c r="K3" s="230" t="s">
        <v>53</v>
      </c>
      <c r="L3" s="231"/>
    </row>
    <row r="4" spans="1:14" ht="22.5" customHeight="1">
      <c r="B4" s="232" t="s">
        <v>54</v>
      </c>
      <c r="C4" s="37" t="s">
        <v>55</v>
      </c>
      <c r="D4" s="26">
        <v>0</v>
      </c>
      <c r="E4" s="40"/>
      <c r="F4" s="40"/>
      <c r="G4" s="13">
        <f>+I4-L4</f>
        <v>-2867</v>
      </c>
      <c r="H4" s="15" t="s">
        <v>6</v>
      </c>
      <c r="I4" s="16">
        <v>0</v>
      </c>
      <c r="K4" s="17" t="s">
        <v>6</v>
      </c>
      <c r="L4" s="16">
        <f>356+518+1509+484</f>
        <v>2867</v>
      </c>
    </row>
    <row r="5" spans="1:14">
      <c r="B5" s="233"/>
      <c r="C5" s="18" t="s">
        <v>56</v>
      </c>
      <c r="D5" s="11">
        <v>68993</v>
      </c>
      <c r="E5" s="41">
        <v>0.53526569941878199</v>
      </c>
      <c r="F5" s="41">
        <v>0.48852658240691099</v>
      </c>
      <c r="G5" s="13">
        <f t="shared" ref="G5:G11" si="0">+I5-L5</f>
        <v>-212</v>
      </c>
      <c r="H5" s="19" t="s">
        <v>7</v>
      </c>
      <c r="I5" s="20">
        <v>226</v>
      </c>
      <c r="K5" s="21" t="s">
        <v>7</v>
      </c>
      <c r="L5" s="20">
        <v>438</v>
      </c>
    </row>
    <row r="6" spans="1:14">
      <c r="B6" s="233"/>
      <c r="C6" s="18" t="s">
        <v>57</v>
      </c>
      <c r="D6" s="11">
        <v>10719.6</v>
      </c>
      <c r="E6" s="41">
        <v>0.55290710660845599</v>
      </c>
      <c r="F6" s="41">
        <v>0.50318076980484305</v>
      </c>
      <c r="G6" s="13">
        <f t="shared" si="0"/>
        <v>478</v>
      </c>
      <c r="H6" s="19" t="s">
        <v>8</v>
      </c>
      <c r="I6" s="20">
        <f>1280+146+130</f>
        <v>1556</v>
      </c>
      <c r="K6" s="21" t="s">
        <v>8</v>
      </c>
      <c r="L6" s="20">
        <f>1028+50</f>
        <v>1078</v>
      </c>
      <c r="N6" s="13"/>
    </row>
    <row r="7" spans="1:14">
      <c r="A7">
        <f>+D7/$D$5*100</f>
        <v>32.854277970228871</v>
      </c>
      <c r="B7" s="233"/>
      <c r="C7" s="27" t="s">
        <v>58</v>
      </c>
      <c r="D7" s="162">
        <v>22667.152000000002</v>
      </c>
      <c r="E7" s="41">
        <v>0.60588953488372099</v>
      </c>
      <c r="F7" s="41">
        <v>0.59221159069767404</v>
      </c>
      <c r="G7" s="13">
        <f t="shared" si="0"/>
        <v>-528</v>
      </c>
      <c r="H7" s="19" t="s">
        <v>9</v>
      </c>
      <c r="I7" s="20">
        <f>84+114+184</f>
        <v>382</v>
      </c>
      <c r="K7" s="21" t="s">
        <v>9</v>
      </c>
      <c r="L7" s="20">
        <f>288+622</f>
        <v>910</v>
      </c>
    </row>
    <row r="8" spans="1:14">
      <c r="A8">
        <f>+D8/$D$5*100</f>
        <v>26.544872668241702</v>
      </c>
      <c r="B8" s="233"/>
      <c r="C8" s="27" t="s">
        <v>59</v>
      </c>
      <c r="D8" s="162">
        <v>18314.103999999999</v>
      </c>
      <c r="E8" s="41">
        <v>0.602155555555556</v>
      </c>
      <c r="F8" s="41">
        <v>0.58622512000000004</v>
      </c>
      <c r="G8" s="13">
        <f t="shared" si="0"/>
        <v>80</v>
      </c>
      <c r="H8" s="32" t="s">
        <v>60</v>
      </c>
      <c r="I8" s="33">
        <v>250</v>
      </c>
      <c r="K8" s="34" t="s">
        <v>60</v>
      </c>
      <c r="L8" s="33">
        <v>170</v>
      </c>
      <c r="M8" s="13"/>
    </row>
    <row r="9" spans="1:14">
      <c r="A9">
        <f>+D9/$D$5*100</f>
        <v>19.039612714333337</v>
      </c>
      <c r="B9" s="233"/>
      <c r="C9" s="27" t="s">
        <v>61</v>
      </c>
      <c r="D9" s="11">
        <f>21136-8000</f>
        <v>13136</v>
      </c>
      <c r="E9" s="41">
        <v>0.35781395348837203</v>
      </c>
      <c r="F9" s="41">
        <v>0.321851323255814</v>
      </c>
      <c r="G9" s="13">
        <f t="shared" si="0"/>
        <v>-1067</v>
      </c>
      <c r="H9" s="32" t="s">
        <v>26</v>
      </c>
      <c r="I9" s="33">
        <v>0</v>
      </c>
      <c r="K9" s="34" t="s">
        <v>26</v>
      </c>
      <c r="L9" s="33">
        <f>847+220</f>
        <v>1067</v>
      </c>
      <c r="M9" s="13"/>
    </row>
    <row r="10" spans="1:14">
      <c r="A10">
        <f>+D10/$D$5*100</f>
        <v>37.418288811908454</v>
      </c>
      <c r="B10" s="233"/>
      <c r="C10" s="27" t="s">
        <v>62</v>
      </c>
      <c r="D10" s="11">
        <f>17816+8000</f>
        <v>25816</v>
      </c>
      <c r="E10" s="41">
        <v>0.54431333333333298</v>
      </c>
      <c r="F10" s="41">
        <v>0.522271713333333</v>
      </c>
      <c r="G10" s="13">
        <f t="shared" si="0"/>
        <v>-176</v>
      </c>
      <c r="H10" s="32" t="s">
        <v>5</v>
      </c>
      <c r="I10" s="33">
        <v>0</v>
      </c>
      <c r="K10" s="34" t="s">
        <v>5</v>
      </c>
      <c r="L10" s="33">
        <v>176</v>
      </c>
      <c r="M10" s="13"/>
    </row>
    <row r="11" spans="1:14" ht="16" thickBot="1">
      <c r="B11" s="233"/>
      <c r="C11" s="25" t="s">
        <v>63</v>
      </c>
      <c r="D11" s="11"/>
      <c r="E11" s="41"/>
      <c r="F11" s="38"/>
      <c r="G11" s="13">
        <f t="shared" si="0"/>
        <v>-1162</v>
      </c>
      <c r="H11" s="22" t="s">
        <v>64</v>
      </c>
      <c r="I11" s="23">
        <f>1971+1106</f>
        <v>3077</v>
      </c>
      <c r="K11" s="22" t="s">
        <v>64</v>
      </c>
      <c r="L11" s="23">
        <v>4239</v>
      </c>
    </row>
    <row r="12" spans="1:14" ht="18" thickBot="1">
      <c r="B12" s="233"/>
      <c r="C12" s="25" t="s">
        <v>65</v>
      </c>
      <c r="D12" s="144">
        <v>20879.289999999997</v>
      </c>
      <c r="E12" s="121">
        <v>0.58489999999999998</v>
      </c>
      <c r="F12" s="121">
        <f>+F7</f>
        <v>0.59221159069767404</v>
      </c>
      <c r="G12" s="13"/>
      <c r="H12" s="135" t="s">
        <v>158</v>
      </c>
      <c r="I12" s="136"/>
    </row>
    <row r="13" spans="1:14">
      <c r="B13" s="233"/>
      <c r="C13" s="25" t="s">
        <v>66</v>
      </c>
      <c r="D13" s="11"/>
      <c r="E13" s="121"/>
      <c r="F13" s="121"/>
      <c r="G13" s="13"/>
      <c r="H13" s="13"/>
      <c r="I13" s="13"/>
      <c r="K13" s="240" t="s">
        <v>162</v>
      </c>
      <c r="L13" s="240"/>
    </row>
    <row r="14" spans="1:14" ht="17">
      <c r="B14" s="233"/>
      <c r="C14" s="25" t="s">
        <v>67</v>
      </c>
      <c r="D14" s="144">
        <v>16230.67</v>
      </c>
      <c r="E14" s="121">
        <v>0.60060000000000002</v>
      </c>
      <c r="F14" s="121">
        <f>+F8</f>
        <v>0.58622512000000004</v>
      </c>
      <c r="G14" s="42">
        <f>+E7-F7</f>
        <v>1.3677944186046953E-2</v>
      </c>
      <c r="H14" s="13"/>
      <c r="K14" s="47" t="s">
        <v>164</v>
      </c>
      <c r="L14" s="11">
        <v>4207</v>
      </c>
    </row>
    <row r="15" spans="1:14">
      <c r="B15" s="233"/>
      <c r="C15" s="25" t="s">
        <v>68</v>
      </c>
      <c r="D15" s="126">
        <v>4696</v>
      </c>
      <c r="E15" s="128">
        <f>+E9</f>
        <v>0.35781395348837203</v>
      </c>
      <c r="F15" s="128">
        <f>+F9</f>
        <v>0.321851323255814</v>
      </c>
      <c r="H15" s="13"/>
      <c r="I15" s="13"/>
      <c r="K15" s="47" t="s">
        <v>163</v>
      </c>
      <c r="L15" s="142">
        <v>2</v>
      </c>
    </row>
    <row r="16" spans="1:14">
      <c r="B16" s="233"/>
      <c r="C16" s="25" t="s">
        <v>69</v>
      </c>
      <c r="D16" s="11">
        <v>26876.47</v>
      </c>
      <c r="E16" s="41">
        <v>0.41160000000000002</v>
      </c>
      <c r="F16" s="41">
        <v>0.376</v>
      </c>
      <c r="H16" s="241"/>
      <c r="I16" s="241"/>
      <c r="K16" s="47" t="s">
        <v>165</v>
      </c>
      <c r="L16" s="11">
        <f>+L14*L15</f>
        <v>8414</v>
      </c>
    </row>
    <row r="17" spans="1:18" ht="16" thickBot="1">
      <c r="A17" s="157" t="s">
        <v>173</v>
      </c>
      <c r="B17" s="59"/>
      <c r="C17" s="60" t="s">
        <v>70</v>
      </c>
      <c r="D17" s="61"/>
      <c r="E17" s="117"/>
      <c r="F17" s="117"/>
      <c r="H17" s="53"/>
      <c r="I17" s="13"/>
      <c r="K17" s="47" t="s">
        <v>167</v>
      </c>
      <c r="L17" s="11">
        <f>+'Bal AL FeT'!J39+'Bal ML FeT'!J30</f>
        <v>15822</v>
      </c>
    </row>
    <row r="18" spans="1:18" ht="14.5" customHeight="1">
      <c r="A18" s="158">
        <f>+D18+D19-D21-D22-D23</f>
        <v>379.99999999999636</v>
      </c>
      <c r="B18" s="234" t="s">
        <v>71</v>
      </c>
      <c r="C18" s="54" t="s">
        <v>72</v>
      </c>
      <c r="D18" s="86">
        <v>26924</v>
      </c>
      <c r="E18" s="87">
        <v>0.441342081414351</v>
      </c>
      <c r="F18" s="87">
        <v>0.40327125984251999</v>
      </c>
      <c r="H18" s="53"/>
      <c r="I18" s="143"/>
      <c r="K18" s="47" t="s">
        <v>168</v>
      </c>
      <c r="L18" s="11">
        <f>+L17-L16</f>
        <v>7408</v>
      </c>
    </row>
    <row r="19" spans="1:18">
      <c r="B19" s="235"/>
      <c r="C19" s="55" t="s">
        <v>73</v>
      </c>
      <c r="D19" s="86">
        <v>9033</v>
      </c>
      <c r="E19" s="87">
        <v>0.42468630576774002</v>
      </c>
      <c r="F19" s="87">
        <v>0.37383114137052997</v>
      </c>
      <c r="H19" s="53"/>
      <c r="I19" s="13"/>
      <c r="K19" s="47" t="s">
        <v>175</v>
      </c>
      <c r="L19" s="11">
        <v>4689</v>
      </c>
      <c r="P19" s="13"/>
    </row>
    <row r="20" spans="1:18">
      <c r="B20" s="235"/>
      <c r="C20" s="55" t="s">
        <v>74</v>
      </c>
      <c r="D20" s="86"/>
      <c r="E20" s="87"/>
      <c r="F20" s="87"/>
      <c r="H20" s="13"/>
      <c r="K20" s="47" t="s">
        <v>176</v>
      </c>
      <c r="L20" s="11">
        <f>+L18-L19</f>
        <v>2719</v>
      </c>
    </row>
    <row r="21" spans="1:18">
      <c r="B21" s="235"/>
      <c r="C21" s="56" t="s">
        <v>75</v>
      </c>
      <c r="D21" s="86">
        <v>18014.457000000002</v>
      </c>
      <c r="E21" s="87">
        <v>0.45257727272727299</v>
      </c>
      <c r="F21" s="87">
        <v>0.42270753181818199</v>
      </c>
      <c r="H21" s="13"/>
      <c r="L21" s="13"/>
    </row>
    <row r="22" spans="1:18">
      <c r="B22" s="235"/>
      <c r="C22" s="56" t="s">
        <v>76</v>
      </c>
      <c r="D22" s="86">
        <v>7710.3249999999998</v>
      </c>
      <c r="E22" s="87">
        <v>0.44857999999999998</v>
      </c>
      <c r="F22" s="87">
        <v>0.41259171</v>
      </c>
      <c r="H22" s="13"/>
    </row>
    <row r="23" spans="1:18">
      <c r="B23" s="235"/>
      <c r="C23" s="56" t="s">
        <v>77</v>
      </c>
      <c r="D23" s="86">
        <v>9852.2180000000008</v>
      </c>
      <c r="E23" s="87">
        <v>0.196191304347826</v>
      </c>
      <c r="F23" s="87">
        <v>0.14010876521739099</v>
      </c>
      <c r="H23" s="13"/>
      <c r="L23" s="13"/>
    </row>
    <row r="24" spans="1:18">
      <c r="B24" s="235"/>
      <c r="C24" s="57" t="s">
        <v>78</v>
      </c>
      <c r="D24" s="11">
        <v>19779.46</v>
      </c>
      <c r="E24" s="87">
        <v>0.46239999999999998</v>
      </c>
      <c r="F24" s="87">
        <v>0.43380000000000002</v>
      </c>
      <c r="H24" s="13"/>
    </row>
    <row r="25" spans="1:18">
      <c r="B25" s="235"/>
      <c r="C25" s="57" t="s">
        <v>79</v>
      </c>
      <c r="D25" s="11">
        <v>7855.43</v>
      </c>
      <c r="E25" s="41">
        <v>0.47120000000000001</v>
      </c>
      <c r="F25" s="41">
        <v>0.43130000000000002</v>
      </c>
      <c r="H25" s="13"/>
      <c r="K25" t="s">
        <v>172</v>
      </c>
    </row>
    <row r="26" spans="1:18">
      <c r="B26" s="235"/>
      <c r="C26" s="57" t="s">
        <v>80</v>
      </c>
      <c r="D26" s="126">
        <v>11126</v>
      </c>
      <c r="E26" s="127">
        <f>+E23</f>
        <v>0.196191304347826</v>
      </c>
      <c r="F26" s="127">
        <f>+F23</f>
        <v>0.14010876521739099</v>
      </c>
      <c r="H26" s="13"/>
    </row>
    <row r="27" spans="1:18" ht="16" thickBot="1">
      <c r="B27" s="236"/>
      <c r="C27" s="58" t="s">
        <v>81</v>
      </c>
      <c r="D27" s="39">
        <v>35808.82</v>
      </c>
      <c r="E27" s="77">
        <f>+E18</f>
        <v>0.441342081414351</v>
      </c>
      <c r="F27" s="77">
        <f>+F18</f>
        <v>0.40327125984251999</v>
      </c>
      <c r="H27" s="13"/>
      <c r="L27" s="13"/>
    </row>
    <row r="28" spans="1:18" ht="29.5" customHeight="1">
      <c r="C28" s="60"/>
      <c r="M28" s="138"/>
      <c r="N28" s="139"/>
      <c r="O28" s="139"/>
      <c r="P28" s="139"/>
      <c r="Q28" s="139"/>
      <c r="R28" s="139"/>
    </row>
    <row r="29" spans="1:18">
      <c r="D29" s="13"/>
      <c r="M29" s="48"/>
      <c r="N29" s="137"/>
      <c r="O29" s="137"/>
      <c r="P29" s="137"/>
      <c r="Q29" s="137"/>
      <c r="R29" s="137"/>
    </row>
    <row r="30" spans="1:18">
      <c r="D30" s="13"/>
      <c r="L30" s="13"/>
      <c r="M30" s="48"/>
      <c r="N30" s="137"/>
      <c r="O30" s="137"/>
      <c r="P30" s="137"/>
      <c r="Q30" s="137"/>
      <c r="R30" s="137"/>
    </row>
    <row r="31" spans="1:18" ht="16" thickBot="1">
      <c r="D31" s="13"/>
      <c r="M31" s="48"/>
      <c r="N31" s="137"/>
      <c r="O31" s="137"/>
      <c r="P31" s="137"/>
      <c r="Q31" s="137"/>
      <c r="R31" s="137"/>
    </row>
    <row r="32" spans="1:18">
      <c r="C32" s="88"/>
      <c r="D32" s="89" t="s">
        <v>4</v>
      </c>
      <c r="E32" s="89" t="s">
        <v>39</v>
      </c>
      <c r="F32" s="89" t="s">
        <v>3</v>
      </c>
      <c r="H32" s="153"/>
      <c r="I32" s="153"/>
      <c r="M32" s="48"/>
      <c r="N32" s="137"/>
      <c r="O32" s="137"/>
      <c r="P32" s="137"/>
      <c r="Q32" s="137"/>
      <c r="R32" s="137"/>
    </row>
    <row r="33" spans="3:18" ht="16" thickBot="1">
      <c r="C33" s="90" t="s">
        <v>185</v>
      </c>
      <c r="D33" s="91">
        <v>394.25</v>
      </c>
      <c r="E33" s="91"/>
      <c r="F33" s="91">
        <v>277.25</v>
      </c>
      <c r="H33" s="153"/>
      <c r="I33" s="153"/>
      <c r="M33" s="48"/>
      <c r="N33" s="137"/>
      <c r="O33" s="137"/>
      <c r="P33" s="137"/>
      <c r="Q33" s="137"/>
      <c r="R33" s="137"/>
    </row>
    <row r="34" spans="3:18">
      <c r="C34" s="88"/>
      <c r="D34" s="89" t="s">
        <v>4</v>
      </c>
      <c r="E34" s="89" t="s">
        <v>9</v>
      </c>
      <c r="F34" s="89" t="s">
        <v>3</v>
      </c>
      <c r="H34" s="153"/>
      <c r="I34" s="153"/>
      <c r="M34" s="48"/>
      <c r="N34" s="137"/>
      <c r="O34" s="137"/>
      <c r="P34" s="137"/>
      <c r="Q34" s="137"/>
      <c r="R34" s="137"/>
    </row>
    <row r="35" spans="3:18" ht="16" thickBot="1">
      <c r="C35" s="90" t="s">
        <v>183</v>
      </c>
      <c r="D35" s="91"/>
      <c r="E35" s="91"/>
      <c r="F35" s="91"/>
      <c r="H35" s="154"/>
      <c r="I35" s="154"/>
      <c r="M35" s="140"/>
      <c r="N35" s="141"/>
      <c r="O35" s="141"/>
      <c r="P35" s="141"/>
      <c r="Q35" s="141"/>
      <c r="R35" s="141"/>
    </row>
    <row r="36" spans="3:18">
      <c r="C36" s="88"/>
      <c r="D36" s="89" t="s">
        <v>9</v>
      </c>
      <c r="E36" s="89" t="s">
        <v>39</v>
      </c>
      <c r="F36" s="89"/>
      <c r="H36" s="13"/>
      <c r="O36" s="13"/>
    </row>
    <row r="37" spans="3:18" ht="16" thickBot="1">
      <c r="C37" s="90" t="s">
        <v>186</v>
      </c>
      <c r="D37" s="91"/>
      <c r="E37" s="91">
        <v>663.3</v>
      </c>
      <c r="F37" s="91"/>
      <c r="O37" s="13"/>
    </row>
    <row r="38" spans="3:18">
      <c r="C38" s="88"/>
      <c r="D38" s="89" t="s">
        <v>9</v>
      </c>
      <c r="E38" s="89" t="s">
        <v>39</v>
      </c>
      <c r="F38" s="89"/>
    </row>
    <row r="39" spans="3:18" ht="16" thickBot="1">
      <c r="C39" s="90" t="s">
        <v>170</v>
      </c>
      <c r="D39" s="91"/>
      <c r="E39" s="91"/>
      <c r="F39" s="91"/>
    </row>
    <row r="40" spans="3:18" ht="16">
      <c r="L40" s="138" t="s">
        <v>174</v>
      </c>
      <c r="M40" s="138" t="s">
        <v>161</v>
      </c>
      <c r="N40" s="139" t="s">
        <v>160</v>
      </c>
      <c r="O40" s="139" t="s">
        <v>187</v>
      </c>
    </row>
    <row r="41" spans="3:18">
      <c r="L41" s="48"/>
      <c r="M41" s="48" t="s">
        <v>8</v>
      </c>
      <c r="N41" s="137"/>
      <c r="O41" s="137"/>
    </row>
    <row r="42" spans="3:18">
      <c r="C42" s="155"/>
      <c r="D42" s="156"/>
      <c r="E42" s="155"/>
      <c r="L42" s="48"/>
      <c r="M42" s="48" t="s">
        <v>9</v>
      </c>
      <c r="N42" s="137"/>
      <c r="O42" s="137"/>
    </row>
    <row r="43" spans="3:18">
      <c r="C43" s="155"/>
      <c r="D43" s="156"/>
      <c r="E43" s="155"/>
      <c r="L43" s="48"/>
      <c r="M43" s="48" t="s">
        <v>3</v>
      </c>
      <c r="N43" s="137"/>
      <c r="O43" s="137"/>
    </row>
    <row r="44" spans="3:18">
      <c r="C44" s="155"/>
      <c r="D44" s="156"/>
      <c r="E44" s="155"/>
      <c r="L44" s="48">
        <v>10000880</v>
      </c>
      <c r="M44" s="48" t="s">
        <v>64</v>
      </c>
      <c r="N44" s="137">
        <v>1.18</v>
      </c>
      <c r="O44" s="137">
        <v>0</v>
      </c>
    </row>
    <row r="45" spans="3:18">
      <c r="C45" s="155"/>
      <c r="D45" s="156"/>
      <c r="E45" s="155"/>
      <c r="L45" s="48">
        <v>10000744</v>
      </c>
      <c r="M45" s="48" t="s">
        <v>7</v>
      </c>
      <c r="N45" s="137">
        <v>222.03</v>
      </c>
      <c r="O45" s="137">
        <v>0</v>
      </c>
    </row>
    <row r="46" spans="3:18">
      <c r="C46" s="155"/>
      <c r="D46" s="156"/>
      <c r="E46" s="155"/>
      <c r="L46" s="48">
        <v>10000743</v>
      </c>
      <c r="M46" s="48" t="s">
        <v>6</v>
      </c>
      <c r="N46" s="137">
        <v>4.3999999999999997E-2</v>
      </c>
      <c r="O46" s="137">
        <v>0</v>
      </c>
      <c r="P46" s="13"/>
    </row>
    <row r="47" spans="3:18" ht="32">
      <c r="L47" s="140">
        <v>10000742</v>
      </c>
      <c r="M47" s="140" t="s">
        <v>177</v>
      </c>
      <c r="N47" s="141">
        <v>1982.18</v>
      </c>
      <c r="O47" s="141">
        <v>0</v>
      </c>
    </row>
    <row r="48" spans="3:18">
      <c r="N48" s="13"/>
    </row>
  </sheetData>
  <mergeCells count="7">
    <mergeCell ref="H3:I3"/>
    <mergeCell ref="K3:L3"/>
    <mergeCell ref="B4:B16"/>
    <mergeCell ref="B18:B27"/>
    <mergeCell ref="H2:L2"/>
    <mergeCell ref="K13:L13"/>
    <mergeCell ref="H16:I16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C3:J12"/>
  <sheetViews>
    <sheetView workbookViewId="0">
      <selection activeCell="F13" sqref="F13"/>
    </sheetView>
  </sheetViews>
  <sheetFormatPr baseColWidth="10" defaultColWidth="11.5" defaultRowHeight="15"/>
  <cols>
    <col min="3" max="3" width="16.83203125" bestFit="1" customWidth="1"/>
  </cols>
  <sheetData>
    <row r="3" spans="3:10" ht="32">
      <c r="D3" t="s">
        <v>82</v>
      </c>
      <c r="E3" t="s">
        <v>83</v>
      </c>
      <c r="F3" t="s">
        <v>84</v>
      </c>
      <c r="G3" t="s">
        <v>85</v>
      </c>
      <c r="J3" s="43" t="s">
        <v>86</v>
      </c>
    </row>
    <row r="4" spans="3:10">
      <c r="C4" t="s">
        <v>87</v>
      </c>
      <c r="D4" s="13">
        <f>+'Info Planta'!I4</f>
        <v>0</v>
      </c>
      <c r="E4" s="13">
        <f>+'Info Planta'!L4</f>
        <v>2867</v>
      </c>
      <c r="F4" s="13">
        <f t="shared" ref="F4:F11" si="0">+E4-D4</f>
        <v>2867</v>
      </c>
      <c r="G4" s="3">
        <f>+IF(F4=0,0,IF(F4&lt;0,1,-1))</f>
        <v>-1</v>
      </c>
      <c r="H4" s="4" t="str">
        <f>+IF(G4=1,"consume",IF(G4=0,"mantiene","aumenta"))</f>
        <v>aumenta</v>
      </c>
      <c r="I4" s="13">
        <f>+'Diag Bal AL FeT'!O41</f>
        <v>2867</v>
      </c>
      <c r="J4" s="13">
        <f>+D4+I4</f>
        <v>2867</v>
      </c>
    </row>
    <row r="5" spans="3:10">
      <c r="C5" t="s">
        <v>88</v>
      </c>
      <c r="D5" s="13">
        <f>+'Info Planta'!I5</f>
        <v>226</v>
      </c>
      <c r="E5" s="13">
        <f>+'Info Planta'!L5</f>
        <v>438</v>
      </c>
      <c r="F5" s="13">
        <f t="shared" si="0"/>
        <v>212</v>
      </c>
      <c r="G5" s="3">
        <f t="shared" ref="G5:G11" si="1">+IF(F5=0,0,IF(F5&lt;0,1,-1))</f>
        <v>-1</v>
      </c>
      <c r="H5" s="4" t="str">
        <f t="shared" ref="H5:H11" si="2">+IF(G5=1,"consume",IF(G5=0,"mantiene","aumenta"))</f>
        <v>aumenta</v>
      </c>
      <c r="I5" s="13">
        <f>+'Diag Bal AL FeT'!O42</f>
        <v>212</v>
      </c>
      <c r="J5" s="13">
        <f>+D5+I5</f>
        <v>438</v>
      </c>
    </row>
    <row r="6" spans="3:10">
      <c r="C6" t="s">
        <v>89</v>
      </c>
      <c r="D6" s="13">
        <f>+'Info Planta'!I6</f>
        <v>1556</v>
      </c>
      <c r="E6" s="13">
        <f>+'Info Planta'!L6</f>
        <v>1078</v>
      </c>
      <c r="F6" s="13">
        <f t="shared" si="0"/>
        <v>-478</v>
      </c>
      <c r="G6" s="3">
        <f t="shared" si="1"/>
        <v>1</v>
      </c>
      <c r="H6" s="4" t="str">
        <f t="shared" si="2"/>
        <v>consume</v>
      </c>
      <c r="I6" s="13">
        <f>+'Diag Bal AL FeT'!O43</f>
        <v>-478</v>
      </c>
      <c r="J6" s="13">
        <f>+D6+I6</f>
        <v>1078</v>
      </c>
    </row>
    <row r="7" spans="3:10">
      <c r="C7" t="s">
        <v>90</v>
      </c>
      <c r="D7" s="13">
        <f>+'Info Planta'!I7</f>
        <v>382</v>
      </c>
      <c r="E7" s="13">
        <f>+'Info Planta'!L7</f>
        <v>910</v>
      </c>
      <c r="F7" s="13">
        <f t="shared" si="0"/>
        <v>528</v>
      </c>
      <c r="G7" s="3">
        <f t="shared" si="1"/>
        <v>-1</v>
      </c>
      <c r="H7" s="4" t="str">
        <f t="shared" si="2"/>
        <v>aumenta</v>
      </c>
      <c r="I7" s="13">
        <f>+'Diag Bal AL FeT'!O44</f>
        <v>528</v>
      </c>
      <c r="J7" s="13">
        <f>+D7+I7</f>
        <v>910</v>
      </c>
    </row>
    <row r="8" spans="3:10">
      <c r="C8" s="31" t="s">
        <v>91</v>
      </c>
      <c r="D8" s="13">
        <f>+'Info Planta'!I8</f>
        <v>250</v>
      </c>
      <c r="E8" s="13">
        <f>+'Info Planta'!L8</f>
        <v>170</v>
      </c>
      <c r="F8" s="13">
        <f t="shared" si="0"/>
        <v>-80</v>
      </c>
      <c r="G8" s="3">
        <f t="shared" si="1"/>
        <v>1</v>
      </c>
      <c r="H8" s="4" t="str">
        <f t="shared" si="2"/>
        <v>consume</v>
      </c>
      <c r="I8" s="13"/>
    </row>
    <row r="9" spans="3:10">
      <c r="C9" s="31" t="s">
        <v>92</v>
      </c>
      <c r="D9" s="13">
        <f>+'Info Planta'!I9</f>
        <v>0</v>
      </c>
      <c r="E9" s="13">
        <f>+'Info Planta'!L9</f>
        <v>1067</v>
      </c>
      <c r="F9" s="13">
        <f t="shared" si="0"/>
        <v>1067</v>
      </c>
      <c r="G9" s="3">
        <f t="shared" si="1"/>
        <v>-1</v>
      </c>
      <c r="H9" s="4" t="str">
        <f t="shared" si="2"/>
        <v>aumenta</v>
      </c>
      <c r="I9" s="13"/>
    </row>
    <row r="10" spans="3:10">
      <c r="C10" s="31" t="s">
        <v>93</v>
      </c>
      <c r="D10" s="13">
        <f>+'Info Planta'!I10</f>
        <v>0</v>
      </c>
      <c r="E10" s="13">
        <f>+'Info Planta'!L10</f>
        <v>176</v>
      </c>
      <c r="F10" s="13">
        <f t="shared" si="0"/>
        <v>176</v>
      </c>
      <c r="G10" s="3">
        <f t="shared" si="1"/>
        <v>-1</v>
      </c>
      <c r="H10" s="4" t="str">
        <f t="shared" si="2"/>
        <v>aumenta</v>
      </c>
      <c r="I10" s="13"/>
    </row>
    <row r="11" spans="3:10">
      <c r="C11" s="31" t="s">
        <v>94</v>
      </c>
      <c r="D11" s="13">
        <f>+'Info Planta'!I11</f>
        <v>3077</v>
      </c>
      <c r="E11" s="13">
        <f>+'Info Planta'!L11</f>
        <v>4239</v>
      </c>
      <c r="F11" s="13">
        <f t="shared" si="0"/>
        <v>1162</v>
      </c>
      <c r="G11" s="3">
        <f t="shared" si="1"/>
        <v>-1</v>
      </c>
      <c r="H11" s="4" t="str">
        <f t="shared" si="2"/>
        <v>aumenta</v>
      </c>
      <c r="I11" s="13"/>
    </row>
    <row r="12" spans="3:10">
      <c r="C12" s="31" t="s">
        <v>166</v>
      </c>
      <c r="E12" s="13">
        <f>+'Info Planta'!$L$16</f>
        <v>8414</v>
      </c>
      <c r="F12" s="13">
        <f>+E12-D12</f>
        <v>8414</v>
      </c>
      <c r="G12" s="3">
        <f>+IF(F12=0,0,IF(F12&lt;0,1,-1))</f>
        <v>-1</v>
      </c>
      <c r="H12" s="4" t="str">
        <f>+IF(G12=1,"consume",IF(G12=0,"mantiene","aumenta"))</f>
        <v>aumenta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AG84"/>
  <sheetViews>
    <sheetView zoomScale="50" zoomScaleNormal="50" workbookViewId="0">
      <selection activeCell="H27" sqref="H27"/>
    </sheetView>
  </sheetViews>
  <sheetFormatPr baseColWidth="10" defaultColWidth="11.5" defaultRowHeight="15"/>
  <cols>
    <col min="4" max="4" width="8.6640625" customWidth="1"/>
    <col min="5" max="5" width="4.5" customWidth="1"/>
    <col min="6" max="6" width="36.5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13" max="13" width="16.5" bestFit="1" customWidth="1"/>
    <col min="14" max="14" width="12" bestFit="1" customWidth="1"/>
    <col min="21" max="21" width="15" customWidth="1"/>
  </cols>
  <sheetData>
    <row r="3" spans="1:33">
      <c r="F3" s="174"/>
      <c r="G3" s="174"/>
      <c r="H3" s="174"/>
      <c r="I3" s="174"/>
      <c r="J3" s="174"/>
      <c r="K3" s="174"/>
      <c r="L3" s="174"/>
    </row>
    <row r="4" spans="1:33">
      <c r="F4" s="174"/>
      <c r="G4" s="174"/>
      <c r="H4" s="174"/>
      <c r="I4" s="174"/>
      <c r="J4" s="174"/>
      <c r="K4" s="174"/>
      <c r="L4" s="174"/>
    </row>
    <row r="5" spans="1:33">
      <c r="F5" s="174"/>
      <c r="G5" s="174"/>
      <c r="H5" s="174"/>
      <c r="I5" s="174"/>
      <c r="J5" s="174"/>
      <c r="K5" s="174"/>
      <c r="L5" s="174"/>
    </row>
    <row r="6" spans="1:33">
      <c r="F6" s="174"/>
      <c r="G6" s="174"/>
      <c r="H6" s="174"/>
      <c r="I6" s="174"/>
      <c r="J6" s="174"/>
      <c r="K6" s="174"/>
      <c r="L6" s="174"/>
    </row>
    <row r="7" spans="1:33">
      <c r="F7" s="174"/>
      <c r="G7" s="174"/>
      <c r="H7" s="174"/>
      <c r="I7" s="174"/>
      <c r="J7" s="174"/>
      <c r="K7" s="174"/>
      <c r="L7" s="174"/>
    </row>
    <row r="8" spans="1:33">
      <c r="F8" s="174"/>
      <c r="G8" s="174"/>
      <c r="H8" s="174"/>
      <c r="I8" s="174"/>
      <c r="J8" s="174"/>
      <c r="K8" s="174"/>
      <c r="L8" s="174"/>
    </row>
    <row r="9" spans="1:33">
      <c r="F9" s="174"/>
      <c r="G9" s="174"/>
      <c r="H9" s="174"/>
      <c r="I9" s="174"/>
      <c r="J9" s="174"/>
      <c r="K9" s="174"/>
      <c r="L9" s="174"/>
      <c r="AF9" s="13"/>
      <c r="AG9" s="13"/>
    </row>
    <row r="10" spans="1:33">
      <c r="F10" s="174"/>
      <c r="G10" s="174"/>
      <c r="H10" s="174"/>
      <c r="I10" s="174"/>
      <c r="J10" s="174"/>
      <c r="K10" s="174"/>
      <c r="L10" s="174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174"/>
      <c r="G11" s="174"/>
      <c r="H11" s="174"/>
      <c r="I11" s="174"/>
      <c r="J11" s="174"/>
      <c r="K11" s="174"/>
      <c r="L11" s="174"/>
      <c r="AF11" s="13"/>
      <c r="AG11" s="13"/>
    </row>
    <row r="12" spans="1:33">
      <c r="F12" s="174"/>
      <c r="G12" s="174"/>
      <c r="H12" s="174"/>
      <c r="I12" s="174"/>
      <c r="J12" s="174"/>
      <c r="K12" s="174"/>
      <c r="L12" s="174"/>
      <c r="AF12" s="13"/>
      <c r="AG12" s="13"/>
    </row>
    <row r="13" spans="1:33">
      <c r="A13" s="13">
        <f>+G29</f>
        <v>22667.152000000002</v>
      </c>
      <c r="B13" s="42">
        <f>+H29</f>
        <v>0.60588953488372099</v>
      </c>
      <c r="F13" s="174"/>
      <c r="G13" s="174"/>
      <c r="H13" s="174"/>
      <c r="I13" s="174"/>
      <c r="J13" s="174"/>
      <c r="K13" s="174"/>
      <c r="L13" s="174"/>
      <c r="AF13" s="13"/>
      <c r="AG13" s="13"/>
    </row>
    <row r="14" spans="1:33">
      <c r="A14" s="13">
        <f>+G33</f>
        <v>18314.103999999999</v>
      </c>
      <c r="B14" s="42">
        <f>+H33</f>
        <v>0.602155555555556</v>
      </c>
      <c r="F14" s="174"/>
      <c r="G14" s="174"/>
      <c r="H14" s="174"/>
      <c r="I14" s="174"/>
      <c r="J14" s="174"/>
      <c r="K14" s="174"/>
      <c r="L14" s="174"/>
      <c r="AF14" s="13"/>
      <c r="AG14" s="13"/>
    </row>
    <row r="15" spans="1:33">
      <c r="A15" s="13"/>
      <c r="B15" s="42"/>
      <c r="F15" s="174"/>
      <c r="G15" s="174"/>
      <c r="H15" s="174"/>
      <c r="I15" s="174"/>
      <c r="J15" s="174"/>
      <c r="K15" s="174"/>
      <c r="L15" s="174"/>
      <c r="AF15" s="13"/>
      <c r="AG15" s="13"/>
    </row>
    <row r="16" spans="1:33">
      <c r="A16" t="s">
        <v>105</v>
      </c>
      <c r="F16" s="174"/>
      <c r="G16" s="174"/>
      <c r="H16" s="174"/>
      <c r="I16" s="174"/>
      <c r="J16" s="174"/>
      <c r="K16" s="174"/>
      <c r="L16" s="174"/>
      <c r="AF16" s="13"/>
      <c r="AG16" s="13"/>
    </row>
    <row r="17" spans="1:33">
      <c r="A17" s="13">
        <f>+SUM(A13:A15)</f>
        <v>40981.256000000001</v>
      </c>
      <c r="B17" s="42">
        <v>0.5</v>
      </c>
      <c r="F17" s="174"/>
      <c r="G17" s="174"/>
      <c r="H17" s="174"/>
      <c r="I17" s="174"/>
      <c r="J17" s="174"/>
      <c r="K17" s="174"/>
      <c r="L17" s="174"/>
      <c r="AF17" s="13"/>
      <c r="AG17" s="13"/>
    </row>
    <row r="18" spans="1:33">
      <c r="F18" s="174"/>
      <c r="G18" s="174"/>
      <c r="H18" s="174"/>
      <c r="I18" s="174"/>
      <c r="J18" s="174"/>
      <c r="K18" s="174"/>
      <c r="L18" s="174"/>
      <c r="AF18" s="13"/>
      <c r="AG18" s="13"/>
    </row>
    <row r="19" spans="1:33">
      <c r="AF19" s="13"/>
      <c r="AG19" s="13"/>
    </row>
    <row r="20" spans="1:33"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AF20" s="13"/>
      <c r="AG20" s="13"/>
    </row>
    <row r="21" spans="1:33">
      <c r="B21" s="44">
        <v>0.3</v>
      </c>
      <c r="C21" s="13">
        <f>+A17</f>
        <v>40981.256000000001</v>
      </c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AF21" s="13"/>
      <c r="AG21" s="13"/>
    </row>
    <row r="22" spans="1:33">
      <c r="B22" s="44"/>
      <c r="C22" s="13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AF22" s="13"/>
      <c r="AG22" s="13"/>
    </row>
    <row r="23" spans="1:33">
      <c r="B23" s="44"/>
      <c r="C23" s="13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AF23" s="13"/>
      <c r="AG23" s="13"/>
    </row>
    <row r="24" spans="1:33" ht="19">
      <c r="G24" s="244" t="s">
        <v>108</v>
      </c>
      <c r="H24" s="245"/>
      <c r="J24" s="243" t="s">
        <v>109</v>
      </c>
      <c r="K24" s="243"/>
      <c r="L24" s="243"/>
      <c r="M24" s="178"/>
      <c r="N24" s="246"/>
      <c r="O24" s="246"/>
      <c r="P24" s="178"/>
      <c r="Q24" s="178"/>
      <c r="R24" s="179"/>
      <c r="S24" s="178"/>
      <c r="T24" s="178"/>
      <c r="U24" s="178"/>
      <c r="V24" s="178"/>
      <c r="W24" s="178"/>
      <c r="X24" s="178"/>
      <c r="Y24" s="178"/>
      <c r="AF24" s="13"/>
      <c r="AG24" s="13"/>
    </row>
    <row r="25" spans="1:33">
      <c r="G25" s="5" t="s">
        <v>111</v>
      </c>
      <c r="H25" s="5" t="s">
        <v>13</v>
      </c>
      <c r="J25" s="9" t="s">
        <v>111</v>
      </c>
      <c r="K25" s="9" t="s">
        <v>13</v>
      </c>
      <c r="L25" s="9" t="s">
        <v>112</v>
      </c>
      <c r="M25" s="178"/>
      <c r="N25" s="180"/>
      <c r="O25" s="180"/>
      <c r="P25" s="181"/>
      <c r="Q25" s="182"/>
      <c r="R25" s="183"/>
      <c r="S25" s="182"/>
      <c r="T25" s="178"/>
      <c r="U25" s="178"/>
      <c r="V25" s="178"/>
      <c r="W25" s="178"/>
      <c r="X25" s="178"/>
      <c r="Y25" s="178"/>
      <c r="AF25" s="13"/>
      <c r="AG25" s="13"/>
    </row>
    <row r="26" spans="1:33">
      <c r="E26">
        <f t="shared" ref="E26:E42" si="0">+E3</f>
        <v>0</v>
      </c>
      <c r="F26" t="s">
        <v>95</v>
      </c>
      <c r="G26" s="6">
        <f>Utilidad!A1</f>
        <v>0</v>
      </c>
      <c r="H26" s="7">
        <f>IF(Utilidad!C18&gt;1,Utilidad!C1&gt;100,Utilidad!C1)</f>
        <v>0</v>
      </c>
      <c r="I26" s="44"/>
      <c r="J26" s="6">
        <f>Utilidad!B1</f>
        <v>0</v>
      </c>
      <c r="K26" s="7">
        <f>IF(Utilidad!D18&gt;1,Utilidad!D1&gt;100,Utilidad!D1)</f>
        <v>0</v>
      </c>
      <c r="L26" s="11">
        <f>+J26*K26</f>
        <v>0</v>
      </c>
      <c r="M26" s="178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Y26" s="178"/>
      <c r="AF26" s="13"/>
      <c r="AG26" s="13"/>
    </row>
    <row r="27" spans="1:33">
      <c r="E27">
        <f t="shared" si="0"/>
        <v>0</v>
      </c>
      <c r="F27" t="s">
        <v>96</v>
      </c>
      <c r="G27" s="6">
        <f>Utilidad!A2</f>
        <v>68993</v>
      </c>
      <c r="H27" s="7">
        <f>IF(Utilidad!C19&gt;1,Utilidad!C2&gt;100,Utilidad!C2)</f>
        <v>0.53526569941878199</v>
      </c>
      <c r="I27" s="44"/>
      <c r="J27" s="6">
        <f>Utilidad!B2</f>
        <v>68993</v>
      </c>
      <c r="K27" s="7">
        <f>IF(Utilidad!D19&gt;1,Utilidad!D2&gt;100,Utilidad!D2)</f>
        <v>0.53526569941878199</v>
      </c>
      <c r="L27" s="11">
        <f t="shared" ref="L27:L42" si="1">+J27*K27</f>
        <v>36929.586400000029</v>
      </c>
      <c r="M27" s="178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  <c r="Y27" s="178"/>
    </row>
    <row r="28" spans="1:33">
      <c r="E28">
        <f t="shared" si="0"/>
        <v>0</v>
      </c>
      <c r="F28" t="s">
        <v>97</v>
      </c>
      <c r="G28" s="6">
        <f>Utilidad!A3</f>
        <v>10719.6</v>
      </c>
      <c r="H28" s="7">
        <f>IF(Utilidad!C20&gt;1,Utilidad!C3&gt;100,Utilidad!C3)</f>
        <v>0.55290710660845599</v>
      </c>
      <c r="I28" s="44"/>
      <c r="J28" s="6">
        <f>Utilidad!B3</f>
        <v>10719.6</v>
      </c>
      <c r="K28" s="7">
        <f>IF(Utilidad!D20&gt;1,Utilidad!D3&gt;100,Utilidad!D3)</f>
        <v>0.55290710660845599</v>
      </c>
      <c r="L28" s="11">
        <f t="shared" si="1"/>
        <v>5926.9430200000052</v>
      </c>
      <c r="M28" s="178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  <c r="Y28" s="178"/>
    </row>
    <row r="29" spans="1:33">
      <c r="E29">
        <f t="shared" si="0"/>
        <v>0</v>
      </c>
      <c r="F29" t="s">
        <v>98</v>
      </c>
      <c r="G29" s="6">
        <f>Utilidad!A4</f>
        <v>22667.152000000002</v>
      </c>
      <c r="H29" s="7">
        <f>IF(Utilidad!C21&gt;1,Utilidad!C4&gt;100,Utilidad!C4)</f>
        <v>0.60588953488372099</v>
      </c>
      <c r="J29" s="6">
        <f>Utilidad!B4</f>
        <v>22667.152000000002</v>
      </c>
      <c r="K29" s="7">
        <f>IF(Utilidad!D21&gt;1,Utilidad!D4&gt;100,Utilidad!D4)</f>
        <v>0.60588953488372099</v>
      </c>
      <c r="L29" s="11">
        <f t="shared" si="1"/>
        <v>13733.790182418606</v>
      </c>
      <c r="M29" s="178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87"/>
      <c r="Y29" s="187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0"/>
        <v>0</v>
      </c>
      <c r="F30" s="47" t="s">
        <v>99</v>
      </c>
      <c r="G30" s="6">
        <f>Utilidad!A5</f>
        <v>2867</v>
      </c>
      <c r="H30" s="7">
        <f>IF(Utilidad!C22&gt;1,Utilidad!C5&gt;100,Utilidad!C5)</f>
        <v>0.60588953488372099</v>
      </c>
      <c r="I30" s="190"/>
      <c r="J30" s="6">
        <f>Utilidad!B5</f>
        <v>2867</v>
      </c>
      <c r="K30" s="7">
        <f>IF(Utilidad!D22&gt;1,Utilidad!D5&gt;100,Utilidad!D5)</f>
        <v>0.60588953488372099</v>
      </c>
      <c r="L30" s="11">
        <f t="shared" si="1"/>
        <v>1737.085296511628</v>
      </c>
      <c r="M30" s="178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87"/>
      <c r="Y30" s="187"/>
    </row>
    <row r="31" spans="1:33">
      <c r="E31">
        <f t="shared" si="0"/>
        <v>0</v>
      </c>
      <c r="F31" t="s">
        <v>63</v>
      </c>
      <c r="G31" s="6">
        <f>Utilidad!A6</f>
        <v>0</v>
      </c>
      <c r="H31" s="7">
        <f>IF(Utilidad!C23&gt;1,Utilidad!C6&gt;100,Utilidad!C6)</f>
        <v>0</v>
      </c>
      <c r="J31" s="6">
        <f>Utilidad!B6</f>
        <v>0</v>
      </c>
      <c r="K31" s="7">
        <f>IF(Utilidad!D23&gt;1,Utilidad!D6&gt;100,Utilidad!D6)</f>
        <v>0</v>
      </c>
      <c r="L31" s="11">
        <f t="shared" si="1"/>
        <v>0</v>
      </c>
      <c r="M31" s="178"/>
      <c r="N31" s="184"/>
      <c r="O31" s="185"/>
      <c r="P31" s="184"/>
      <c r="Q31" s="182"/>
      <c r="R31" s="186"/>
      <c r="S31" s="182"/>
      <c r="T31" s="178"/>
      <c r="U31" s="178"/>
      <c r="V31" s="178"/>
      <c r="W31" s="178"/>
      <c r="X31" s="187"/>
      <c r="Y31" s="187"/>
    </row>
    <row r="32" spans="1:33">
      <c r="E32">
        <f t="shared" si="0"/>
        <v>0</v>
      </c>
      <c r="F32" t="s">
        <v>65</v>
      </c>
      <c r="G32" s="6">
        <f>Utilidad!A7</f>
        <v>20879.289999999997</v>
      </c>
      <c r="H32" s="7">
        <f>IF(Utilidad!C24&gt;1,Utilidad!C7&gt;100,Utilidad!C7)</f>
        <v>0.58489999999999998</v>
      </c>
      <c r="J32" s="6">
        <f>Utilidad!B7</f>
        <v>20879.289999999997</v>
      </c>
      <c r="K32" s="7">
        <f>IF(Utilidad!D24&gt;1,Utilidad!D7&gt;100,Utilidad!D7)</f>
        <v>0.58489999999999998</v>
      </c>
      <c r="L32" s="11">
        <f t="shared" si="1"/>
        <v>12212.296720999997</v>
      </c>
      <c r="M32" s="178"/>
      <c r="N32" s="184"/>
      <c r="O32" s="185"/>
      <c r="P32" s="184"/>
      <c r="Q32" s="182"/>
      <c r="R32" s="186"/>
      <c r="S32" s="182"/>
      <c r="T32" s="178"/>
      <c r="U32" s="178"/>
      <c r="V32" s="178"/>
      <c r="W32" s="178"/>
      <c r="X32" s="187"/>
      <c r="Y32" s="187"/>
    </row>
    <row r="33" spans="1:25">
      <c r="E33">
        <f t="shared" si="0"/>
        <v>0</v>
      </c>
      <c r="F33" t="s">
        <v>100</v>
      </c>
      <c r="G33" s="6">
        <f>Utilidad!A8</f>
        <v>18314.103999999999</v>
      </c>
      <c r="H33" s="7">
        <f>IF(Utilidad!C25&gt;1,Utilidad!C8&gt;100,Utilidad!C8)</f>
        <v>0.602155555555556</v>
      </c>
      <c r="J33" s="6">
        <f>Utilidad!B8</f>
        <v>18314.103999999999</v>
      </c>
      <c r="K33" s="7">
        <f>IF(Utilidad!D25&gt;1,Utilidad!D8&gt;100,Utilidad!D8)</f>
        <v>0.602155555555556</v>
      </c>
      <c r="L33" s="11">
        <f t="shared" si="1"/>
        <v>11027.939468622229</v>
      </c>
      <c r="M33" s="178"/>
      <c r="N33" s="184"/>
      <c r="O33" s="185"/>
      <c r="P33" s="184"/>
      <c r="Q33" s="182"/>
      <c r="R33" s="186"/>
      <c r="S33" s="182"/>
      <c r="T33" s="178"/>
      <c r="U33" s="178"/>
      <c r="V33" s="178"/>
      <c r="W33" s="178"/>
      <c r="X33" s="178"/>
      <c r="Y33" s="178"/>
    </row>
    <row r="34" spans="1:25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0"/>
        <v>0</v>
      </c>
      <c r="F34" s="47" t="s">
        <v>102</v>
      </c>
      <c r="G34" s="6">
        <f>Utilidad!A9</f>
        <v>212</v>
      </c>
      <c r="H34" s="7">
        <f>IF(Utilidad!C26&gt;1,Utilidad!C9&gt;100,Utilidad!C9)</f>
        <v>0.60060000000000002</v>
      </c>
      <c r="I34" s="190"/>
      <c r="J34" s="6">
        <f>Utilidad!B9</f>
        <v>212</v>
      </c>
      <c r="K34" s="7">
        <f>IF(Utilidad!D26&gt;1,Utilidad!D9&gt;100,Utilidad!D9)</f>
        <v>0.60060000000000002</v>
      </c>
      <c r="L34" s="11">
        <f t="shared" si="1"/>
        <v>127.3272</v>
      </c>
      <c r="M34" s="178"/>
      <c r="N34" s="184"/>
      <c r="O34" s="185"/>
      <c r="P34" s="184"/>
      <c r="Q34" s="182"/>
      <c r="R34" s="186"/>
      <c r="S34" s="182"/>
      <c r="T34" s="178"/>
      <c r="U34" s="178"/>
      <c r="V34" s="178"/>
      <c r="W34" s="178"/>
      <c r="X34" s="178"/>
      <c r="Y34" s="178"/>
    </row>
    <row r="35" spans="1:25">
      <c r="E35">
        <f t="shared" si="0"/>
        <v>0</v>
      </c>
      <c r="F35" t="s">
        <v>66</v>
      </c>
      <c r="G35" s="6">
        <f>Utilidad!A10</f>
        <v>0</v>
      </c>
      <c r="H35" s="7">
        <f>IF(Utilidad!C27&gt;1,Utilidad!C10&gt;100,Utilidad!C10)</f>
        <v>0</v>
      </c>
      <c r="J35" s="6">
        <f>Utilidad!B10</f>
        <v>0</v>
      </c>
      <c r="K35" s="7">
        <f>IF(Utilidad!D27&gt;1,Utilidad!D10&gt;100,Utilidad!D10)</f>
        <v>0</v>
      </c>
      <c r="L35" s="11">
        <f t="shared" si="1"/>
        <v>0</v>
      </c>
      <c r="M35" s="178"/>
      <c r="N35" s="184"/>
      <c r="O35" s="185"/>
      <c r="P35" s="184"/>
      <c r="Q35" s="182"/>
      <c r="R35" s="186"/>
      <c r="S35" s="182"/>
      <c r="T35" s="178"/>
      <c r="U35" s="178"/>
      <c r="V35" s="178"/>
      <c r="W35" s="178"/>
      <c r="X35" s="178"/>
      <c r="Y35" s="178"/>
    </row>
    <row r="36" spans="1:25">
      <c r="E36">
        <f t="shared" si="0"/>
        <v>0</v>
      </c>
      <c r="F36" t="s">
        <v>67</v>
      </c>
      <c r="G36" s="6">
        <f>Utilidad!A11</f>
        <v>16230.67</v>
      </c>
      <c r="H36" s="7">
        <f>IF(Utilidad!C28&gt;1,Utilidad!C11&gt;100,Utilidad!C11)</f>
        <v>0.60060000000000002</v>
      </c>
      <c r="J36" s="6">
        <f>Utilidad!B11</f>
        <v>16230.67</v>
      </c>
      <c r="K36" s="7">
        <f>IF(Utilidad!D28&gt;1,Utilidad!D11&gt;100,Utilidad!D11)</f>
        <v>0.60060000000000002</v>
      </c>
      <c r="L36" s="11">
        <f t="shared" si="1"/>
        <v>9748.1404020000009</v>
      </c>
      <c r="M36" s="178"/>
      <c r="N36" s="184"/>
      <c r="O36" s="185"/>
      <c r="P36" s="184"/>
      <c r="Q36" s="182"/>
      <c r="R36" s="186"/>
      <c r="S36" s="182"/>
      <c r="T36" s="178"/>
      <c r="U36" s="178"/>
      <c r="V36" s="178"/>
      <c r="W36" s="178"/>
      <c r="X36" s="178"/>
      <c r="Y36" s="178"/>
    </row>
    <row r="37" spans="1:25">
      <c r="E37">
        <f t="shared" si="0"/>
        <v>0</v>
      </c>
      <c r="F37" t="s">
        <v>103</v>
      </c>
      <c r="G37" s="6">
        <f>Utilidad!A12</f>
        <v>13136</v>
      </c>
      <c r="H37" s="7">
        <f>IF(Utilidad!B29&gt;1,Utilidad!C12&gt;100,Utilidad!C12)</f>
        <v>0.35781395348837203</v>
      </c>
      <c r="J37" s="6">
        <f>Utilidad!B12</f>
        <v>13136</v>
      </c>
      <c r="K37" s="7">
        <f>IF(Utilidad!D29&gt;1,Utilidad!D12&gt;100,Utilidad!D12)</f>
        <v>0.35781395348837203</v>
      </c>
      <c r="L37" s="11">
        <f t="shared" si="1"/>
        <v>4700.2440930232551</v>
      </c>
      <c r="M37" s="178"/>
      <c r="N37" s="184"/>
      <c r="O37" s="185"/>
      <c r="P37" s="184"/>
      <c r="Q37" s="182"/>
      <c r="R37" s="186"/>
      <c r="S37" s="182"/>
      <c r="T37" s="178"/>
      <c r="U37" s="178"/>
      <c r="V37" s="178"/>
      <c r="W37" s="178"/>
      <c r="X37" s="178"/>
      <c r="Y37" s="178"/>
    </row>
    <row r="38" spans="1:25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0"/>
        <v>0</v>
      </c>
      <c r="F38" s="47" t="s">
        <v>104</v>
      </c>
      <c r="G38" s="6">
        <f>Utilidad!A13</f>
        <v>478</v>
      </c>
      <c r="H38" s="7">
        <f>IF(Utilidad!B30&gt;1,Utilidad!C13&gt;100,Utilidad!C13)</f>
        <v>0.35781395348837203</v>
      </c>
      <c r="I38" s="190"/>
      <c r="J38" s="6">
        <f>Utilidad!B13</f>
        <v>478</v>
      </c>
      <c r="K38" s="7">
        <f>IF(Utilidad!D30&gt;1,Utilidad!D13&gt;100,Utilidad!D13)</f>
        <v>0.35781395348837203</v>
      </c>
      <c r="L38" s="11">
        <f t="shared" si="1"/>
        <v>171.03506976744183</v>
      </c>
      <c r="M38" s="178"/>
      <c r="N38" s="184"/>
      <c r="O38" s="185"/>
      <c r="P38" s="184"/>
      <c r="Q38" s="182"/>
      <c r="R38" s="186"/>
      <c r="S38" s="182"/>
      <c r="T38" s="178"/>
      <c r="U38" s="178"/>
      <c r="V38" s="178"/>
      <c r="W38" s="178"/>
      <c r="X38" s="178"/>
      <c r="Y38" s="178"/>
    </row>
    <row r="39" spans="1:25">
      <c r="E39">
        <f t="shared" si="0"/>
        <v>0</v>
      </c>
      <c r="F39" t="s">
        <v>68</v>
      </c>
      <c r="G39" s="6">
        <f>Utilidad!A14</f>
        <v>4696</v>
      </c>
      <c r="H39" s="7">
        <f>IF(Utilidad!B31&gt;1,Utilidad!C14&gt;100,Utilidad!C14)</f>
        <v>0.35781395348837203</v>
      </c>
      <c r="J39" s="6">
        <f>Utilidad!B14</f>
        <v>4696</v>
      </c>
      <c r="K39" s="7">
        <f>IF(Utilidad!D31&gt;1,Utilidad!D14&gt;100,Utilidad!D14)</f>
        <v>0.35781395348837203</v>
      </c>
      <c r="L39" s="11">
        <f t="shared" si="1"/>
        <v>1680.294325581395</v>
      </c>
      <c r="M39" s="178"/>
      <c r="N39" s="184"/>
      <c r="O39" s="185"/>
      <c r="P39" s="184"/>
      <c r="Q39" s="182"/>
      <c r="R39" s="186"/>
      <c r="S39" s="182"/>
      <c r="T39" s="178"/>
      <c r="U39" s="178"/>
      <c r="V39" s="178"/>
      <c r="W39" s="178"/>
      <c r="X39" s="178"/>
      <c r="Y39" s="178"/>
    </row>
    <row r="40" spans="1:25">
      <c r="E40">
        <f t="shared" si="0"/>
        <v>0</v>
      </c>
      <c r="F40" t="s">
        <v>106</v>
      </c>
      <c r="G40" s="6">
        <f>Utilidad!A15</f>
        <v>25816</v>
      </c>
      <c r="H40" s="7">
        <f>IF(Utilidad!B32&gt;1,Utilidad!C15&gt;100,Utilidad!C15)</f>
        <v>0.41160000000000002</v>
      </c>
      <c r="J40" s="6">
        <f>Utilidad!B15</f>
        <v>25816</v>
      </c>
      <c r="K40" s="7">
        <f>IF(Utilidad!D32&gt;1,Utilidad!D15&gt;100,Utilidad!D15)</f>
        <v>0.41160000000000002</v>
      </c>
      <c r="L40" s="11">
        <f t="shared" si="1"/>
        <v>10625.865600000001</v>
      </c>
      <c r="M40" s="187"/>
      <c r="N40" s="184"/>
      <c r="O40" s="185"/>
      <c r="P40" s="184"/>
      <c r="Q40" s="182"/>
      <c r="R40" s="186"/>
      <c r="S40" s="182"/>
      <c r="T40" s="178"/>
      <c r="U40" s="178"/>
      <c r="V40" s="178"/>
      <c r="W40" s="178"/>
      <c r="X40" s="178"/>
      <c r="Y40" s="178"/>
    </row>
    <row r="41" spans="1:25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0"/>
        <v>0</v>
      </c>
      <c r="F41" s="47" t="s">
        <v>107</v>
      </c>
      <c r="G41" s="6">
        <f>Utilidad!A16</f>
        <v>528</v>
      </c>
      <c r="H41" s="7">
        <f>IF(Utilidad!B33&gt;1,Utilidad!C16&gt;100,Utilidad!C16)</f>
        <v>0.41160000000000002</v>
      </c>
      <c r="I41" s="190"/>
      <c r="J41" s="6">
        <f>Utilidad!B16</f>
        <v>528</v>
      </c>
      <c r="K41" s="7">
        <f>IF(Utilidad!D33&gt;1,Utilidad!D16&gt;100,Utilidad!D16)</f>
        <v>0.41160000000000002</v>
      </c>
      <c r="L41" s="11">
        <f t="shared" si="1"/>
        <v>217.32480000000001</v>
      </c>
      <c r="M41" s="178"/>
      <c r="N41" s="184"/>
      <c r="O41" s="185"/>
      <c r="P41" s="184"/>
      <c r="Q41" s="182"/>
      <c r="R41" s="186"/>
      <c r="S41" s="182"/>
      <c r="T41" s="178"/>
      <c r="U41" s="178"/>
      <c r="V41" s="178"/>
      <c r="W41" s="178"/>
      <c r="X41" s="178"/>
      <c r="Y41" s="178"/>
    </row>
    <row r="42" spans="1:25">
      <c r="E42">
        <f t="shared" si="0"/>
        <v>0</v>
      </c>
      <c r="F42" t="s">
        <v>69</v>
      </c>
      <c r="G42" s="6">
        <f>Utilidad!A17</f>
        <v>26876.47</v>
      </c>
      <c r="H42" s="7">
        <f>IF(Utilidad!B34&gt;1,Utilidad!C17&gt;100,Utilidad!C17)</f>
        <v>0.41160000000000002</v>
      </c>
      <c r="J42" s="6">
        <f>Utilidad!B17</f>
        <v>26876.47</v>
      </c>
      <c r="K42" s="7">
        <f>IF(Utilidad!D34&gt;1,Utilidad!D17&gt;100,Utilidad!D17)</f>
        <v>0.41160000000000002</v>
      </c>
      <c r="L42" s="11">
        <f t="shared" si="1"/>
        <v>11062.355052000001</v>
      </c>
      <c r="M42" s="178"/>
      <c r="N42" s="184"/>
      <c r="O42" s="185"/>
      <c r="P42" s="184"/>
      <c r="Q42" s="182"/>
      <c r="R42" s="186"/>
      <c r="S42" s="182"/>
      <c r="T42" s="178"/>
      <c r="U42" s="178"/>
      <c r="V42" s="178"/>
      <c r="W42" s="178"/>
      <c r="X42" s="178"/>
      <c r="Y42" s="178"/>
    </row>
    <row r="43" spans="1:25"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</row>
    <row r="44" spans="1:25">
      <c r="C44" s="191"/>
      <c r="D44" s="191"/>
      <c r="E44" s="191"/>
      <c r="F44" s="192"/>
      <c r="G44" s="242"/>
      <c r="H44" s="242"/>
      <c r="I44" s="191"/>
      <c r="J44" s="242"/>
      <c r="K44" s="242"/>
      <c r="L44" s="191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</row>
    <row r="45" spans="1:25">
      <c r="C45" s="191"/>
      <c r="D45" s="191"/>
      <c r="E45" s="191"/>
      <c r="F45" s="192"/>
      <c r="G45" s="193"/>
      <c r="H45" s="193"/>
      <c r="I45" s="191"/>
      <c r="J45" s="193"/>
      <c r="K45" s="193"/>
      <c r="L45" s="191"/>
      <c r="M45" s="180"/>
      <c r="N45" s="188"/>
      <c r="O45" s="188"/>
      <c r="P45" s="188"/>
      <c r="Q45" s="178"/>
      <c r="R45" s="178"/>
      <c r="S45" s="178"/>
      <c r="T45" s="178"/>
      <c r="U45" s="178"/>
      <c r="V45" s="178"/>
      <c r="W45" s="178"/>
      <c r="X45" s="178"/>
      <c r="Y45" s="178"/>
    </row>
    <row r="46" spans="1:25">
      <c r="C46" s="191"/>
      <c r="D46" s="191"/>
      <c r="E46" s="191"/>
      <c r="F46" s="191"/>
      <c r="G46" s="191"/>
      <c r="H46" s="191"/>
      <c r="I46" s="191"/>
      <c r="J46" s="194"/>
      <c r="K46" s="195"/>
      <c r="L46" s="191"/>
      <c r="M46" s="188"/>
      <c r="N46" s="189"/>
      <c r="O46" s="186"/>
      <c r="P46" s="186"/>
      <c r="Q46" s="178"/>
      <c r="R46" s="178"/>
      <c r="S46" s="178"/>
      <c r="T46" s="178"/>
      <c r="U46" s="178"/>
      <c r="V46" s="178"/>
      <c r="W46" s="178"/>
      <c r="X46" s="178"/>
      <c r="Y46" s="178"/>
    </row>
    <row r="47" spans="1:25">
      <c r="C47" s="191"/>
      <c r="D47" s="191"/>
      <c r="E47" s="191"/>
      <c r="F47" s="191"/>
      <c r="G47" s="191"/>
      <c r="H47" s="191"/>
      <c r="I47" s="191"/>
      <c r="J47" s="194"/>
      <c r="K47" s="195"/>
      <c r="L47" s="191"/>
      <c r="M47" s="188"/>
      <c r="N47" s="189"/>
      <c r="O47" s="186"/>
      <c r="P47" s="186"/>
      <c r="Q47" s="178"/>
      <c r="R47" s="178"/>
      <c r="S47" s="178"/>
      <c r="T47" s="178"/>
      <c r="U47" s="178"/>
      <c r="V47" s="178"/>
      <c r="W47" s="178"/>
      <c r="X47" s="178"/>
      <c r="Y47" s="178"/>
    </row>
    <row r="48" spans="1:25">
      <c r="C48" s="191"/>
      <c r="D48" s="191"/>
      <c r="E48" s="191"/>
      <c r="F48" s="191"/>
      <c r="G48" s="191"/>
      <c r="H48" s="191"/>
      <c r="I48" s="191"/>
      <c r="J48" s="194"/>
      <c r="K48" s="195"/>
      <c r="L48" s="191"/>
      <c r="M48" s="178"/>
      <c r="N48" s="187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</row>
    <row r="49" spans="3:25">
      <c r="C49" s="191"/>
      <c r="D49" s="191"/>
      <c r="E49" s="191"/>
      <c r="F49" s="191"/>
      <c r="G49" s="191"/>
      <c r="H49" s="191"/>
      <c r="I49" s="191"/>
      <c r="J49" s="194"/>
      <c r="K49" s="195"/>
      <c r="L49" s="191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</row>
    <row r="50" spans="3:25">
      <c r="C50" s="191"/>
      <c r="D50" s="191"/>
      <c r="E50" s="191"/>
      <c r="F50" s="191"/>
      <c r="G50" s="191"/>
      <c r="H50" s="191"/>
      <c r="I50" s="191"/>
      <c r="J50" s="194"/>
      <c r="K50" s="195"/>
      <c r="L50" s="191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</row>
    <row r="51" spans="3:25">
      <c r="C51" s="191"/>
      <c r="D51" s="191"/>
      <c r="E51" s="191"/>
      <c r="F51" s="191"/>
      <c r="G51" s="191"/>
      <c r="H51" s="191"/>
      <c r="I51" s="191"/>
      <c r="J51" s="194"/>
      <c r="K51" s="195"/>
      <c r="L51" s="191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</row>
    <row r="52" spans="3:25">
      <c r="C52" s="191"/>
      <c r="D52" s="191"/>
      <c r="E52" s="191"/>
      <c r="F52" s="191"/>
      <c r="G52" s="191"/>
      <c r="H52" s="191"/>
      <c r="I52" s="191"/>
      <c r="J52" s="194"/>
      <c r="K52" s="195"/>
      <c r="L52" s="191"/>
      <c r="M52" s="191"/>
    </row>
    <row r="53" spans="3:25">
      <c r="C53" s="191"/>
      <c r="D53" s="191"/>
      <c r="E53" s="191"/>
      <c r="F53" s="191"/>
      <c r="G53" s="191"/>
      <c r="H53" s="191"/>
      <c r="I53" s="191"/>
      <c r="J53" s="194"/>
      <c r="K53" s="195"/>
      <c r="L53" s="191"/>
      <c r="M53" s="191"/>
    </row>
    <row r="54" spans="3:25">
      <c r="C54" s="191"/>
      <c r="D54" s="191"/>
      <c r="E54" s="191"/>
      <c r="F54" s="191"/>
      <c r="G54" s="191"/>
      <c r="H54" s="191"/>
      <c r="I54" s="191"/>
      <c r="J54" s="194"/>
      <c r="K54" s="195"/>
      <c r="L54" s="191"/>
      <c r="M54" s="191"/>
    </row>
    <row r="55" spans="3:25">
      <c r="C55" s="191"/>
      <c r="D55" s="191"/>
      <c r="E55" s="191"/>
      <c r="F55" s="191"/>
      <c r="G55" s="191"/>
      <c r="H55" s="191"/>
      <c r="I55" s="191"/>
      <c r="J55" s="194"/>
      <c r="K55" s="195"/>
      <c r="L55" s="191"/>
      <c r="M55" s="191"/>
    </row>
    <row r="56" spans="3:25">
      <c r="C56" s="191"/>
      <c r="D56" s="191"/>
      <c r="E56" s="191"/>
      <c r="F56" s="191"/>
      <c r="G56" s="191"/>
      <c r="H56" s="191"/>
      <c r="I56" s="191"/>
      <c r="J56" s="194"/>
      <c r="K56" s="195"/>
      <c r="L56" s="191"/>
      <c r="M56" s="191"/>
    </row>
    <row r="57" spans="3:25">
      <c r="C57" s="191"/>
      <c r="D57" s="191"/>
      <c r="E57" s="191"/>
      <c r="F57" s="191"/>
      <c r="G57" s="191"/>
      <c r="H57" s="191"/>
      <c r="I57" s="191"/>
      <c r="J57" s="194"/>
      <c r="K57" s="195"/>
      <c r="L57" s="191"/>
      <c r="M57" s="191"/>
    </row>
    <row r="58" spans="3:25">
      <c r="C58" s="191"/>
      <c r="D58" s="191"/>
      <c r="E58" s="191"/>
      <c r="F58" s="191"/>
      <c r="G58" s="191"/>
      <c r="H58" s="191"/>
      <c r="I58" s="191"/>
      <c r="J58" s="194"/>
      <c r="K58" s="195"/>
      <c r="L58" s="191"/>
      <c r="M58" s="191"/>
    </row>
    <row r="59" spans="3:25">
      <c r="C59" s="191"/>
      <c r="D59" s="191"/>
      <c r="E59" s="191"/>
      <c r="F59" s="191"/>
      <c r="G59" s="191"/>
      <c r="H59" s="191"/>
      <c r="I59" s="191"/>
      <c r="J59" s="194"/>
      <c r="K59" s="195"/>
      <c r="L59" s="191"/>
      <c r="M59" s="191"/>
    </row>
    <row r="60" spans="3:25">
      <c r="C60" s="191"/>
      <c r="D60" s="191"/>
      <c r="E60" s="191"/>
      <c r="F60" s="191"/>
      <c r="G60" s="191"/>
      <c r="H60" s="191"/>
      <c r="I60" s="191"/>
      <c r="J60" s="194"/>
      <c r="K60" s="195"/>
      <c r="L60" s="191"/>
      <c r="M60" s="191"/>
    </row>
    <row r="61" spans="3:25">
      <c r="C61" s="191"/>
      <c r="D61" s="191"/>
      <c r="E61" s="191"/>
      <c r="F61" s="191"/>
      <c r="G61" s="191"/>
      <c r="H61" s="191"/>
      <c r="I61" s="191"/>
      <c r="J61" s="194"/>
      <c r="K61" s="195"/>
      <c r="L61" s="191"/>
      <c r="M61" s="191"/>
    </row>
    <row r="62" spans="3:25">
      <c r="C62" s="191"/>
      <c r="D62" s="191"/>
      <c r="E62" s="191"/>
      <c r="F62" s="191"/>
      <c r="G62" s="191"/>
      <c r="H62" s="191"/>
      <c r="I62" s="191"/>
      <c r="J62" s="194"/>
      <c r="K62" s="195"/>
      <c r="L62" s="191"/>
      <c r="M62" s="191"/>
    </row>
    <row r="63" spans="3:25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</row>
    <row r="64" spans="3:25">
      <c r="C64" s="191"/>
      <c r="D64" s="191"/>
      <c r="E64" s="191"/>
      <c r="F64" s="192"/>
      <c r="G64" s="242"/>
      <c r="H64" s="242"/>
      <c r="I64" s="191"/>
      <c r="J64" s="191"/>
      <c r="K64" s="191"/>
      <c r="L64" s="191"/>
      <c r="M64" s="191"/>
    </row>
    <row r="65" spans="3:13">
      <c r="C65" s="191"/>
      <c r="D65" s="191"/>
      <c r="E65" s="191"/>
      <c r="F65" s="192"/>
      <c r="G65" s="193"/>
      <c r="H65" s="193"/>
      <c r="I65" s="191"/>
      <c r="J65" s="191"/>
      <c r="K65" s="191"/>
      <c r="L65" s="191"/>
      <c r="M65" s="191"/>
    </row>
    <row r="66" spans="3:13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</row>
    <row r="67" spans="3:13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</row>
    <row r="68" spans="3:13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</row>
    <row r="69" spans="3:13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</row>
    <row r="70" spans="3:13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</row>
    <row r="71" spans="3:13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</row>
    <row r="72" spans="3:13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</row>
    <row r="73" spans="3:13"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</row>
    <row r="74" spans="3:13"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</row>
    <row r="75" spans="3:13"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</row>
    <row r="76" spans="3:13"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3:13"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</row>
    <row r="78" spans="3:13"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</row>
    <row r="79" spans="3:13"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</row>
    <row r="80" spans="3:13"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</row>
    <row r="81" spans="3:13"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</row>
    <row r="82" spans="3:13"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</row>
    <row r="83" spans="3:13"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</row>
    <row r="84" spans="3:13"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</row>
  </sheetData>
  <mergeCells count="6">
    <mergeCell ref="G64:H64"/>
    <mergeCell ref="J24:L24"/>
    <mergeCell ref="G24:H24"/>
    <mergeCell ref="N24:O24"/>
    <mergeCell ref="G44:H44"/>
    <mergeCell ref="J44:K44"/>
  </mergeCells>
  <conditionalFormatting sqref="N26:O42">
    <cfRule type="expression" dxfId="3" priority="1">
      <formula>ABS(N26)&gt;=10%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AG84"/>
  <sheetViews>
    <sheetView zoomScale="80" zoomScaleNormal="80" workbookViewId="0">
      <selection activeCell="F19" sqref="F19"/>
    </sheetView>
  </sheetViews>
  <sheetFormatPr baseColWidth="10" defaultColWidth="11.5" defaultRowHeight="15"/>
  <cols>
    <col min="4" max="4" width="8.6640625" customWidth="1"/>
    <col min="5" max="5" width="4.5" customWidth="1"/>
    <col min="6" max="6" width="26.5" bestFit="1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5" customWidth="1"/>
  </cols>
  <sheetData>
    <row r="3" spans="1:33">
      <c r="F3" s="174"/>
      <c r="G3" s="174"/>
      <c r="H3" s="174"/>
      <c r="I3" s="174"/>
      <c r="J3" s="174"/>
      <c r="K3" s="174"/>
      <c r="L3" s="174"/>
      <c r="M3" s="174"/>
    </row>
    <row r="4" spans="1:33">
      <c r="F4" s="174"/>
      <c r="G4" s="174"/>
      <c r="H4" s="174"/>
      <c r="I4" s="174"/>
      <c r="J4" s="174"/>
      <c r="K4" s="174"/>
      <c r="L4" s="174"/>
      <c r="M4" s="174"/>
    </row>
    <row r="5" spans="1:33">
      <c r="F5" s="174"/>
      <c r="G5" s="174"/>
      <c r="H5" s="174"/>
      <c r="I5" s="174"/>
      <c r="J5" s="174"/>
      <c r="K5" s="174"/>
      <c r="L5" s="174"/>
      <c r="M5" s="174"/>
    </row>
    <row r="6" spans="1:33">
      <c r="F6" s="174"/>
      <c r="G6" s="174"/>
      <c r="H6" s="174"/>
      <c r="I6" s="174"/>
      <c r="J6" s="174"/>
      <c r="K6" s="174"/>
      <c r="L6" s="174"/>
      <c r="M6" s="174"/>
    </row>
    <row r="7" spans="1:33">
      <c r="F7" s="174"/>
      <c r="G7" s="174"/>
      <c r="H7" s="174"/>
      <c r="I7" s="174"/>
      <c r="J7" s="174"/>
      <c r="K7" s="174"/>
      <c r="L7" s="174"/>
      <c r="M7" s="174"/>
    </row>
    <row r="8" spans="1:33">
      <c r="F8" s="174"/>
      <c r="G8" s="174"/>
      <c r="H8" s="174"/>
      <c r="I8" s="174"/>
      <c r="J8" s="174"/>
      <c r="K8" s="174"/>
      <c r="L8" s="174"/>
      <c r="M8" s="174"/>
    </row>
    <row r="9" spans="1:33">
      <c r="F9" s="174"/>
      <c r="G9" s="174"/>
      <c r="H9" s="174"/>
      <c r="I9" s="174"/>
      <c r="J9" s="174"/>
      <c r="K9" s="174"/>
      <c r="L9" s="174"/>
      <c r="M9" s="174"/>
      <c r="AF9" s="13"/>
      <c r="AG9" s="13"/>
    </row>
    <row r="10" spans="1:33">
      <c r="F10" s="174"/>
      <c r="G10" s="174"/>
      <c r="H10" s="174"/>
      <c r="I10" s="174"/>
      <c r="J10" s="174"/>
      <c r="K10" s="174"/>
      <c r="L10" s="174"/>
      <c r="M10" s="174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174"/>
      <c r="G11" s="174"/>
      <c r="H11" s="174"/>
      <c r="I11" s="174"/>
      <c r="J11" s="174"/>
      <c r="K11" s="174"/>
      <c r="L11" s="174"/>
      <c r="M11" s="174"/>
      <c r="AF11" s="13"/>
      <c r="AG11" s="13"/>
    </row>
    <row r="12" spans="1:33">
      <c r="F12" s="174"/>
      <c r="G12" s="174"/>
      <c r="H12" s="174"/>
      <c r="I12" s="174"/>
      <c r="J12" s="174"/>
      <c r="K12" s="174"/>
      <c r="L12" s="174"/>
      <c r="M12" s="174"/>
      <c r="AF12" s="13"/>
      <c r="AG12" s="13"/>
    </row>
    <row r="13" spans="1:33">
      <c r="A13" s="13">
        <f>+G29</f>
        <v>22667.152000000002</v>
      </c>
      <c r="B13" s="42">
        <f>+H29</f>
        <v>0.59221159069767404</v>
      </c>
      <c r="F13" s="174"/>
      <c r="G13" s="174"/>
      <c r="H13" s="174"/>
      <c r="I13" s="174"/>
      <c r="J13" s="174"/>
      <c r="K13" s="174"/>
      <c r="L13" s="174"/>
      <c r="M13" s="174"/>
      <c r="AF13" s="13"/>
      <c r="AG13" s="13"/>
    </row>
    <row r="14" spans="1:33">
      <c r="A14" s="13">
        <f>+G33</f>
        <v>18314.103999999999</v>
      </c>
      <c r="B14" s="42">
        <f>+H33</f>
        <v>0.58622512000000004</v>
      </c>
      <c r="F14" s="174"/>
      <c r="G14" s="174"/>
      <c r="H14" s="174"/>
      <c r="I14" s="174"/>
      <c r="J14" s="174"/>
      <c r="K14" s="174"/>
      <c r="L14" s="174"/>
      <c r="M14" s="174"/>
      <c r="AF14" s="13"/>
      <c r="AG14" s="13"/>
    </row>
    <row r="15" spans="1:33">
      <c r="A15" s="13"/>
      <c r="B15" s="42"/>
      <c r="F15" s="174"/>
      <c r="G15" s="174"/>
      <c r="H15" s="174"/>
      <c r="I15" s="174"/>
      <c r="J15" s="174"/>
      <c r="K15" s="174"/>
      <c r="L15" s="174"/>
      <c r="M15" s="174"/>
      <c r="AF15" s="13"/>
      <c r="AG15" s="13"/>
    </row>
    <row r="16" spans="1:33">
      <c r="A16" t="s">
        <v>105</v>
      </c>
      <c r="F16" s="174"/>
      <c r="G16" s="174"/>
      <c r="H16" s="174"/>
      <c r="I16" s="174"/>
      <c r="J16" s="174"/>
      <c r="K16" s="174"/>
      <c r="L16" s="174"/>
      <c r="M16" s="174"/>
      <c r="AF16" s="13"/>
      <c r="AG16" s="13"/>
    </row>
    <row r="17" spans="1:33">
      <c r="A17" s="13">
        <f>+SUM(A13:A15)</f>
        <v>40981.256000000001</v>
      </c>
      <c r="B17" s="42">
        <v>0.5</v>
      </c>
      <c r="F17" s="174"/>
      <c r="G17" s="174"/>
      <c r="H17" s="174"/>
      <c r="I17" s="174"/>
      <c r="J17" s="174"/>
      <c r="K17" s="174"/>
      <c r="L17" s="174"/>
      <c r="M17" s="174"/>
      <c r="AF17" s="13"/>
      <c r="AG17" s="13"/>
    </row>
    <row r="18" spans="1:33">
      <c r="F18" s="174"/>
      <c r="G18" s="174"/>
      <c r="H18" s="174"/>
      <c r="I18" s="174"/>
      <c r="J18" s="174"/>
      <c r="K18" s="174"/>
      <c r="L18" s="174"/>
      <c r="M18" s="174"/>
      <c r="AF18" s="13"/>
      <c r="AG18" s="13"/>
    </row>
    <row r="19" spans="1:33">
      <c r="F19" s="174"/>
      <c r="G19" s="174"/>
      <c r="H19" s="174"/>
      <c r="I19" s="174"/>
      <c r="J19" s="174"/>
      <c r="K19" s="174"/>
      <c r="L19" s="174"/>
      <c r="M19" s="174"/>
      <c r="AF19" s="13"/>
      <c r="AG19" s="13"/>
    </row>
    <row r="20" spans="1:33">
      <c r="F20" s="174"/>
      <c r="G20" s="174"/>
      <c r="H20" s="174"/>
      <c r="I20" s="174"/>
      <c r="J20" s="174"/>
      <c r="K20" s="174"/>
      <c r="L20" s="174"/>
      <c r="M20" s="174"/>
      <c r="AF20" s="13"/>
      <c r="AG20" s="13"/>
    </row>
    <row r="21" spans="1:33">
      <c r="B21" s="44">
        <v>0.3</v>
      </c>
      <c r="C21" s="13">
        <f>+A17</f>
        <v>40981.256000000001</v>
      </c>
      <c r="AF21" s="13"/>
      <c r="AG21" s="13"/>
    </row>
    <row r="22" spans="1:33">
      <c r="B22" s="44"/>
      <c r="C22" s="13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AF22" s="13"/>
      <c r="AG22" s="13"/>
    </row>
    <row r="23" spans="1:33" ht="16" thickBot="1">
      <c r="B23" s="44"/>
      <c r="C23" s="13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AF23" s="13">
        <f t="shared" ref="AF23:AF25" si="0">+J40</f>
        <v>25816</v>
      </c>
      <c r="AG23" s="13">
        <f t="shared" ref="AG23:AG25" si="1">+L40</f>
        <v>9691.7026866550368</v>
      </c>
    </row>
    <row r="24" spans="1:33" ht="19">
      <c r="G24" s="244" t="s">
        <v>108</v>
      </c>
      <c r="H24" s="245"/>
      <c r="J24" s="247" t="s">
        <v>109</v>
      </c>
      <c r="K24" s="248"/>
      <c r="L24" s="249"/>
      <c r="N24" s="246"/>
      <c r="O24" s="246"/>
      <c r="P24" s="178"/>
      <c r="Q24" s="178"/>
      <c r="R24" s="179"/>
      <c r="S24" s="178"/>
      <c r="T24" s="178"/>
      <c r="U24" s="178"/>
      <c r="V24" s="178"/>
      <c r="W24" s="178"/>
      <c r="X24" s="178"/>
      <c r="AF24" s="13">
        <f t="shared" si="0"/>
        <v>528</v>
      </c>
      <c r="AG24" s="13">
        <f t="shared" si="1"/>
        <v>198.52799999999999</v>
      </c>
    </row>
    <row r="25" spans="1:33">
      <c r="G25" s="5" t="s">
        <v>111</v>
      </c>
      <c r="H25" s="5" t="s">
        <v>115</v>
      </c>
      <c r="J25" s="8" t="s">
        <v>111</v>
      </c>
      <c r="K25" s="9" t="s">
        <v>115</v>
      </c>
      <c r="L25" s="10" t="s">
        <v>116</v>
      </c>
      <c r="N25" s="180"/>
      <c r="O25" s="180"/>
      <c r="P25" s="181"/>
      <c r="Q25" s="182"/>
      <c r="R25" s="183"/>
      <c r="S25" s="182"/>
      <c r="T25" s="178"/>
      <c r="U25" s="178"/>
      <c r="V25" s="178"/>
      <c r="W25" s="178"/>
      <c r="X25" s="178"/>
      <c r="AF25" s="13">
        <f t="shared" si="0"/>
        <v>26876.47</v>
      </c>
      <c r="AG25" s="13">
        <f t="shared" si="1"/>
        <v>10105.55272</v>
      </c>
    </row>
    <row r="26" spans="1:33">
      <c r="E26">
        <f t="shared" ref="E26:E41" si="2">+E3</f>
        <v>0</v>
      </c>
      <c r="F26" t="s">
        <v>95</v>
      </c>
      <c r="G26" s="6">
        <f>+'Bal AL FeT'!J26</f>
        <v>0</v>
      </c>
      <c r="H26" s="7">
        <f>+'Info Planta'!F4</f>
        <v>0</v>
      </c>
      <c r="I26" s="44"/>
      <c r="J26" s="11">
        <f>'Bal AL FeT'!J26</f>
        <v>0</v>
      </c>
      <c r="K26" s="12">
        <f>IF(Utilidad!F18&gt;1,Utilidad!F1&gt;100,Utilidad!F1)</f>
        <v>0</v>
      </c>
      <c r="L26" s="11">
        <f>+J26*K26</f>
        <v>0</v>
      </c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AF26" s="13"/>
      <c r="AG26" s="13"/>
    </row>
    <row r="27" spans="1:33">
      <c r="E27">
        <f t="shared" si="2"/>
        <v>0</v>
      </c>
      <c r="F27" t="s">
        <v>96</v>
      </c>
      <c r="G27" s="6">
        <f>+'Bal AL FeT'!J27</f>
        <v>68993</v>
      </c>
      <c r="H27" s="7">
        <f>+'Info Planta'!F5</f>
        <v>0.48852658240691099</v>
      </c>
      <c r="I27" s="44"/>
      <c r="J27" s="11">
        <f>'Bal AL FeT'!J27</f>
        <v>68993</v>
      </c>
      <c r="K27" s="12">
        <f>IF(Utilidad!F19&gt;1,Utilidad!F2&gt;100,Utilidad!F2)</f>
        <v>0.48852658240691099</v>
      </c>
      <c r="L27" s="11">
        <f t="shared" ref="L27:L42" si="3">+J27*K27</f>
        <v>33704.914500000014</v>
      </c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</row>
    <row r="28" spans="1:33">
      <c r="E28">
        <f t="shared" si="2"/>
        <v>0</v>
      </c>
      <c r="F28" t="s">
        <v>97</v>
      </c>
      <c r="G28" s="6">
        <f>+'Bal AL FeT'!J28</f>
        <v>10719.6</v>
      </c>
      <c r="H28" s="7">
        <f>+'Info Planta'!F6</f>
        <v>0.50318076980484305</v>
      </c>
      <c r="I28" s="44"/>
      <c r="J28" s="11">
        <f>'Bal AL FeT'!J28</f>
        <v>10719.6</v>
      </c>
      <c r="K28" s="12">
        <f>IF(Utilidad!F20&gt;1,Utilidad!F3&gt;100,Utilidad!F3)</f>
        <v>0.50318076980484305</v>
      </c>
      <c r="L28" s="11">
        <f t="shared" si="3"/>
        <v>5393.896579999996</v>
      </c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</row>
    <row r="29" spans="1:33">
      <c r="E29">
        <f t="shared" si="2"/>
        <v>0</v>
      </c>
      <c r="F29" t="s">
        <v>98</v>
      </c>
      <c r="G29" s="6">
        <f>+'Bal AL FeT'!J29</f>
        <v>22667.152000000002</v>
      </c>
      <c r="H29" s="45">
        <f>+'Info Planta'!F7</f>
        <v>0.59221159069767404</v>
      </c>
      <c r="J29" s="11">
        <f>'Bal AL FeT'!J29</f>
        <v>22667.152000000002</v>
      </c>
      <c r="K29" s="12">
        <f>IF(Utilidad!F21&gt;1,Utilidad!F4&gt;100,Utilidad!F4)</f>
        <v>0.59221159069767404</v>
      </c>
      <c r="L29" s="11">
        <f t="shared" si="3"/>
        <v>13423.750142505965</v>
      </c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87"/>
      <c r="Y29" s="13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2"/>
        <v>0</v>
      </c>
      <c r="F30" s="47" t="s">
        <v>99</v>
      </c>
      <c r="G30" s="6">
        <f>+'Bal AL FeT'!J30</f>
        <v>2867</v>
      </c>
      <c r="H30" s="28">
        <f>+IF((G31+G32)&lt;&gt;0,(G31*H31+G32*H32)/(G31+G32),0)</f>
        <v>0.59221159069767404</v>
      </c>
      <c r="I30" s="48"/>
      <c r="J30" s="11">
        <f>'Bal AL FeT'!J30</f>
        <v>2867</v>
      </c>
      <c r="K30" s="12">
        <f>IF(Utilidad!F22&gt;1,Utilidad!F5&gt;100,Utilidad!F5)</f>
        <v>0.59221159069767404</v>
      </c>
      <c r="L30" s="11">
        <f t="shared" si="3"/>
        <v>1697.8706305302314</v>
      </c>
      <c r="M30" s="190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87"/>
      <c r="Y30" s="13"/>
    </row>
    <row r="31" spans="1:33">
      <c r="E31">
        <f t="shared" si="2"/>
        <v>0</v>
      </c>
      <c r="F31" t="s">
        <v>63</v>
      </c>
      <c r="G31" s="6">
        <f>+'Bal AL FeT'!J31</f>
        <v>0</v>
      </c>
      <c r="H31" s="46">
        <f>+'Info Planta'!F11</f>
        <v>0</v>
      </c>
      <c r="J31" s="11">
        <f>'Bal AL FeT'!J31</f>
        <v>0</v>
      </c>
      <c r="K31" s="12">
        <f>IF(Utilidad!F23&gt;1,Utilidad!F6&gt;100,Utilidad!F6)</f>
        <v>0</v>
      </c>
      <c r="L31" s="11">
        <f t="shared" si="3"/>
        <v>0</v>
      </c>
      <c r="N31" s="184"/>
      <c r="O31" s="185"/>
      <c r="P31" s="184"/>
      <c r="Q31" s="182"/>
      <c r="R31" s="186"/>
      <c r="S31" s="182"/>
      <c r="T31" s="178"/>
      <c r="U31" s="178"/>
      <c r="V31" s="178"/>
      <c r="W31" s="178"/>
      <c r="X31" s="187"/>
      <c r="Y31" s="13"/>
    </row>
    <row r="32" spans="1:33">
      <c r="E32">
        <f t="shared" si="2"/>
        <v>0</v>
      </c>
      <c r="F32" t="s">
        <v>65</v>
      </c>
      <c r="G32" s="6">
        <f>+'Bal AL FeT'!J32</f>
        <v>20879.289999999997</v>
      </c>
      <c r="H32" s="7">
        <f>+'Info Planta'!F12</f>
        <v>0.59221159069767404</v>
      </c>
      <c r="J32" s="11">
        <f>'Bal AL FeT'!J32</f>
        <v>20879.289999999997</v>
      </c>
      <c r="K32" s="12">
        <f>IF(Utilidad!F24&gt;1,Utilidad!F7&gt;100,Utilidad!F7)</f>
        <v>0.59221159069767404</v>
      </c>
      <c r="L32" s="11">
        <f t="shared" si="3"/>
        <v>12364.957543538037</v>
      </c>
      <c r="N32" s="184"/>
      <c r="O32" s="185"/>
      <c r="P32" s="184"/>
      <c r="Q32" s="182"/>
      <c r="R32" s="186"/>
      <c r="S32" s="182"/>
      <c r="T32" s="178"/>
      <c r="U32" s="178"/>
      <c r="V32" s="178"/>
      <c r="W32" s="178"/>
      <c r="X32" s="187"/>
      <c r="Y32" s="13"/>
    </row>
    <row r="33" spans="1:24">
      <c r="E33">
        <f t="shared" si="2"/>
        <v>0</v>
      </c>
      <c r="F33" t="s">
        <v>100</v>
      </c>
      <c r="G33" s="6">
        <f>+'Bal AL FeT'!J33</f>
        <v>18314.103999999999</v>
      </c>
      <c r="H33" s="45">
        <f>+'Info Planta'!F8</f>
        <v>0.58622512000000004</v>
      </c>
      <c r="J33" s="11">
        <f>'Bal AL FeT'!J33</f>
        <v>18314.103999999999</v>
      </c>
      <c r="K33" s="12">
        <f>IF(Utilidad!F25&gt;1,Utilidad!F8&gt;100,Utilidad!F8)</f>
        <v>0.58622512000000004</v>
      </c>
      <c r="L33" s="11">
        <f t="shared" si="3"/>
        <v>10736.18781509248</v>
      </c>
      <c r="N33" s="184"/>
      <c r="O33" s="185"/>
      <c r="P33" s="184"/>
      <c r="Q33" s="182"/>
      <c r="R33" s="186"/>
      <c r="S33" s="182"/>
      <c r="T33" s="178"/>
      <c r="U33" s="178"/>
      <c r="V33" s="178"/>
      <c r="W33" s="178"/>
      <c r="X33" s="178"/>
    </row>
    <row r="34" spans="1:24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2"/>
        <v>0</v>
      </c>
      <c r="F34" s="47" t="s">
        <v>102</v>
      </c>
      <c r="G34" s="6">
        <f>+'Bal AL FeT'!J34</f>
        <v>212</v>
      </c>
      <c r="H34" s="28">
        <f>+IF((G35+G36)&lt;&gt;0,(G35*H35+G36*H36)/(G35+G36),0)</f>
        <v>0.58622512000000004</v>
      </c>
      <c r="I34" s="48"/>
      <c r="J34" s="11">
        <f>'Bal AL FeT'!J34</f>
        <v>212</v>
      </c>
      <c r="K34" s="12">
        <f>IF(Utilidad!F26&gt;1,Utilidad!F9&gt;100,Utilidad!F9)</f>
        <v>0.58622505731028685</v>
      </c>
      <c r="L34" s="11">
        <f t="shared" si="3"/>
        <v>124.27971214978081</v>
      </c>
      <c r="M34" s="190"/>
      <c r="N34" s="184"/>
      <c r="O34" s="185"/>
      <c r="P34" s="184"/>
      <c r="Q34" s="182"/>
      <c r="R34" s="186"/>
      <c r="S34" s="182"/>
      <c r="T34" s="178"/>
      <c r="U34" s="178"/>
      <c r="V34" s="178"/>
      <c r="W34" s="178"/>
      <c r="X34" s="178"/>
    </row>
    <row r="35" spans="1:24">
      <c r="E35">
        <f t="shared" si="2"/>
        <v>0</v>
      </c>
      <c r="F35" t="s">
        <v>66</v>
      </c>
      <c r="G35" s="6">
        <f>+'Bal AL FeT'!J35</f>
        <v>0</v>
      </c>
      <c r="H35" s="46">
        <f>+'Info Planta'!F13</f>
        <v>0</v>
      </c>
      <c r="J35" s="11">
        <f>'Bal AL FeT'!J35</f>
        <v>0</v>
      </c>
      <c r="K35" s="12">
        <f>IF(Utilidad!F27&gt;1,Utilidad!F10&gt;100,Utilidad!F10)</f>
        <v>0</v>
      </c>
      <c r="L35" s="11">
        <f t="shared" si="3"/>
        <v>0</v>
      </c>
      <c r="N35" s="184"/>
      <c r="O35" s="185"/>
      <c r="P35" s="184"/>
      <c r="Q35" s="182"/>
      <c r="R35" s="186"/>
      <c r="S35" s="182"/>
      <c r="T35" s="178"/>
      <c r="U35" s="178"/>
      <c r="V35" s="178"/>
      <c r="W35" s="178"/>
      <c r="X35" s="178"/>
    </row>
    <row r="36" spans="1:24">
      <c r="E36">
        <f t="shared" si="2"/>
        <v>0</v>
      </c>
      <c r="F36" t="s">
        <v>67</v>
      </c>
      <c r="G36" s="6">
        <f>+'Bal AL FeT'!J36</f>
        <v>16230.67</v>
      </c>
      <c r="H36" s="7">
        <f>+'Info Planta'!F14</f>
        <v>0.58622512000000004</v>
      </c>
      <c r="J36" s="11">
        <f>'Bal AL FeT'!J36</f>
        <v>16230.67</v>
      </c>
      <c r="K36" s="12">
        <f>IF(Utilidad!F28&gt;1,Utilidad!F11&gt;100,Utilidad!F11)</f>
        <v>0.58622512000000004</v>
      </c>
      <c r="L36" s="11">
        <f t="shared" si="3"/>
        <v>9514.8264684304013</v>
      </c>
      <c r="N36" s="184"/>
      <c r="O36" s="185"/>
      <c r="P36" s="184"/>
      <c r="Q36" s="182"/>
      <c r="R36" s="186"/>
      <c r="S36" s="182"/>
      <c r="T36" s="178"/>
      <c r="U36" s="178"/>
      <c r="V36" s="178"/>
      <c r="W36" s="178"/>
      <c r="X36" s="178"/>
    </row>
    <row r="37" spans="1:24">
      <c r="E37">
        <f t="shared" si="2"/>
        <v>0</v>
      </c>
      <c r="F37" t="s">
        <v>103</v>
      </c>
      <c r="G37" s="6">
        <f>+'Bal AL FeT'!J37</f>
        <v>13136</v>
      </c>
      <c r="H37" s="45">
        <f>+'Info Planta'!F9</f>
        <v>0.321851323255814</v>
      </c>
      <c r="J37" s="11">
        <f>'Bal AL FeT'!J37</f>
        <v>13136</v>
      </c>
      <c r="K37" s="12">
        <f>IF(Utilidad!F29&gt;1,Utilidad!F12&gt;100,Utilidad!F12)</f>
        <v>0.321851323255814</v>
      </c>
      <c r="L37" s="11">
        <f t="shared" si="3"/>
        <v>4227.8389822883728</v>
      </c>
      <c r="N37" s="184"/>
      <c r="O37" s="185"/>
      <c r="P37" s="184"/>
      <c r="Q37" s="182"/>
      <c r="R37" s="186"/>
      <c r="S37" s="182"/>
      <c r="T37" s="178"/>
      <c r="U37" s="178"/>
      <c r="V37" s="178"/>
      <c r="W37" s="178"/>
      <c r="X37" s="178"/>
    </row>
    <row r="38" spans="1:24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2"/>
        <v>0</v>
      </c>
      <c r="F38" s="47" t="s">
        <v>104</v>
      </c>
      <c r="G38" s="6">
        <f>+'Bal AL FeT'!J38</f>
        <v>478</v>
      </c>
      <c r="H38" s="28">
        <f>+H37</f>
        <v>0.321851323255814</v>
      </c>
      <c r="I38" s="48"/>
      <c r="J38" s="11">
        <f>'Bal AL FeT'!J38</f>
        <v>478</v>
      </c>
      <c r="K38" s="12">
        <f>IF(Utilidad!F30&gt;1,Utilidad!F13&gt;100,Utilidad!F13)</f>
        <v>0.321851323255814</v>
      </c>
      <c r="L38" s="11">
        <f t="shared" si="3"/>
        <v>153.8449325162791</v>
      </c>
      <c r="M38" s="190"/>
      <c r="N38" s="184"/>
      <c r="O38" s="185"/>
      <c r="P38" s="184"/>
      <c r="Q38" s="182"/>
      <c r="R38" s="186"/>
      <c r="S38" s="182"/>
      <c r="T38" s="178"/>
      <c r="U38" s="178"/>
      <c r="V38" s="178"/>
      <c r="W38" s="178"/>
      <c r="X38" s="178"/>
    </row>
    <row r="39" spans="1:24">
      <c r="E39">
        <f t="shared" si="2"/>
        <v>0</v>
      </c>
      <c r="F39" t="s">
        <v>68</v>
      </c>
      <c r="G39" s="6">
        <f>+'Bal AL FeT'!J39</f>
        <v>4696</v>
      </c>
      <c r="H39" s="46">
        <f>+'Info Planta'!F15</f>
        <v>0.321851323255814</v>
      </c>
      <c r="J39" s="11">
        <f>'Bal AL FeT'!J39</f>
        <v>4696</v>
      </c>
      <c r="K39" s="12">
        <f>IF(Utilidad!F31&gt;1,Utilidad!F14&gt;100,Utilidad!F14)</f>
        <v>0.321851323255814</v>
      </c>
      <c r="L39" s="11">
        <f t="shared" si="3"/>
        <v>1511.4138140093025</v>
      </c>
      <c r="N39" s="184"/>
      <c r="O39" s="185"/>
      <c r="P39" s="184"/>
      <c r="Q39" s="182"/>
      <c r="R39" s="186"/>
      <c r="S39" s="182"/>
      <c r="T39" s="178"/>
      <c r="U39" s="178"/>
      <c r="V39" s="178"/>
      <c r="W39" s="178"/>
      <c r="X39" s="178"/>
    </row>
    <row r="40" spans="1:24">
      <c r="E40">
        <f t="shared" si="2"/>
        <v>0</v>
      </c>
      <c r="F40" t="s">
        <v>106</v>
      </c>
      <c r="G40" s="6">
        <f>+'Bal AL FeT'!J40</f>
        <v>25816</v>
      </c>
      <c r="H40" s="45">
        <f>+IF(G40&lt;&gt;0,(G42*H42+A41*H41)/G40,0)</f>
        <v>0.39913544778431981</v>
      </c>
      <c r="J40" s="11">
        <f>'Bal AL FeT'!J40</f>
        <v>25816</v>
      </c>
      <c r="K40" s="12">
        <f>IF(Utilidad!F32&gt;1,Utilidad!F15&gt;100,Utilidad!F15)</f>
        <v>0.37541457571486819</v>
      </c>
      <c r="L40" s="11">
        <f t="shared" si="3"/>
        <v>9691.7026866550368</v>
      </c>
      <c r="N40" s="184"/>
      <c r="O40" s="185"/>
      <c r="P40" s="184"/>
      <c r="Q40" s="182"/>
      <c r="R40" s="186"/>
      <c r="S40" s="182"/>
      <c r="T40" s="178"/>
      <c r="U40" s="178"/>
      <c r="V40" s="178"/>
      <c r="W40" s="178"/>
      <c r="X40" s="178"/>
    </row>
    <row r="41" spans="1:24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2"/>
        <v>0</v>
      </c>
      <c r="F41" s="47" t="s">
        <v>107</v>
      </c>
      <c r="G41" s="6">
        <f>+'Bal AL FeT'!J41</f>
        <v>528</v>
      </c>
      <c r="H41" s="28">
        <f>+H42</f>
        <v>0.376</v>
      </c>
      <c r="I41" s="48"/>
      <c r="J41" s="11">
        <f>'Bal AL FeT'!J41</f>
        <v>528</v>
      </c>
      <c r="K41" s="12">
        <f>IF(Utilidad!F33&gt;1,Utilidad!F16&gt;100,Utilidad!F16)</f>
        <v>0.376</v>
      </c>
      <c r="L41" s="11">
        <f t="shared" si="3"/>
        <v>198.52799999999999</v>
      </c>
      <c r="M41" s="190"/>
      <c r="N41" s="184"/>
      <c r="O41" s="185"/>
      <c r="P41" s="184"/>
      <c r="Q41" s="182"/>
      <c r="R41" s="186"/>
      <c r="S41" s="182"/>
      <c r="T41" s="178"/>
      <c r="U41" s="178"/>
      <c r="V41" s="178"/>
      <c r="W41" s="178"/>
      <c r="X41" s="178"/>
    </row>
    <row r="42" spans="1:24">
      <c r="E42">
        <f>+E19</f>
        <v>0</v>
      </c>
      <c r="F42" t="s">
        <v>69</v>
      </c>
      <c r="G42" s="6">
        <f>+'Bal AL FeT'!J42</f>
        <v>26876.47</v>
      </c>
      <c r="H42" s="46">
        <f>+'Info Planta'!F16</f>
        <v>0.376</v>
      </c>
      <c r="J42" s="11">
        <f>'Bal AL FeT'!J42</f>
        <v>26876.47</v>
      </c>
      <c r="K42" s="12">
        <f>IF(Utilidad!F34&gt;1,Utilidad!F17&gt;100,Utilidad!F17)</f>
        <v>0.376</v>
      </c>
      <c r="L42" s="11">
        <f t="shared" si="3"/>
        <v>10105.55272</v>
      </c>
      <c r="N42" s="184"/>
      <c r="O42" s="185"/>
      <c r="P42" s="184"/>
      <c r="Q42" s="182"/>
      <c r="R42" s="186"/>
      <c r="S42" s="182"/>
      <c r="T42" s="178"/>
      <c r="U42" s="178"/>
      <c r="V42" s="178"/>
      <c r="W42" s="178"/>
      <c r="X42" s="178"/>
    </row>
    <row r="43" spans="1:24"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</row>
    <row r="44" spans="1:24">
      <c r="C44" s="191"/>
      <c r="D44" s="191"/>
      <c r="E44" s="191"/>
      <c r="F44" s="192"/>
      <c r="G44" s="242"/>
      <c r="H44" s="242"/>
      <c r="I44" s="191"/>
      <c r="J44" s="242"/>
      <c r="K44" s="242"/>
      <c r="L44" s="191"/>
      <c r="M44" s="191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</row>
    <row r="45" spans="1:24">
      <c r="C45" s="191"/>
      <c r="D45" s="191"/>
      <c r="E45" s="191"/>
      <c r="F45" s="192"/>
      <c r="G45" s="193"/>
      <c r="H45" s="193"/>
      <c r="I45" s="191"/>
      <c r="J45" s="193"/>
      <c r="K45" s="193"/>
      <c r="L45" s="191"/>
      <c r="M45" s="191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</row>
    <row r="46" spans="1:24">
      <c r="C46" s="191"/>
      <c r="D46" s="191"/>
      <c r="E46" s="191"/>
      <c r="F46" s="191"/>
      <c r="G46" s="191"/>
      <c r="H46" s="191"/>
      <c r="I46" s="191"/>
      <c r="J46" s="194"/>
      <c r="K46" s="195"/>
      <c r="L46" s="191"/>
      <c r="M46" s="191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</row>
    <row r="47" spans="1:24">
      <c r="C47" s="191"/>
      <c r="D47" s="191"/>
      <c r="E47" s="191"/>
      <c r="F47" s="191"/>
      <c r="G47" s="191"/>
      <c r="H47" s="191"/>
      <c r="I47" s="191"/>
      <c r="J47" s="194"/>
      <c r="K47" s="195"/>
      <c r="L47" s="191"/>
      <c r="M47" s="191"/>
    </row>
    <row r="48" spans="1:24">
      <c r="C48" s="191"/>
      <c r="D48" s="191"/>
      <c r="E48" s="191"/>
      <c r="F48" s="191"/>
      <c r="G48" s="191"/>
      <c r="H48" s="191"/>
      <c r="I48" s="191"/>
      <c r="J48" s="194"/>
      <c r="K48" s="195"/>
      <c r="L48" s="191"/>
      <c r="M48" s="191"/>
    </row>
    <row r="49" spans="3:13">
      <c r="C49" s="191"/>
      <c r="D49" s="191"/>
      <c r="E49" s="191"/>
      <c r="F49" s="191"/>
      <c r="G49" s="191"/>
      <c r="H49" s="191"/>
      <c r="I49" s="191"/>
      <c r="J49" s="194"/>
      <c r="K49" s="195"/>
      <c r="L49" s="191"/>
      <c r="M49" s="191"/>
    </row>
    <row r="50" spans="3:13">
      <c r="C50" s="191"/>
      <c r="D50" s="191"/>
      <c r="E50" s="191"/>
      <c r="F50" s="191"/>
      <c r="G50" s="191"/>
      <c r="H50" s="191"/>
      <c r="I50" s="191"/>
      <c r="J50" s="194"/>
      <c r="K50" s="195"/>
      <c r="L50" s="191"/>
      <c r="M50" s="191"/>
    </row>
    <row r="51" spans="3:13">
      <c r="C51" s="191"/>
      <c r="D51" s="191"/>
      <c r="E51" s="191"/>
      <c r="F51" s="191"/>
      <c r="G51" s="191"/>
      <c r="H51" s="191"/>
      <c r="I51" s="191"/>
      <c r="J51" s="194"/>
      <c r="K51" s="195"/>
      <c r="L51" s="191"/>
      <c r="M51" s="191"/>
    </row>
    <row r="52" spans="3:13">
      <c r="C52" s="191"/>
      <c r="D52" s="191"/>
      <c r="E52" s="191"/>
      <c r="F52" s="191"/>
      <c r="G52" s="191"/>
      <c r="H52" s="191"/>
      <c r="I52" s="191"/>
      <c r="J52" s="194"/>
      <c r="K52" s="195"/>
      <c r="L52" s="191"/>
      <c r="M52" s="191"/>
    </row>
    <row r="53" spans="3:13">
      <c r="C53" s="191"/>
      <c r="D53" s="191"/>
      <c r="E53" s="191"/>
      <c r="F53" s="191"/>
      <c r="G53" s="191"/>
      <c r="H53" s="191"/>
      <c r="I53" s="191"/>
      <c r="J53" s="194"/>
      <c r="K53" s="195"/>
      <c r="L53" s="191"/>
      <c r="M53" s="191"/>
    </row>
    <row r="54" spans="3:13">
      <c r="C54" s="191"/>
      <c r="D54" s="191"/>
      <c r="E54" s="191"/>
      <c r="F54" s="191"/>
      <c r="G54" s="191"/>
      <c r="H54" s="191"/>
      <c r="I54" s="191"/>
      <c r="J54" s="194"/>
      <c r="K54" s="195"/>
      <c r="L54" s="191"/>
      <c r="M54" s="191"/>
    </row>
    <row r="55" spans="3:13">
      <c r="C55" s="191"/>
      <c r="D55" s="191"/>
      <c r="E55" s="191"/>
      <c r="F55" s="191"/>
      <c r="G55" s="191"/>
      <c r="H55" s="191"/>
      <c r="I55" s="191"/>
      <c r="J55" s="194"/>
      <c r="K55" s="195"/>
      <c r="L55" s="191"/>
      <c r="M55" s="191"/>
    </row>
    <row r="56" spans="3:13">
      <c r="C56" s="191"/>
      <c r="D56" s="191"/>
      <c r="E56" s="191"/>
      <c r="F56" s="191"/>
      <c r="G56" s="191"/>
      <c r="H56" s="191"/>
      <c r="I56" s="191"/>
      <c r="J56" s="194"/>
      <c r="K56" s="195"/>
      <c r="L56" s="191"/>
      <c r="M56" s="191"/>
    </row>
    <row r="57" spans="3:13">
      <c r="C57" s="191"/>
      <c r="D57" s="191"/>
      <c r="E57" s="191"/>
      <c r="F57" s="191"/>
      <c r="G57" s="191"/>
      <c r="H57" s="191"/>
      <c r="I57" s="191"/>
      <c r="J57" s="194"/>
      <c r="K57" s="195"/>
      <c r="L57" s="191"/>
      <c r="M57" s="191"/>
    </row>
    <row r="58" spans="3:13">
      <c r="C58" s="191"/>
      <c r="D58" s="191"/>
      <c r="E58" s="191"/>
      <c r="F58" s="191"/>
      <c r="G58" s="191"/>
      <c r="H58" s="191"/>
      <c r="I58" s="191"/>
      <c r="J58" s="194"/>
      <c r="K58" s="195"/>
      <c r="L58" s="191"/>
      <c r="M58" s="191"/>
    </row>
    <row r="59" spans="3:13">
      <c r="C59" s="191"/>
      <c r="D59" s="191"/>
      <c r="E59" s="191"/>
      <c r="F59" s="191"/>
      <c r="G59" s="191"/>
      <c r="H59" s="191"/>
      <c r="I59" s="191"/>
      <c r="J59" s="194"/>
      <c r="K59" s="195"/>
      <c r="L59" s="191"/>
      <c r="M59" s="191"/>
    </row>
    <row r="60" spans="3:13">
      <c r="C60" s="191"/>
      <c r="D60" s="191"/>
      <c r="E60" s="191"/>
      <c r="F60" s="191"/>
      <c r="G60" s="191"/>
      <c r="H60" s="191"/>
      <c r="I60" s="191"/>
      <c r="J60" s="194"/>
      <c r="K60" s="195"/>
      <c r="L60" s="191"/>
      <c r="M60" s="191"/>
    </row>
    <row r="61" spans="3:13">
      <c r="C61" s="191"/>
      <c r="D61" s="191"/>
      <c r="E61" s="191"/>
      <c r="F61" s="191"/>
      <c r="G61" s="191"/>
      <c r="H61" s="191"/>
      <c r="I61" s="191"/>
      <c r="J61" s="194"/>
      <c r="K61" s="195"/>
      <c r="L61" s="191"/>
      <c r="M61" s="191"/>
    </row>
    <row r="62" spans="3:13">
      <c r="C62" s="191"/>
      <c r="D62" s="191"/>
      <c r="E62" s="191"/>
      <c r="F62" s="191"/>
      <c r="G62" s="191"/>
      <c r="H62" s="191"/>
      <c r="I62" s="191"/>
      <c r="J62" s="194"/>
      <c r="K62" s="195"/>
      <c r="L62" s="191"/>
      <c r="M62" s="191"/>
    </row>
    <row r="63" spans="3:13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</row>
    <row r="64" spans="3:13">
      <c r="C64" s="191"/>
      <c r="D64" s="191"/>
      <c r="E64" s="191"/>
      <c r="F64" s="192"/>
      <c r="G64" s="242"/>
      <c r="H64" s="242"/>
      <c r="I64" s="191"/>
      <c r="J64" s="191"/>
      <c r="K64" s="191"/>
      <c r="L64" s="191"/>
      <c r="M64" s="191"/>
    </row>
    <row r="65" spans="6:10">
      <c r="F65" s="192"/>
      <c r="G65" s="193"/>
      <c r="H65" s="193"/>
      <c r="I65" s="191"/>
      <c r="J65" s="191"/>
    </row>
    <row r="66" spans="6:10">
      <c r="F66" s="191"/>
      <c r="G66" s="191"/>
      <c r="H66" s="191"/>
      <c r="I66" s="191"/>
      <c r="J66" s="191"/>
    </row>
    <row r="67" spans="6:10">
      <c r="F67" s="191"/>
      <c r="G67" s="191"/>
      <c r="H67" s="191"/>
      <c r="I67" s="191"/>
      <c r="J67" s="191"/>
    </row>
    <row r="68" spans="6:10">
      <c r="F68" s="191"/>
      <c r="G68" s="191"/>
      <c r="H68" s="191"/>
      <c r="I68" s="191"/>
      <c r="J68" s="191"/>
    </row>
    <row r="69" spans="6:10">
      <c r="F69" s="191"/>
      <c r="G69" s="191"/>
      <c r="H69" s="191"/>
      <c r="I69" s="191"/>
      <c r="J69" s="191"/>
    </row>
    <row r="70" spans="6:10">
      <c r="F70" s="191"/>
      <c r="G70" s="191"/>
      <c r="H70" s="191"/>
      <c r="I70" s="191"/>
      <c r="J70" s="191"/>
    </row>
    <row r="71" spans="6:10">
      <c r="F71" s="191"/>
      <c r="G71" s="191"/>
      <c r="H71" s="191"/>
      <c r="I71" s="191"/>
      <c r="J71" s="191"/>
    </row>
    <row r="72" spans="6:10">
      <c r="F72" s="191"/>
      <c r="G72" s="191"/>
      <c r="H72" s="191"/>
      <c r="I72" s="191"/>
      <c r="J72" s="191"/>
    </row>
    <row r="73" spans="6:10">
      <c r="F73" s="191"/>
      <c r="G73" s="191"/>
      <c r="H73" s="191"/>
      <c r="I73" s="191"/>
      <c r="J73" s="191"/>
    </row>
    <row r="74" spans="6:10">
      <c r="F74" s="191"/>
      <c r="G74" s="191"/>
      <c r="H74" s="191"/>
      <c r="I74" s="191"/>
      <c r="J74" s="191"/>
    </row>
    <row r="75" spans="6:10">
      <c r="F75" s="191"/>
      <c r="G75" s="191"/>
      <c r="H75" s="191"/>
      <c r="I75" s="191"/>
      <c r="J75" s="191"/>
    </row>
    <row r="76" spans="6:10">
      <c r="F76" s="191"/>
      <c r="G76" s="191"/>
      <c r="H76" s="191"/>
      <c r="I76" s="191"/>
      <c r="J76" s="191"/>
    </row>
    <row r="77" spans="6:10">
      <c r="F77" s="191"/>
      <c r="G77" s="191"/>
      <c r="H77" s="191"/>
      <c r="I77" s="191"/>
      <c r="J77" s="191"/>
    </row>
    <row r="78" spans="6:10">
      <c r="F78" s="191"/>
      <c r="G78" s="191"/>
      <c r="H78" s="191"/>
      <c r="I78" s="191"/>
      <c r="J78" s="191"/>
    </row>
    <row r="79" spans="6:10">
      <c r="F79" s="191"/>
      <c r="G79" s="191"/>
      <c r="H79" s="191"/>
      <c r="I79" s="191"/>
      <c r="J79" s="191"/>
    </row>
    <row r="80" spans="6:10">
      <c r="F80" s="191"/>
      <c r="G80" s="191"/>
      <c r="H80" s="191"/>
      <c r="I80" s="191"/>
      <c r="J80" s="191"/>
    </row>
    <row r="81" spans="6:10">
      <c r="F81" s="191"/>
      <c r="G81" s="191"/>
      <c r="H81" s="191"/>
      <c r="I81" s="191"/>
      <c r="J81" s="191"/>
    </row>
    <row r="82" spans="6:10">
      <c r="F82" s="191"/>
      <c r="G82" s="191"/>
      <c r="H82" s="191"/>
      <c r="I82" s="191"/>
      <c r="J82" s="191"/>
    </row>
    <row r="83" spans="6:10">
      <c r="F83" s="191"/>
      <c r="G83" s="191"/>
      <c r="H83" s="191"/>
      <c r="I83" s="191"/>
      <c r="J83" s="191"/>
    </row>
    <row r="84" spans="6:10">
      <c r="F84" s="191"/>
      <c r="G84" s="191"/>
      <c r="H84" s="191"/>
      <c r="I84" s="191"/>
      <c r="J84" s="191"/>
    </row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2" priority="1">
      <formula>ABS(N26)&gt;=10%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F657-FF7E-FC4A-88FD-3E0BE2D2E260}">
  <dimension ref="A1:F28"/>
  <sheetViews>
    <sheetView tabSelected="1" workbookViewId="0">
      <selection activeCell="C25" sqref="C25"/>
    </sheetView>
  </sheetViews>
  <sheetFormatPr baseColWidth="10" defaultRowHeight="15"/>
  <sheetData>
    <row r="1" spans="1:6">
      <c r="A1" s="163">
        <v>0</v>
      </c>
      <c r="B1" s="163">
        <v>0</v>
      </c>
      <c r="C1" s="163">
        <v>0</v>
      </c>
      <c r="D1" s="163">
        <v>0</v>
      </c>
      <c r="E1" s="163">
        <v>0</v>
      </c>
      <c r="F1" s="163">
        <v>0</v>
      </c>
    </row>
    <row r="2" spans="1:6">
      <c r="A2" s="163">
        <v>68993</v>
      </c>
      <c r="B2" s="163">
        <v>68993</v>
      </c>
      <c r="C2" s="163">
        <v>0.53526569941878199</v>
      </c>
      <c r="D2" s="163">
        <v>0.53526569941878199</v>
      </c>
      <c r="E2" s="163">
        <v>0.48852658240691099</v>
      </c>
      <c r="F2" s="163">
        <v>0.48852658240691099</v>
      </c>
    </row>
    <row r="3" spans="1:6">
      <c r="A3" s="163">
        <v>10719.6</v>
      </c>
      <c r="B3" s="163">
        <v>10719.6</v>
      </c>
      <c r="C3" s="163">
        <v>0.55290710660845599</v>
      </c>
      <c r="D3" s="163">
        <v>0.55290710660845599</v>
      </c>
      <c r="E3" s="163">
        <v>0.50318076980484305</v>
      </c>
      <c r="F3" s="163">
        <v>0.50318076980484305</v>
      </c>
    </row>
    <row r="4" spans="1:6">
      <c r="A4" s="163">
        <v>22667.152000000002</v>
      </c>
      <c r="B4" s="163">
        <v>22667.152000000002</v>
      </c>
      <c r="C4" s="163">
        <v>0.60588953488372099</v>
      </c>
      <c r="D4" s="163">
        <v>0.60588953488372099</v>
      </c>
      <c r="E4" s="163">
        <v>0.59221159069767404</v>
      </c>
      <c r="F4" s="163">
        <v>0.59221159069767404</v>
      </c>
    </row>
    <row r="5" spans="1:6">
      <c r="A5" s="163">
        <v>2867</v>
      </c>
      <c r="B5" s="163">
        <v>2867</v>
      </c>
      <c r="C5" s="163">
        <v>0.60588953488372099</v>
      </c>
      <c r="D5" s="163">
        <v>0.60588953488372099</v>
      </c>
      <c r="E5" s="163">
        <v>0.59221159069767404</v>
      </c>
      <c r="F5" s="163">
        <v>0.59221159069767404</v>
      </c>
    </row>
    <row r="6" spans="1:6">
      <c r="A6" s="163">
        <v>0</v>
      </c>
      <c r="B6" s="163">
        <v>0</v>
      </c>
      <c r="C6" s="163">
        <v>0</v>
      </c>
      <c r="D6" s="163">
        <v>0</v>
      </c>
      <c r="E6" s="163">
        <v>0</v>
      </c>
      <c r="F6" s="163">
        <v>0</v>
      </c>
    </row>
    <row r="7" spans="1:6">
      <c r="A7" s="163">
        <v>20879.289999999997</v>
      </c>
      <c r="B7" s="163">
        <v>20879.289999999997</v>
      </c>
      <c r="C7" s="163">
        <v>0.58489999999999998</v>
      </c>
      <c r="D7" s="163">
        <v>0.58489999999999998</v>
      </c>
      <c r="E7" s="163">
        <v>0.59221159069767404</v>
      </c>
      <c r="F7" s="163">
        <v>0.59221159069767404</v>
      </c>
    </row>
    <row r="8" spans="1:6">
      <c r="A8" s="163">
        <v>18314.103999999999</v>
      </c>
      <c r="B8" s="163">
        <v>18314.103999999999</v>
      </c>
      <c r="C8" s="163">
        <v>0.602155555555556</v>
      </c>
      <c r="D8" s="163">
        <v>0.602155555555556</v>
      </c>
      <c r="E8" s="163">
        <v>0.58622512000000004</v>
      </c>
      <c r="F8" s="163">
        <v>0.58622512000000004</v>
      </c>
    </row>
    <row r="9" spans="1:6">
      <c r="A9" s="163">
        <v>212</v>
      </c>
      <c r="B9" s="163">
        <v>212</v>
      </c>
      <c r="C9" s="163">
        <v>0.60060000000000002</v>
      </c>
      <c r="D9" s="163">
        <v>0.60060000000000002</v>
      </c>
      <c r="E9" s="163">
        <v>0.58622505731028685</v>
      </c>
      <c r="F9" s="163">
        <v>0.58622505731028685</v>
      </c>
    </row>
    <row r="10" spans="1:6">
      <c r="A10" s="163">
        <v>0</v>
      </c>
      <c r="B10" s="163">
        <v>0</v>
      </c>
      <c r="C10" s="163">
        <v>0</v>
      </c>
      <c r="D10" s="163">
        <v>0</v>
      </c>
      <c r="E10" s="163">
        <v>0</v>
      </c>
      <c r="F10" s="163">
        <v>0</v>
      </c>
    </row>
    <row r="11" spans="1:6">
      <c r="A11" s="163">
        <v>16230.67</v>
      </c>
      <c r="B11" s="163">
        <v>16230.67</v>
      </c>
      <c r="C11" s="163">
        <v>0.60060000000000002</v>
      </c>
      <c r="D11" s="163">
        <v>0.60060000000000002</v>
      </c>
      <c r="E11" s="163">
        <v>0.58622512000000004</v>
      </c>
      <c r="F11" s="163">
        <v>0.58622512000000004</v>
      </c>
    </row>
    <row r="12" spans="1:6">
      <c r="A12" s="163">
        <v>13136</v>
      </c>
      <c r="B12" s="163">
        <v>13136</v>
      </c>
      <c r="C12" s="163">
        <v>0.35781395348837203</v>
      </c>
      <c r="D12" s="163">
        <v>0.35781395348837203</v>
      </c>
      <c r="E12" s="163">
        <v>0.321851323255814</v>
      </c>
      <c r="F12" s="163">
        <v>0.321851323255814</v>
      </c>
    </row>
    <row r="13" spans="1:6">
      <c r="A13" s="163">
        <v>478</v>
      </c>
      <c r="B13" s="163">
        <v>478</v>
      </c>
      <c r="C13" s="163">
        <v>0.35781395348837203</v>
      </c>
      <c r="D13" s="163">
        <v>0.35781395348837203</v>
      </c>
      <c r="E13" s="163">
        <v>0.321851323255814</v>
      </c>
      <c r="F13" s="163">
        <v>0.321851323255814</v>
      </c>
    </row>
    <row r="14" spans="1:6">
      <c r="A14" s="163">
        <v>4696</v>
      </c>
      <c r="B14" s="163">
        <v>4696</v>
      </c>
      <c r="C14" s="163">
        <v>0.35781395348837203</v>
      </c>
      <c r="D14" s="163">
        <v>0.35781395348837203</v>
      </c>
      <c r="E14" s="163">
        <v>0.321851323255814</v>
      </c>
      <c r="F14" s="163">
        <v>0.321851323255814</v>
      </c>
    </row>
    <row r="15" spans="1:6">
      <c r="A15" s="163">
        <v>25816</v>
      </c>
      <c r="B15" s="163">
        <v>25816</v>
      </c>
      <c r="C15" s="163">
        <v>0.41160000000000002</v>
      </c>
      <c r="D15" s="163">
        <v>0.41160000000000002</v>
      </c>
      <c r="E15" s="163">
        <v>0.37541457571486819</v>
      </c>
      <c r="F15" s="163">
        <v>0.37541457571486819</v>
      </c>
    </row>
    <row r="16" spans="1:6">
      <c r="A16" s="163">
        <v>528</v>
      </c>
      <c r="B16" s="163">
        <v>528</v>
      </c>
      <c r="C16" s="163">
        <v>0.41160000000000002</v>
      </c>
      <c r="D16" s="163">
        <v>0.41160000000000002</v>
      </c>
      <c r="E16" s="163">
        <v>0.376</v>
      </c>
      <c r="F16" s="163">
        <v>0.376</v>
      </c>
    </row>
    <row r="17" spans="1:6">
      <c r="A17" s="163">
        <v>26876.47</v>
      </c>
      <c r="B17" s="163">
        <v>26876.47</v>
      </c>
      <c r="C17" s="163">
        <v>0.41160000000000002</v>
      </c>
      <c r="D17" s="163">
        <v>0.41160000000000002</v>
      </c>
      <c r="E17" s="163">
        <v>0.376</v>
      </c>
      <c r="F17" s="163">
        <v>0.376</v>
      </c>
    </row>
    <row r="18" spans="1:6">
      <c r="A18" s="196">
        <v>26924</v>
      </c>
      <c r="B18" s="196">
        <v>26924</v>
      </c>
      <c r="C18" s="196">
        <v>0.441342081414351</v>
      </c>
      <c r="D18" s="196">
        <v>0.441342081414351</v>
      </c>
      <c r="E18" s="196">
        <v>0.37928039488169252</v>
      </c>
      <c r="F18" s="196">
        <v>0.37928039488169252</v>
      </c>
    </row>
    <row r="19" spans="1:6">
      <c r="A19" s="196">
        <v>9033</v>
      </c>
      <c r="B19" s="196">
        <v>9033</v>
      </c>
      <c r="C19" s="196">
        <v>0.42468630576774002</v>
      </c>
      <c r="D19" s="196">
        <v>0.42468630576774002</v>
      </c>
      <c r="E19" s="196">
        <v>0.36724357273085934</v>
      </c>
      <c r="F19" s="196">
        <v>0.36724357273085934</v>
      </c>
    </row>
    <row r="20" spans="1:6">
      <c r="A20" s="196">
        <v>19699.46</v>
      </c>
      <c r="B20" s="196">
        <v>19699.46</v>
      </c>
      <c r="C20" s="196">
        <v>0.46239999999999992</v>
      </c>
      <c r="D20" s="196">
        <v>0.46239999999999992</v>
      </c>
      <c r="E20" s="196">
        <v>0.45593008209958086</v>
      </c>
      <c r="F20" s="196">
        <v>0.45593008209958086</v>
      </c>
    </row>
    <row r="21" spans="1:6">
      <c r="A21" s="196">
        <v>80</v>
      </c>
      <c r="B21" s="196">
        <v>80</v>
      </c>
      <c r="C21" s="196">
        <v>0.46239999999999998</v>
      </c>
      <c r="D21" s="196">
        <v>0.46239999999999998</v>
      </c>
      <c r="E21" s="196">
        <v>0.39041999999999999</v>
      </c>
      <c r="F21" s="196">
        <v>0.39041999999999999</v>
      </c>
    </row>
    <row r="22" spans="1:6">
      <c r="A22" s="196">
        <v>19779.46</v>
      </c>
      <c r="B22" s="196">
        <v>19779.46</v>
      </c>
      <c r="C22" s="196">
        <v>0.46239999999999998</v>
      </c>
      <c r="D22" s="196">
        <v>0.46239999999999998</v>
      </c>
      <c r="E22" s="196">
        <v>0.45317539181294575</v>
      </c>
      <c r="F22" s="196">
        <v>0.45317539181294575</v>
      </c>
    </row>
    <row r="23" spans="1:6">
      <c r="A23" s="196">
        <v>8922.43</v>
      </c>
      <c r="B23" s="196">
        <v>8922.43</v>
      </c>
      <c r="C23" s="196">
        <v>0.47120000000000006</v>
      </c>
      <c r="D23" s="196">
        <v>0.47120000000000006</v>
      </c>
      <c r="E23" s="196">
        <v>0.44301316531417145</v>
      </c>
      <c r="F23" s="196">
        <v>0.44301316531417145</v>
      </c>
    </row>
    <row r="24" spans="1:6">
      <c r="A24" s="196">
        <v>1067</v>
      </c>
      <c r="B24" s="196">
        <v>1067</v>
      </c>
      <c r="C24" s="196">
        <v>0.47120000000000001</v>
      </c>
      <c r="D24" s="196">
        <v>0.47120000000000001</v>
      </c>
      <c r="E24" s="196">
        <v>0.47443000000000002</v>
      </c>
      <c r="F24" s="196">
        <v>0.47443000000000002</v>
      </c>
    </row>
    <row r="25" spans="1:6">
      <c r="A25" s="196">
        <v>7855.43</v>
      </c>
      <c r="B25" s="196">
        <v>7855.43</v>
      </c>
      <c r="C25" s="196">
        <v>0.47120000000000001</v>
      </c>
      <c r="D25" s="196">
        <v>0.47120000000000001</v>
      </c>
      <c r="E25" s="196">
        <v>0.4388296784132556</v>
      </c>
      <c r="F25" s="196">
        <v>0.4388296784132556</v>
      </c>
    </row>
    <row r="26" spans="1:6">
      <c r="A26" s="196">
        <v>7335.1100000000006</v>
      </c>
      <c r="B26" s="196">
        <v>7335.1100000000006</v>
      </c>
      <c r="C26" s="196">
        <v>0.196191304347826</v>
      </c>
      <c r="D26" s="196">
        <v>0.196191304347826</v>
      </c>
      <c r="E26" s="196">
        <v>0.15411964173912998</v>
      </c>
      <c r="F26" s="196">
        <v>0.15411964173912998</v>
      </c>
    </row>
    <row r="27" spans="1:6">
      <c r="A27" s="196">
        <v>176</v>
      </c>
      <c r="B27" s="196">
        <v>176</v>
      </c>
      <c r="C27" s="196">
        <v>0.196191304347826</v>
      </c>
      <c r="D27" s="196">
        <v>0.196191304347826</v>
      </c>
      <c r="E27" s="196">
        <v>0.14010876521739099</v>
      </c>
      <c r="F27" s="196">
        <v>0.14010876521739099</v>
      </c>
    </row>
    <row r="28" spans="1:6">
      <c r="A28" s="196">
        <v>11126</v>
      </c>
      <c r="B28" s="196">
        <v>11126</v>
      </c>
      <c r="C28" s="196">
        <v>0.196191304347826</v>
      </c>
      <c r="D28" s="196">
        <v>0.196191304347826</v>
      </c>
      <c r="E28" s="196">
        <v>0.15411964173913009</v>
      </c>
      <c r="F28" s="196">
        <v>0.15411964173913009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48"/>
  <sheetViews>
    <sheetView showGridLines="0" zoomScale="110" zoomScaleNormal="110" workbookViewId="0">
      <selection activeCell="K35" sqref="K35"/>
    </sheetView>
  </sheetViews>
  <sheetFormatPr baseColWidth="10" defaultColWidth="11.5" defaultRowHeight="15"/>
  <sheetData>
    <row r="1" spans="1:23">
      <c r="H1" s="13"/>
    </row>
    <row r="3" spans="1:23">
      <c r="G3" s="49">
        <f>+'Bal AL FeT'!J29</f>
        <v>22667.152000000002</v>
      </c>
    </row>
    <row r="4" spans="1:23">
      <c r="G4" s="50">
        <f>+'Bal AL FeT'!K29</f>
        <v>0.60588953488372099</v>
      </c>
    </row>
    <row r="5" spans="1:23">
      <c r="A5" s="2"/>
      <c r="B5" s="49">
        <f>+'Bal AL FeT'!J26</f>
        <v>0</v>
      </c>
      <c r="C5" s="2"/>
      <c r="D5" s="2"/>
      <c r="E5" s="2"/>
      <c r="G5" s="51">
        <f>+'Bal AL FeT'!L29</f>
        <v>13733.790182418606</v>
      </c>
      <c r="H5" s="2"/>
      <c r="I5" s="2"/>
      <c r="J5" s="49">
        <f>+'Bal AL FeT'!J31</f>
        <v>0</v>
      </c>
      <c r="K5" s="2"/>
      <c r="L5" s="2"/>
      <c r="S5" s="2"/>
    </row>
    <row r="6" spans="1:23">
      <c r="A6" s="1"/>
      <c r="B6" s="50">
        <f>+'Bal AL FeT'!K26</f>
        <v>0</v>
      </c>
      <c r="C6" s="2"/>
      <c r="D6" s="2"/>
      <c r="E6" s="2"/>
      <c r="G6" s="2"/>
      <c r="H6" s="2"/>
      <c r="I6" s="2"/>
      <c r="J6" s="50">
        <f>+'Bal AL FeT'!K31</f>
        <v>0</v>
      </c>
      <c r="K6" s="2"/>
      <c r="L6" s="2"/>
      <c r="S6" s="2"/>
    </row>
    <row r="7" spans="1:23">
      <c r="A7" s="1"/>
      <c r="B7" s="51">
        <f>+'Bal AL FeT'!L26</f>
        <v>0</v>
      </c>
      <c r="C7" s="2"/>
      <c r="D7" s="2"/>
      <c r="E7" s="2"/>
      <c r="F7" s="2"/>
      <c r="G7" s="2"/>
      <c r="H7" s="2"/>
      <c r="I7" s="2"/>
      <c r="J7" s="51">
        <f>+'Bal AL FeT'!L28</f>
        <v>5926.9430200000052</v>
      </c>
      <c r="K7" s="2"/>
      <c r="L7" s="2"/>
      <c r="S7" s="2"/>
    </row>
    <row r="8" spans="1:23">
      <c r="A8" s="1"/>
      <c r="B8" s="2"/>
      <c r="C8" s="2"/>
      <c r="D8" s="2"/>
      <c r="E8" s="2"/>
      <c r="F8" s="2"/>
      <c r="G8" s="2"/>
      <c r="H8" s="52">
        <f>+'Bal AL FeT'!J30*'Bal AL FeT'!D30</f>
        <v>2867</v>
      </c>
      <c r="I8" s="2"/>
      <c r="S8" s="2"/>
    </row>
    <row r="9" spans="1:23">
      <c r="B9" s="2"/>
      <c r="C9" s="2"/>
      <c r="D9" s="2"/>
      <c r="E9" s="2"/>
      <c r="F9" s="2"/>
      <c r="G9" s="2"/>
      <c r="H9" s="73">
        <f>+'Bal AL FeT'!L30*'Bal AL FeT'!D30</f>
        <v>1737.085296511628</v>
      </c>
      <c r="I9" s="2"/>
      <c r="J9" s="49">
        <f>+'Bal AL FeT'!J32</f>
        <v>20879.289999999997</v>
      </c>
      <c r="K9" s="2"/>
      <c r="L9" s="2"/>
    </row>
    <row r="10" spans="1:23">
      <c r="A10" s="1"/>
      <c r="B10" s="49">
        <f>+'Bal AL FeT'!J27</f>
        <v>68993</v>
      </c>
      <c r="C10" s="2"/>
      <c r="D10" s="2"/>
      <c r="E10" s="2"/>
      <c r="F10" s="2"/>
      <c r="G10" s="2"/>
      <c r="H10" s="2"/>
      <c r="I10" s="2"/>
      <c r="J10" s="50">
        <f>+'Bal AL FeT'!K32</f>
        <v>0.58489999999999998</v>
      </c>
      <c r="K10" s="2"/>
      <c r="L10" s="2"/>
    </row>
    <row r="11" spans="1:23">
      <c r="A11" s="1"/>
      <c r="B11" s="50">
        <f>+'Bal AL FeT'!K27</f>
        <v>0.53526569941878199</v>
      </c>
      <c r="C11" s="2"/>
      <c r="D11" s="2"/>
      <c r="E11" s="2"/>
      <c r="J11" s="51">
        <f>+'Bal AL FeT'!L32</f>
        <v>12212.296720999997</v>
      </c>
    </row>
    <row r="12" spans="1:23">
      <c r="A12" s="1"/>
      <c r="B12" s="51">
        <f>+'Bal AL FeT'!L27</f>
        <v>36929.586400000029</v>
      </c>
      <c r="C12" s="2"/>
      <c r="D12" s="2"/>
      <c r="E12" s="2"/>
    </row>
    <row r="13" spans="1:23" ht="1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62" t="s">
        <v>117</v>
      </c>
    </row>
    <row r="14" spans="1:23" ht="19">
      <c r="C14" s="2"/>
      <c r="D14" s="2"/>
      <c r="E14" s="2"/>
      <c r="F14" s="2"/>
      <c r="G14" s="2"/>
      <c r="H14" s="2"/>
      <c r="I14" s="2"/>
      <c r="J14" s="2"/>
      <c r="K14" s="2"/>
      <c r="L14" s="2"/>
      <c r="N14" s="264" t="s">
        <v>118</v>
      </c>
      <c r="O14" s="264"/>
      <c r="P14" s="265"/>
      <c r="Q14" s="266" t="s">
        <v>119</v>
      </c>
      <c r="R14" s="266"/>
      <c r="S14" s="266"/>
      <c r="T14" s="267" t="s">
        <v>120</v>
      </c>
      <c r="U14" s="267"/>
      <c r="V14" s="267"/>
      <c r="W14" s="267"/>
    </row>
    <row r="15" spans="1:23">
      <c r="C15" s="2"/>
      <c r="D15" s="2"/>
      <c r="E15" s="2"/>
      <c r="F15" s="2"/>
      <c r="G15" s="2"/>
      <c r="H15" s="2"/>
      <c r="I15" s="2"/>
      <c r="J15" s="49">
        <f>+'Bal AL FeT'!J35</f>
        <v>0</v>
      </c>
      <c r="K15" s="2"/>
      <c r="L15" s="2"/>
      <c r="N15" s="257" t="s">
        <v>121</v>
      </c>
      <c r="O15" s="258"/>
      <c r="P15" s="63">
        <f>+B5</f>
        <v>0</v>
      </c>
      <c r="Q15" s="259" t="s">
        <v>122</v>
      </c>
      <c r="R15" s="250"/>
      <c r="S15" s="64">
        <f>+H8</f>
        <v>2867</v>
      </c>
      <c r="T15" s="251" t="s">
        <v>63</v>
      </c>
      <c r="U15" s="251"/>
      <c r="V15" s="251"/>
      <c r="W15" s="64">
        <f>+J5</f>
        <v>0</v>
      </c>
    </row>
    <row r="16" spans="1:23">
      <c r="B16" s="49">
        <f>+'Bal AL FeT'!J28</f>
        <v>10719.6</v>
      </c>
      <c r="C16" s="2"/>
      <c r="D16" s="2"/>
      <c r="E16" s="2"/>
      <c r="F16" s="2"/>
      <c r="G16" s="2"/>
      <c r="H16" s="2"/>
      <c r="I16" s="2"/>
      <c r="J16" s="50">
        <f>+'Bal AL FeT'!K35</f>
        <v>0</v>
      </c>
      <c r="K16" s="2"/>
      <c r="L16" s="2"/>
      <c r="N16" s="257" t="s">
        <v>123</v>
      </c>
      <c r="O16" s="258"/>
      <c r="P16" s="63">
        <f>+B10</f>
        <v>68993</v>
      </c>
      <c r="Q16" s="250" t="s">
        <v>124</v>
      </c>
      <c r="R16" s="250"/>
      <c r="S16" s="64">
        <f>+H19</f>
        <v>212</v>
      </c>
      <c r="T16" s="251" t="s">
        <v>65</v>
      </c>
      <c r="U16" s="251"/>
      <c r="V16" s="251"/>
      <c r="W16" s="64">
        <f>+J9</f>
        <v>20879.289999999997</v>
      </c>
    </row>
    <row r="17" spans="1:23">
      <c r="B17" s="50">
        <f>+'Bal AL FeT'!K28</f>
        <v>0.55290710660845599</v>
      </c>
      <c r="C17" s="2"/>
      <c r="D17" s="2"/>
      <c r="E17" s="2"/>
      <c r="F17" s="49">
        <f>+'Bal AL FeT'!J33</f>
        <v>18314.103999999999</v>
      </c>
      <c r="G17" s="2"/>
      <c r="H17" s="2"/>
      <c r="I17" s="2"/>
      <c r="J17" s="51">
        <f>+'Bal AL FeT'!L35</f>
        <v>0</v>
      </c>
      <c r="K17" s="2"/>
      <c r="L17" s="2"/>
      <c r="N17" s="257" t="s">
        <v>125</v>
      </c>
      <c r="O17" s="258"/>
      <c r="P17" s="63">
        <f>+B16</f>
        <v>10719.6</v>
      </c>
      <c r="Q17" s="250" t="s">
        <v>126</v>
      </c>
      <c r="R17" s="250"/>
      <c r="S17" s="64">
        <f>+G29</f>
        <v>-478</v>
      </c>
      <c r="T17" s="251" t="s">
        <v>66</v>
      </c>
      <c r="U17" s="251"/>
      <c r="V17" s="251"/>
      <c r="W17" s="64">
        <f>+J15</f>
        <v>0</v>
      </c>
    </row>
    <row r="18" spans="1:23">
      <c r="A18" s="1"/>
      <c r="B18" s="51">
        <f>+'Bal AL FeT'!L28</f>
        <v>5926.9430200000052</v>
      </c>
      <c r="C18" s="2"/>
      <c r="D18" s="2"/>
      <c r="E18" s="2"/>
      <c r="F18" s="50">
        <f>+'Bal AL FeT'!K33</f>
        <v>0.602155555555556</v>
      </c>
      <c r="H18" s="2"/>
      <c r="I18" s="2"/>
      <c r="J18" s="2"/>
      <c r="K18" s="2"/>
      <c r="L18" s="2"/>
      <c r="N18" s="255"/>
      <c r="O18" s="256"/>
      <c r="P18" s="63"/>
      <c r="Q18" s="250" t="s">
        <v>90</v>
      </c>
      <c r="R18" s="250"/>
      <c r="S18" s="64">
        <f>+G39</f>
        <v>528</v>
      </c>
      <c r="T18" s="251" t="s">
        <v>67</v>
      </c>
      <c r="U18" s="251"/>
      <c r="V18" s="251"/>
      <c r="W18" s="64">
        <f>+J19</f>
        <v>16230.67</v>
      </c>
    </row>
    <row r="19" spans="1:23">
      <c r="A19" s="1"/>
      <c r="B19" s="2"/>
      <c r="C19" s="2"/>
      <c r="D19" s="2"/>
      <c r="E19" s="2"/>
      <c r="F19" s="51">
        <f>+'Bal AL FeT'!L33</f>
        <v>11027.939468622229</v>
      </c>
      <c r="H19" s="52">
        <f>+'Bal AL FeT'!J34*'Bal AL FeT'!D34</f>
        <v>212</v>
      </c>
      <c r="I19" s="2"/>
      <c r="J19" s="49">
        <f>+'Bal AL FeT'!J36</f>
        <v>16230.67</v>
      </c>
      <c r="K19" s="2"/>
      <c r="L19" s="2"/>
      <c r="N19" s="71"/>
      <c r="O19" s="72"/>
      <c r="P19" s="63"/>
      <c r="Q19" s="250"/>
      <c r="R19" s="250"/>
      <c r="S19" s="64"/>
      <c r="T19" s="251" t="s">
        <v>127</v>
      </c>
      <c r="U19" s="251"/>
      <c r="V19" s="251"/>
      <c r="W19" s="64">
        <f>+H28</f>
        <v>4696</v>
      </c>
    </row>
    <row r="20" spans="1:23">
      <c r="A20" s="1"/>
      <c r="B20" s="2"/>
      <c r="H20" s="73">
        <f>+'Bal AL FeT'!L34*'Bal AL FeT'!D34</f>
        <v>127.3272</v>
      </c>
      <c r="I20" s="2"/>
      <c r="J20" s="50">
        <f>+'Bal AL FeT'!K36</f>
        <v>0.60060000000000002</v>
      </c>
      <c r="K20" s="2"/>
      <c r="L20" s="2"/>
      <c r="N20" s="71"/>
      <c r="O20" s="72"/>
      <c r="P20" s="63"/>
      <c r="Q20" s="250"/>
      <c r="R20" s="250"/>
      <c r="S20" s="64"/>
      <c r="T20" s="251" t="s">
        <v>69</v>
      </c>
      <c r="U20" s="251"/>
      <c r="V20" s="251"/>
      <c r="W20" s="64">
        <f>+H38</f>
        <v>26876.47</v>
      </c>
    </row>
    <row r="21" spans="1:23" ht="19">
      <c r="F21" s="2"/>
      <c r="G21" s="2"/>
      <c r="H21" s="2"/>
      <c r="I21" s="2"/>
      <c r="J21" s="51">
        <f>+'Bal AL FeT'!L36</f>
        <v>9748.1404020000009</v>
      </c>
      <c r="K21" s="2"/>
      <c r="L21" s="2"/>
      <c r="N21" s="252" t="s">
        <v>128</v>
      </c>
      <c r="O21" s="253"/>
      <c r="P21" s="65">
        <f>+SUM(P15:P20)</f>
        <v>79712.600000000006</v>
      </c>
      <c r="Q21" s="254" t="s">
        <v>129</v>
      </c>
      <c r="R21" s="254"/>
      <c r="S21" s="66">
        <f>+SUM(S15:S20)</f>
        <v>3129</v>
      </c>
      <c r="T21" s="254"/>
      <c r="U21" s="254"/>
      <c r="V21" s="254"/>
      <c r="W21" s="65">
        <f>+SUM(W15:W20)</f>
        <v>68682.429999999993</v>
      </c>
    </row>
    <row r="22" spans="1:23">
      <c r="L22" s="2"/>
    </row>
    <row r="23" spans="1:23" ht="19">
      <c r="C23" s="2"/>
      <c r="D23" s="2"/>
      <c r="E23" s="2"/>
      <c r="F23" s="2"/>
      <c r="G23" s="2"/>
      <c r="H23" s="2"/>
      <c r="I23" s="2"/>
      <c r="J23" s="2"/>
      <c r="K23" s="2"/>
      <c r="L23" s="2"/>
      <c r="S23" s="67" t="s">
        <v>130</v>
      </c>
      <c r="T23" s="68"/>
      <c r="U23" s="69"/>
      <c r="V23" s="68"/>
      <c r="W23" s="70">
        <f>+P21-S21-W21</f>
        <v>7901.1700000000128</v>
      </c>
    </row>
    <row r="24" spans="1:2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3">
      <c r="A25" s="1"/>
      <c r="B25" s="2"/>
      <c r="C25" s="2"/>
      <c r="D25" s="2"/>
      <c r="K25" s="2"/>
      <c r="L25" s="2"/>
    </row>
    <row r="26" spans="1:23" ht="16">
      <c r="A26" s="1"/>
      <c r="B26" s="2"/>
      <c r="C26" s="2"/>
      <c r="D26" s="2"/>
      <c r="K26" s="2"/>
      <c r="L26" s="2"/>
      <c r="N26" s="62" t="s">
        <v>131</v>
      </c>
    </row>
    <row r="27" spans="1:23" ht="19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260" t="s">
        <v>118</v>
      </c>
      <c r="O27" s="260"/>
      <c r="P27" s="261"/>
      <c r="Q27" s="262" t="s">
        <v>119</v>
      </c>
      <c r="R27" s="262"/>
      <c r="S27" s="262"/>
      <c r="T27" s="263" t="s">
        <v>120</v>
      </c>
      <c r="U27" s="263"/>
      <c r="V27" s="263"/>
      <c r="W27" s="263"/>
    </row>
    <row r="28" spans="1:23">
      <c r="A28" s="1"/>
      <c r="B28" s="2"/>
      <c r="C28" s="2"/>
      <c r="D28" s="2"/>
      <c r="E28" s="49">
        <f>+'Bal AL FeT'!J37</f>
        <v>13136</v>
      </c>
      <c r="F28" s="2"/>
      <c r="G28" s="2"/>
      <c r="H28" s="49">
        <f>+'Bal AL FeT'!J39</f>
        <v>4696</v>
      </c>
      <c r="I28" s="2"/>
      <c r="J28" s="2"/>
      <c r="K28" s="2"/>
      <c r="L28" s="2"/>
      <c r="N28" s="257" t="s">
        <v>121</v>
      </c>
      <c r="O28" s="258"/>
      <c r="P28" s="63">
        <f>+B7</f>
        <v>0</v>
      </c>
      <c r="Q28" s="259" t="s">
        <v>122</v>
      </c>
      <c r="R28" s="250"/>
      <c r="S28" s="64">
        <f>+H9</f>
        <v>1737.085296511628</v>
      </c>
      <c r="T28" s="251" t="s">
        <v>63</v>
      </c>
      <c r="U28" s="251"/>
      <c r="V28" s="251"/>
      <c r="W28" s="64">
        <f>+J7</f>
        <v>5926.9430200000052</v>
      </c>
    </row>
    <row r="29" spans="1:23">
      <c r="A29" s="2"/>
      <c r="B29" s="2"/>
      <c r="C29" s="2"/>
      <c r="D29" s="2"/>
      <c r="E29" s="50">
        <f>+'Bal AL FeT'!K37</f>
        <v>0.35781395348837203</v>
      </c>
      <c r="F29" s="2"/>
      <c r="G29" s="52">
        <f>+'Bal AL FeT'!J38*'Bal AL FeT'!D38</f>
        <v>-478</v>
      </c>
      <c r="H29" s="50">
        <f>+'Bal AL FeT'!K39</f>
        <v>0.35781395348837203</v>
      </c>
      <c r="I29" s="2"/>
      <c r="J29" s="2"/>
      <c r="K29" s="2"/>
      <c r="L29" s="2"/>
      <c r="N29" s="257" t="s">
        <v>123</v>
      </c>
      <c r="O29" s="258"/>
      <c r="P29" s="63">
        <f>+B12</f>
        <v>36929.586400000029</v>
      </c>
      <c r="Q29" s="250" t="s">
        <v>124</v>
      </c>
      <c r="R29" s="250"/>
      <c r="S29" s="64">
        <f>+H20</f>
        <v>127.3272</v>
      </c>
      <c r="T29" s="251" t="s">
        <v>65</v>
      </c>
      <c r="U29" s="251"/>
      <c r="V29" s="251"/>
      <c r="W29" s="64">
        <f>+J11</f>
        <v>12212.296720999997</v>
      </c>
    </row>
    <row r="30" spans="1:23">
      <c r="A30" s="2"/>
      <c r="C30" s="2"/>
      <c r="D30" s="2"/>
      <c r="E30" s="51">
        <f>+'Bal AL FeT'!L37</f>
        <v>4700.2440930232551</v>
      </c>
      <c r="F30" s="2"/>
      <c r="G30" s="73">
        <f>+'Bal AL FeT'!L38*'Bal AL FeT'!D38</f>
        <v>-171.03506976744183</v>
      </c>
      <c r="H30" s="51">
        <f>+'Bal AL FeT'!L39</f>
        <v>1680.294325581395</v>
      </c>
      <c r="I30" s="2"/>
      <c r="J30" s="2"/>
      <c r="K30" s="2"/>
      <c r="L30" s="2"/>
      <c r="N30" s="257" t="s">
        <v>125</v>
      </c>
      <c r="O30" s="258"/>
      <c r="P30" s="63">
        <f>+B18</f>
        <v>5926.9430200000052</v>
      </c>
      <c r="Q30" s="250" t="s">
        <v>126</v>
      </c>
      <c r="R30" s="250"/>
      <c r="S30" s="64">
        <f>+G30</f>
        <v>-171.03506976744183</v>
      </c>
      <c r="T30" s="251" t="s">
        <v>66</v>
      </c>
      <c r="U30" s="251"/>
      <c r="V30" s="251"/>
      <c r="W30" s="64">
        <f>+J17</f>
        <v>0</v>
      </c>
    </row>
    <row r="31" spans="1:23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255"/>
      <c r="O31" s="256"/>
      <c r="P31" s="63"/>
      <c r="Q31" s="250" t="s">
        <v>90</v>
      </c>
      <c r="R31" s="250"/>
      <c r="S31" s="64">
        <f>+G40</f>
        <v>217.32480000000001</v>
      </c>
      <c r="T31" s="251" t="s">
        <v>67</v>
      </c>
      <c r="U31" s="251"/>
      <c r="V31" s="251"/>
      <c r="W31" s="64">
        <f>+J21</f>
        <v>9748.1404020000009</v>
      </c>
    </row>
    <row r="32" spans="1:2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71"/>
      <c r="O32" s="72"/>
      <c r="P32" s="63"/>
      <c r="Q32" s="250"/>
      <c r="R32" s="250"/>
      <c r="S32" s="64"/>
      <c r="T32" s="251" t="s">
        <v>127</v>
      </c>
      <c r="U32" s="251"/>
      <c r="V32" s="251"/>
      <c r="W32" s="64">
        <f>+H30</f>
        <v>1680.294325581395</v>
      </c>
    </row>
    <row r="33" spans="1:23">
      <c r="A33" s="2"/>
      <c r="C33" s="2"/>
      <c r="D33" s="2"/>
      <c r="J33" s="2"/>
      <c r="K33" s="2"/>
      <c r="L33" s="2"/>
      <c r="N33" s="71"/>
      <c r="O33" s="72"/>
      <c r="P33" s="63"/>
      <c r="Q33" s="250"/>
      <c r="R33" s="250"/>
      <c r="S33" s="64"/>
      <c r="T33" s="251" t="s">
        <v>69</v>
      </c>
      <c r="U33" s="251"/>
      <c r="V33" s="251"/>
      <c r="W33" s="64">
        <f>+H40</f>
        <v>11062.355052000001</v>
      </c>
    </row>
    <row r="34" spans="1:23" ht="19">
      <c r="A34" s="2"/>
      <c r="C34" s="2"/>
      <c r="D34" s="2"/>
      <c r="J34" s="2"/>
      <c r="K34" s="2"/>
      <c r="L34" s="2"/>
      <c r="N34" s="252" t="s">
        <v>128</v>
      </c>
      <c r="O34" s="253"/>
      <c r="P34" s="65">
        <f>+SUM(P28:P33)</f>
        <v>42856.529420000035</v>
      </c>
      <c r="Q34" s="254" t="s">
        <v>129</v>
      </c>
      <c r="R34" s="254"/>
      <c r="S34" s="66">
        <f>+SUM(S28:S33)</f>
        <v>1910.7022267441862</v>
      </c>
      <c r="T34" s="254"/>
      <c r="U34" s="254"/>
      <c r="V34" s="254"/>
      <c r="W34" s="65">
        <f>+SUM(W28:W33)</f>
        <v>40630.029520581396</v>
      </c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3" ht="19">
      <c r="E36" s="2"/>
      <c r="F36" s="2"/>
      <c r="G36" s="2"/>
      <c r="I36" s="2"/>
      <c r="S36" s="67" t="s">
        <v>130</v>
      </c>
      <c r="T36" s="68"/>
      <c r="U36" s="69"/>
      <c r="V36" s="68"/>
      <c r="W36" s="70">
        <f>+P34-S34-W34</f>
        <v>315.79767267445277</v>
      </c>
    </row>
    <row r="37" spans="1:23">
      <c r="E37" s="2"/>
      <c r="F37" s="2"/>
      <c r="G37" s="2"/>
      <c r="H37" s="2"/>
      <c r="I37" s="2"/>
    </row>
    <row r="38" spans="1:23">
      <c r="E38" s="49">
        <f>+'Bal AL FeT'!J40</f>
        <v>25816</v>
      </c>
      <c r="F38" s="2"/>
      <c r="G38" s="2"/>
      <c r="H38" s="49">
        <f>+'Bal AL FeT'!J42</f>
        <v>26876.47</v>
      </c>
      <c r="I38" s="2"/>
    </row>
    <row r="39" spans="1:23">
      <c r="E39" s="50">
        <f>+'Bal AL FeT'!K40</f>
        <v>0.41160000000000002</v>
      </c>
      <c r="F39" s="2"/>
      <c r="G39" s="52">
        <f>+'Bal AL FeT'!J41*'Bal AL FeT'!D41</f>
        <v>528</v>
      </c>
      <c r="H39" s="50">
        <f>+'Bal AL FeT'!K42</f>
        <v>0.41160000000000002</v>
      </c>
      <c r="I39" s="2"/>
    </row>
    <row r="40" spans="1:23" ht="32">
      <c r="E40" s="51">
        <f>+'Bal AL FeT'!L40</f>
        <v>10625.865600000001</v>
      </c>
      <c r="F40" s="2"/>
      <c r="G40" s="73">
        <f>+'Bal AL FeT'!L41*'Bal AL FeT'!D41</f>
        <v>217.32480000000001</v>
      </c>
      <c r="H40" s="51">
        <f>+'Bal AL FeT'!L42</f>
        <v>11062.355052000001</v>
      </c>
      <c r="I40" s="2"/>
      <c r="M40" s="75"/>
      <c r="N40" s="76" t="s">
        <v>132</v>
      </c>
      <c r="O40" s="76" t="s">
        <v>133</v>
      </c>
      <c r="P40" s="76" t="str">
        <f>+'Calc Nodos'!J3</f>
        <v>Cub final Balanceada</v>
      </c>
    </row>
    <row r="41" spans="1:23">
      <c r="E41" s="2"/>
      <c r="F41" s="2"/>
      <c r="G41" s="2"/>
      <c r="H41" s="2"/>
      <c r="I41" s="2"/>
      <c r="M41" s="13" t="str">
        <f>+'Calc Nodos'!C4</f>
        <v>stock Granzas</v>
      </c>
      <c r="N41" s="74">
        <f>+'Calc Nodos'!F4</f>
        <v>2867</v>
      </c>
      <c r="O41" s="74">
        <f>+S15</f>
        <v>2867</v>
      </c>
      <c r="P41" s="74">
        <f>+'Calc Nodos'!J4</f>
        <v>2867</v>
      </c>
    </row>
    <row r="42" spans="1:23">
      <c r="M42" s="13" t="str">
        <f>+'Calc Nodos'!C5</f>
        <v>Stock Finos</v>
      </c>
      <c r="N42" s="74">
        <f>+'Calc Nodos'!F5</f>
        <v>212</v>
      </c>
      <c r="O42" s="74">
        <f>+S16</f>
        <v>212</v>
      </c>
      <c r="P42" s="74">
        <f>+'Calc Nodos'!J5</f>
        <v>438</v>
      </c>
    </row>
    <row r="43" spans="1:23">
      <c r="M43" s="13" t="str">
        <f>+'Calc Nodos'!C6</f>
        <v>Stock Mixto 1</v>
      </c>
      <c r="N43" s="74">
        <f>+'Calc Nodos'!F6</f>
        <v>-478</v>
      </c>
      <c r="O43" s="74">
        <f>+S17</f>
        <v>-478</v>
      </c>
      <c r="P43" s="74">
        <f>+'Calc Nodos'!J6</f>
        <v>1078</v>
      </c>
    </row>
    <row r="44" spans="1:23">
      <c r="M44" s="13" t="str">
        <f>+'Calc Nodos'!C7</f>
        <v>Stock Mixto 2</v>
      </c>
      <c r="N44" s="74">
        <f>+'Calc Nodos'!F7</f>
        <v>528</v>
      </c>
      <c r="O44" s="74">
        <f>+S18</f>
        <v>528</v>
      </c>
      <c r="P44" s="74">
        <f>+'Calc Nodos'!J7</f>
        <v>910</v>
      </c>
    </row>
    <row r="45" spans="1:23">
      <c r="M45" s="13"/>
      <c r="N45" s="13"/>
    </row>
    <row r="46" spans="1:23">
      <c r="M46" s="13"/>
      <c r="N46" s="13"/>
    </row>
    <row r="47" spans="1:23">
      <c r="M47" s="13"/>
      <c r="N47" s="13"/>
    </row>
    <row r="48" spans="1:23">
      <c r="M48" s="13"/>
      <c r="N48" s="13"/>
    </row>
  </sheetData>
  <mergeCells count="44">
    <mergeCell ref="N14:P14"/>
    <mergeCell ref="Q14:S14"/>
    <mergeCell ref="T14:W14"/>
    <mergeCell ref="N15:O15"/>
    <mergeCell ref="Q15:R15"/>
    <mergeCell ref="T15:V15"/>
    <mergeCell ref="N18:O18"/>
    <mergeCell ref="Q18:R18"/>
    <mergeCell ref="T18:V18"/>
    <mergeCell ref="N21:O21"/>
    <mergeCell ref="Q21:R21"/>
    <mergeCell ref="T21:V21"/>
    <mergeCell ref="T19:V19"/>
    <mergeCell ref="Q19:R19"/>
    <mergeCell ref="Q20:R20"/>
    <mergeCell ref="T20:V20"/>
    <mergeCell ref="N16:O16"/>
    <mergeCell ref="Q16:R16"/>
    <mergeCell ref="T16:V16"/>
    <mergeCell ref="N17:O17"/>
    <mergeCell ref="Q17:R17"/>
    <mergeCell ref="T17:V17"/>
    <mergeCell ref="N28:O28"/>
    <mergeCell ref="Q28:R28"/>
    <mergeCell ref="T28:V28"/>
    <mergeCell ref="N27:P27"/>
    <mergeCell ref="Q27:S27"/>
    <mergeCell ref="T27:W27"/>
    <mergeCell ref="N30:O30"/>
    <mergeCell ref="Q30:R30"/>
    <mergeCell ref="T30:V30"/>
    <mergeCell ref="N29:O29"/>
    <mergeCell ref="Q29:R29"/>
    <mergeCell ref="T29:V29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63D490C-7F1F-4DFF-9AFF-6E4E0BEA95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6" id="{E8ADE22F-D704-4276-B1B9-0A9113BB0E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5" id="{2C1A3CD2-2F4B-4283-82B1-D838C9D8F3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H19</xm:sqref>
        </x14:conditionalFormatting>
        <x14:conditionalFormatting xmlns:xm="http://schemas.microsoft.com/office/excel/2006/main">
          <x14:cfRule type="iconSet" priority="4" id="{F403224B-690F-45D7-BE1A-6B1ED78DF4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3" id="{EAA241AB-297B-4313-94CC-775322ABD4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S21</xm:sqref>
        </x14:conditionalFormatting>
        <x14:conditionalFormatting xmlns:xm="http://schemas.microsoft.com/office/excel/2006/main">
          <x14:cfRule type="iconSet" priority="1" id="{06A88BC4-8583-4B2A-B4AF-E2F9A25B318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C59CB2EA37F44288B1E4A375C8655B" ma:contentTypeVersion="12" ma:contentTypeDescription="Crear nuevo documento." ma:contentTypeScope="" ma:versionID="1c477acfc441c3a8f5e6ba7b5e38ab39">
  <xsd:schema xmlns:xsd="http://www.w3.org/2001/XMLSchema" xmlns:xs="http://www.w3.org/2001/XMLSchema" xmlns:p="http://schemas.microsoft.com/office/2006/metadata/properties" xmlns:ns3="d8dec20f-d44f-4b11-81c0-2dfdff527b02" xmlns:ns4="ff8f380f-40bd-485b-ae59-83a9d7d51dc9" targetNamespace="http://schemas.microsoft.com/office/2006/metadata/properties" ma:root="true" ma:fieldsID="e5a6752d09286c449ed6872076b046ed" ns3:_="" ns4:_="">
    <xsd:import namespace="d8dec20f-d44f-4b11-81c0-2dfdff527b02"/>
    <xsd:import namespace="ff8f380f-40bd-485b-ae59-83a9d7d51d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ec20f-d44f-4b11-81c0-2dfdff52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f380f-40bd-485b-ae59-83a9d7d51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159026-CFE6-4DE4-82F3-65C75C6030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3FAF5-1C97-40C0-B03F-723662893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dec20f-d44f-4b11-81c0-2dfdff527b02"/>
    <ds:schemaRef ds:uri="ff8f380f-40bd-485b-ae59-83a9d7d51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A76216-7701-4BF1-8C4F-A04CE7172A4A}">
  <ds:schemaRefs>
    <ds:schemaRef ds:uri="ff8f380f-40bd-485b-ae59-83a9d7d51dc9"/>
    <ds:schemaRef ds:uri="http://schemas.microsoft.com/office/2006/metadata/properties"/>
    <ds:schemaRef ds:uri="d8dec20f-d44f-4b11-81c0-2dfdff527b02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Flujos</vt:lpstr>
      <vt:lpstr>Reporte </vt:lpstr>
      <vt:lpstr>Datos Extra</vt:lpstr>
      <vt:lpstr>Info Planta</vt:lpstr>
      <vt:lpstr>Calc Nodos</vt:lpstr>
      <vt:lpstr>Bal AL FeT</vt:lpstr>
      <vt:lpstr>Bal AL FeMag</vt:lpstr>
      <vt:lpstr>Utilidad</vt:lpstr>
      <vt:lpstr>Diag Bal AL FeT</vt:lpstr>
      <vt:lpstr>Diag ML FeT</vt:lpstr>
      <vt:lpstr>Bal ML FeT</vt:lpstr>
      <vt:lpstr>Bal ML FeMag</vt:lpstr>
      <vt:lpstr>'Reporte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cp:lastPrinted>2022-11-02T18:50:58Z</cp:lastPrinted>
  <dcterms:created xsi:type="dcterms:W3CDTF">2021-11-09T13:13:40Z</dcterms:created>
  <dcterms:modified xsi:type="dcterms:W3CDTF">2023-01-11T20:11:23Z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