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56DCB184-9312-3A4B-964D-C761078B8FCC}" xr6:coauthVersionLast="45" xr6:coauthVersionMax="45" xr10:uidLastSave="{00000000-0000-0000-0000-000000000000}"/>
  <bookViews>
    <workbookView xWindow="780" yWindow="20" windowWidth="28020" windowHeight="18000" activeTab="2" xr2:uid="{00000000-000D-0000-FFFF-FFFF00000000}"/>
  </bookViews>
  <sheets>
    <sheet name="Utilidad" sheetId="10" r:id="rId1"/>
    <sheet name="Diagrama Fe T" sheetId="5" r:id="rId2"/>
    <sheet name="Flujos" sheetId="13" r:id="rId3"/>
    <sheet name="Datos Extra" sheetId="16" r:id="rId4"/>
    <sheet name="Reporte" sheetId="15" r:id="rId5"/>
  </sheets>
  <externalReferences>
    <externalReference r:id="rId6"/>
  </externalReferences>
  <definedNames>
    <definedName name="_xlnm.Print_Area" localSheetId="4">Reporte!$A$1:$O$36</definedName>
    <definedName name="solver_adj" localSheetId="0" hidden="1">Utilidad!$O$68:$P$120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Utilidad!$AC$68:$AC$89</definedName>
    <definedName name="solver_lhs10" localSheetId="0" hidden="1">Utilidad!$W$113</definedName>
    <definedName name="solver_lhs11" localSheetId="0" hidden="1">Utilidad!$W$95</definedName>
    <definedName name="solver_lhs12" localSheetId="0" hidden="1">Utilidad!$AA$63</definedName>
    <definedName name="solver_lhs13" localSheetId="0" hidden="1">Utilidad!$AA$64</definedName>
    <definedName name="solver_lhs14" localSheetId="0" hidden="1">Utilidad!$AA$65</definedName>
    <definedName name="solver_lhs15" localSheetId="0" hidden="1">Utilidad!$AA$66</definedName>
    <definedName name="solver_lhs16" localSheetId="0" hidden="1">Utilidad!$AA$67</definedName>
    <definedName name="solver_lhs17" localSheetId="0" hidden="1">Utilidad!$AA$68</definedName>
    <definedName name="solver_lhs18" localSheetId="0" hidden="1">Utilidad!$AA$69</definedName>
    <definedName name="solver_lhs19" localSheetId="0" hidden="1">Utilidad!$AB$52</definedName>
    <definedName name="solver_lhs2" localSheetId="0" hidden="1">Utilidad!$AD$68:$AD$89</definedName>
    <definedName name="solver_lhs20" localSheetId="0" hidden="1">Utilidad!$AB$53</definedName>
    <definedName name="solver_lhs21" localSheetId="0" hidden="1">Utilidad!$AB$54</definedName>
    <definedName name="solver_lhs22" localSheetId="0" hidden="1">Utilidad!$AB$55</definedName>
    <definedName name="solver_lhs23" localSheetId="0" hidden="1">Utilidad!$AB$56</definedName>
    <definedName name="solver_lhs24" localSheetId="0" hidden="1">Utilidad!$AB$57</definedName>
    <definedName name="solver_lhs25" localSheetId="0" hidden="1">Utilidad!$AB$58</definedName>
    <definedName name="solver_lhs26" localSheetId="0" hidden="1">Utilidad!$AB$59</definedName>
    <definedName name="solver_lhs27" localSheetId="0" hidden="1">Utilidad!$AB$60</definedName>
    <definedName name="solver_lhs28" localSheetId="0" hidden="1">Utilidad!$AB$61</definedName>
    <definedName name="solver_lhs29" localSheetId="0" hidden="1">Utilidad!$AB$62</definedName>
    <definedName name="solver_lhs3" localSheetId="0" hidden="1">Utilidad!$U$113</definedName>
    <definedName name="solver_lhs30" localSheetId="0" hidden="1">Utilidad!$AB$63</definedName>
    <definedName name="solver_lhs31" localSheetId="0" hidden="1">Utilidad!$AB$64</definedName>
    <definedName name="solver_lhs32" localSheetId="0" hidden="1">Utilidad!$AB$65</definedName>
    <definedName name="solver_lhs33" localSheetId="0" hidden="1">Utilidad!$AB$66</definedName>
    <definedName name="solver_lhs34" localSheetId="0" hidden="1">Utilidad!$AB$67</definedName>
    <definedName name="solver_lhs35" localSheetId="0" hidden="1">Utilidad!$AB$68</definedName>
    <definedName name="solver_lhs36" localSheetId="0" hidden="1">Utilidad!$AB$69</definedName>
    <definedName name="solver_lhs37" localSheetId="0" hidden="1">Utilidad!$U$52</definedName>
    <definedName name="solver_lhs38" localSheetId="0" hidden="1">Utilidad!$U$54</definedName>
    <definedName name="solver_lhs39" localSheetId="0" hidden="1">Utilidad!$U$55</definedName>
    <definedName name="solver_lhs4" localSheetId="0" hidden="1">Utilidad!$U$120</definedName>
    <definedName name="solver_lhs40" localSheetId="0" hidden="1">Utilidad!$U$58</definedName>
    <definedName name="solver_lhs41" localSheetId="0" hidden="1">Utilidad!$U$60</definedName>
    <definedName name="solver_lhs42" localSheetId="0" hidden="1">Utilidad!$U$61</definedName>
    <definedName name="solver_lhs43" localSheetId="0" hidden="1">Utilidad!$U$64</definedName>
    <definedName name="solver_lhs44" localSheetId="0" hidden="1">Utilidad!$U$67</definedName>
    <definedName name="solver_lhs45" localSheetId="0" hidden="1">Utilidad!$U$70</definedName>
    <definedName name="solver_lhs46" localSheetId="0" hidden="1">Utilidad!$U$73</definedName>
    <definedName name="solver_lhs47" localSheetId="0" hidden="1">Utilidad!$U$79</definedName>
    <definedName name="solver_lhs48" localSheetId="0" hidden="1">Utilidad!$U$95</definedName>
    <definedName name="solver_lhs49" localSheetId="0" hidden="1">Utilidad!$W$79</definedName>
    <definedName name="solver_lhs5" localSheetId="0" hidden="1">Utilidad!$U$68:$U$95</definedName>
    <definedName name="solver_lhs50" localSheetId="0" hidden="1">Utilidad!$W$95</definedName>
    <definedName name="solver_lhs6" localSheetId="0" hidden="1">Utilidad!$W$102:$W$111</definedName>
    <definedName name="solver_lhs7" localSheetId="0" hidden="1">Utilidad!$W$113</definedName>
    <definedName name="solver_lhs8" localSheetId="0" hidden="1">Utilidad!$W$95</definedName>
    <definedName name="solver_lhs9" localSheetId="0" hidden="1">Utilidad!$U$68:$U$95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8</definedName>
    <definedName name="solver_nwt" localSheetId="0" hidden="1">1</definedName>
    <definedName name="solver_opt" localSheetId="1" hidden="1">'Diagrama Fe T'!$U$57</definedName>
    <definedName name="solver_opt" localSheetId="0" hidden="1">Utilidad!$AC$93</definedName>
    <definedName name="solver_pre" localSheetId="0" hidden="1">0.00001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1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1</definedName>
    <definedName name="solver_rel5" localSheetId="0" hidden="1">1</definedName>
    <definedName name="solver_rel50" localSheetId="0" hidden="1">2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Utilidad!$AE$68:$AE$89</definedName>
    <definedName name="solver_rhs10" localSheetId="0" hidden="1">Utilidad!$X$113</definedName>
    <definedName name="solver_rhs11" localSheetId="0" hidden="1">Utilidad!$X$95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Utilidad!$AE$68:$AE$89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Utilidad!$V$113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Utilidad!$V$52</definedName>
    <definedName name="solver_rhs38" localSheetId="0" hidden="1">Utilidad!$V$54</definedName>
    <definedName name="solver_rhs39" localSheetId="0" hidden="1">Utilidad!$V$55</definedName>
    <definedName name="solver_rhs4" localSheetId="0" hidden="1">Utilidad!$V$120</definedName>
    <definedName name="solver_rhs40" localSheetId="0" hidden="1">Utilidad!$V$58</definedName>
    <definedName name="solver_rhs41" localSheetId="0" hidden="1">Utilidad!$V$60</definedName>
    <definedName name="solver_rhs42" localSheetId="0" hidden="1">Utilidad!$V$61</definedName>
    <definedName name="solver_rhs43" localSheetId="0" hidden="1">Utilidad!$V$64</definedName>
    <definedName name="solver_rhs44" localSheetId="0" hidden="1">Utilidad!$V$67</definedName>
    <definedName name="solver_rhs45" localSheetId="0" hidden="1">Utilidad!$V$70</definedName>
    <definedName name="solver_rhs46" localSheetId="0" hidden="1">Utilidad!$V$73</definedName>
    <definedName name="solver_rhs47" localSheetId="0" hidden="1">Utilidad!$V$79</definedName>
    <definedName name="solver_rhs48" localSheetId="0" hidden="1">Utilidad!$V$95</definedName>
    <definedName name="solver_rhs49" localSheetId="0" hidden="1">Utilidad!$X$79</definedName>
    <definedName name="solver_rhs5" localSheetId="0" hidden="1">Utilidad!$V$68:$V$95</definedName>
    <definedName name="solver_rhs50" localSheetId="0" hidden="1">Utilidad!$X$95</definedName>
    <definedName name="solver_rhs6" localSheetId="0" hidden="1">Utilidad!$X$102:$X$111</definedName>
    <definedName name="solver_rhs7" localSheetId="0" hidden="1">Utilidad!$X$113</definedName>
    <definedName name="solver_rhs8" localSheetId="0" hidden="1">Utilidad!$X$95</definedName>
    <definedName name="solver_rhs9" localSheetId="0" hidden="1">Utilidad!$V$68:$V$95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3" l="1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4" i="13"/>
  <c r="I4" i="13"/>
  <c r="J4" i="13"/>
  <c r="I5" i="13"/>
  <c r="J5" i="13"/>
  <c r="I6" i="13"/>
  <c r="J6" i="13"/>
  <c r="I7" i="13"/>
  <c r="J7" i="13"/>
  <c r="I8" i="13"/>
  <c r="J8" i="13"/>
  <c r="I9" i="13"/>
  <c r="J9" i="13"/>
  <c r="I10" i="13"/>
  <c r="J10" i="13"/>
  <c r="I11" i="13"/>
  <c r="J11" i="13"/>
  <c r="I12" i="13"/>
  <c r="J12" i="13"/>
  <c r="I13" i="13"/>
  <c r="J13" i="13"/>
  <c r="I14" i="13"/>
  <c r="J14" i="13"/>
  <c r="I15" i="13"/>
  <c r="J15" i="13"/>
  <c r="I16" i="13"/>
  <c r="J16" i="13"/>
  <c r="I17" i="13"/>
  <c r="J17" i="13"/>
  <c r="I18" i="13"/>
  <c r="J18" i="13"/>
  <c r="I19" i="13"/>
  <c r="J19" i="13"/>
  <c r="I20" i="13"/>
  <c r="J20" i="13"/>
  <c r="I21" i="13"/>
  <c r="J21" i="13"/>
  <c r="I22" i="13"/>
  <c r="J22" i="13"/>
  <c r="I23" i="13"/>
  <c r="J23" i="13"/>
  <c r="I24" i="13"/>
  <c r="J24" i="13"/>
  <c r="I25" i="13"/>
  <c r="J25" i="13"/>
  <c r="I26" i="13"/>
  <c r="J26" i="13"/>
  <c r="I27" i="13"/>
  <c r="J27" i="13"/>
  <c r="I28" i="13"/>
  <c r="J28" i="13"/>
  <c r="I29" i="13"/>
  <c r="J29" i="13"/>
  <c r="I30" i="13"/>
  <c r="J30" i="13"/>
  <c r="I31" i="13"/>
  <c r="J31" i="13"/>
  <c r="I32" i="13"/>
  <c r="J32" i="13"/>
  <c r="I33" i="13"/>
  <c r="J33" i="13"/>
  <c r="I34" i="13"/>
  <c r="J34" i="13"/>
  <c r="I35" i="13"/>
  <c r="J35" i="13"/>
  <c r="I36" i="13"/>
  <c r="J36" i="13"/>
  <c r="I37" i="13"/>
  <c r="J37" i="13"/>
  <c r="I38" i="13"/>
  <c r="J38" i="13"/>
  <c r="I39" i="13"/>
  <c r="J39" i="13"/>
  <c r="I40" i="13"/>
  <c r="J40" i="13"/>
  <c r="I41" i="13"/>
  <c r="J41" i="13"/>
  <c r="I42" i="13"/>
  <c r="J42" i="13"/>
  <c r="I43" i="13"/>
  <c r="J43" i="13"/>
  <c r="I44" i="13"/>
  <c r="J44" i="13"/>
  <c r="I45" i="13"/>
  <c r="J45" i="13"/>
  <c r="I46" i="13"/>
  <c r="J46" i="13"/>
  <c r="I47" i="13"/>
  <c r="J47" i="13"/>
  <c r="I48" i="13"/>
  <c r="J48" i="13"/>
  <c r="I50" i="13"/>
  <c r="J50" i="13"/>
  <c r="I51" i="13"/>
  <c r="J51" i="13"/>
  <c r="I52" i="13"/>
  <c r="J52" i="13"/>
  <c r="I53" i="13"/>
  <c r="J53" i="13"/>
  <c r="J49" i="13"/>
  <c r="I49" i="13"/>
  <c r="D50" i="13"/>
  <c r="E50" i="13"/>
  <c r="D51" i="13"/>
  <c r="E51" i="13"/>
  <c r="D52" i="13"/>
  <c r="E52" i="13"/>
  <c r="D53" i="13"/>
  <c r="E5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N4" i="13" l="1"/>
  <c r="M4" i="13"/>
  <c r="R4" i="13" l="1"/>
  <c r="M5" i="13"/>
  <c r="N5" i="13"/>
  <c r="M6" i="13"/>
  <c r="N6" i="13"/>
  <c r="M7" i="13"/>
  <c r="N7" i="13"/>
  <c r="M8" i="13"/>
  <c r="N8" i="13"/>
  <c r="M9" i="13"/>
  <c r="N9" i="13"/>
  <c r="M10" i="13"/>
  <c r="N10" i="13"/>
  <c r="M11" i="13"/>
  <c r="N11" i="13"/>
  <c r="M12" i="13"/>
  <c r="N12" i="13"/>
  <c r="M13" i="13"/>
  <c r="N13" i="13"/>
  <c r="M14" i="13"/>
  <c r="N14" i="13"/>
  <c r="M15" i="13"/>
  <c r="N15" i="13"/>
  <c r="M16" i="13"/>
  <c r="N16" i="13"/>
  <c r="M17" i="13"/>
  <c r="N17" i="13"/>
  <c r="M18" i="13"/>
  <c r="N18" i="13"/>
  <c r="M19" i="13"/>
  <c r="N19" i="13"/>
  <c r="M20" i="13"/>
  <c r="N20" i="13"/>
  <c r="M21" i="13"/>
  <c r="N21" i="13"/>
  <c r="M22" i="13"/>
  <c r="N22" i="13"/>
  <c r="M23" i="13"/>
  <c r="N23" i="13"/>
  <c r="M24" i="13"/>
  <c r="N24" i="13"/>
  <c r="M25" i="13"/>
  <c r="N25" i="13"/>
  <c r="M26" i="13"/>
  <c r="N26" i="13"/>
  <c r="M27" i="13"/>
  <c r="N27" i="13"/>
  <c r="M28" i="13"/>
  <c r="N28" i="13"/>
  <c r="M29" i="13"/>
  <c r="N29" i="13"/>
  <c r="M30" i="13"/>
  <c r="N30" i="13"/>
  <c r="M31" i="13"/>
  <c r="N31" i="13"/>
  <c r="M32" i="13"/>
  <c r="N32" i="13"/>
  <c r="M33" i="13"/>
  <c r="N33" i="13"/>
  <c r="M34" i="13"/>
  <c r="N34" i="13"/>
  <c r="M35" i="13"/>
  <c r="N35" i="13"/>
  <c r="M36" i="13"/>
  <c r="N36" i="13"/>
  <c r="M37" i="13"/>
  <c r="N37" i="13"/>
  <c r="M38" i="13"/>
  <c r="N38" i="13"/>
  <c r="M39" i="13"/>
  <c r="N39" i="13"/>
  <c r="M40" i="13"/>
  <c r="N40" i="13"/>
  <c r="M41" i="13"/>
  <c r="N41" i="13"/>
  <c r="M42" i="13"/>
  <c r="N42" i="13"/>
  <c r="M43" i="13"/>
  <c r="N43" i="13"/>
  <c r="M44" i="13"/>
  <c r="N44" i="13"/>
  <c r="M45" i="13"/>
  <c r="N45" i="13"/>
  <c r="M46" i="13"/>
  <c r="N46" i="13"/>
  <c r="M47" i="13"/>
  <c r="N47" i="13"/>
  <c r="M48" i="13"/>
  <c r="N48" i="13"/>
  <c r="M49" i="13"/>
  <c r="N49" i="13"/>
  <c r="M50" i="13"/>
  <c r="N50" i="13"/>
  <c r="M51" i="13"/>
  <c r="N51" i="13"/>
  <c r="M52" i="13"/>
  <c r="N52" i="13"/>
  <c r="M53" i="13"/>
  <c r="N53" i="13"/>
  <c r="R48" i="13" l="1"/>
  <c r="R44" i="13"/>
  <c r="R40" i="13"/>
  <c r="R36" i="13"/>
  <c r="R32" i="13"/>
  <c r="R28" i="13"/>
  <c r="R24" i="13"/>
  <c r="R20" i="13"/>
  <c r="R16" i="13"/>
  <c r="R12" i="13"/>
  <c r="R8" i="13"/>
  <c r="R52" i="13"/>
  <c r="R53" i="13"/>
  <c r="R50" i="13"/>
  <c r="R51" i="13"/>
  <c r="R49" i="13"/>
  <c r="R47" i="13"/>
  <c r="R43" i="13"/>
  <c r="R39" i="13"/>
  <c r="R35" i="13"/>
  <c r="R31" i="13"/>
  <c r="R27" i="13"/>
  <c r="R23" i="13"/>
  <c r="R19" i="13"/>
  <c r="R15" i="13"/>
  <c r="R11" i="13"/>
  <c r="R7" i="13"/>
  <c r="R45" i="13"/>
  <c r="R41" i="13"/>
  <c r="R37" i="13"/>
  <c r="R33" i="13"/>
  <c r="R29" i="13"/>
  <c r="R25" i="13"/>
  <c r="R21" i="13"/>
  <c r="R17" i="13"/>
  <c r="R13" i="13"/>
  <c r="R9" i="13"/>
  <c r="R5" i="13"/>
  <c r="R46" i="13"/>
  <c r="R42" i="13"/>
  <c r="R38" i="13"/>
  <c r="R34" i="13"/>
  <c r="R30" i="13"/>
  <c r="R26" i="13"/>
  <c r="R22" i="13"/>
  <c r="R18" i="13"/>
  <c r="R14" i="13"/>
  <c r="R10" i="13"/>
  <c r="R6" i="13"/>
  <c r="P69" i="10"/>
  <c r="Q69" i="10"/>
  <c r="P70" i="10"/>
  <c r="Q70" i="10"/>
  <c r="P71" i="10"/>
  <c r="Q71" i="10"/>
  <c r="P72" i="10"/>
  <c r="Q72" i="10"/>
  <c r="P73" i="10"/>
  <c r="Q73" i="10"/>
  <c r="P74" i="10"/>
  <c r="Q74" i="10"/>
  <c r="P75" i="10"/>
  <c r="Q75" i="10"/>
  <c r="P76" i="10"/>
  <c r="Q76" i="10"/>
  <c r="P77" i="10"/>
  <c r="Q77" i="10"/>
  <c r="P78" i="10"/>
  <c r="Q78" i="10"/>
  <c r="P79" i="10"/>
  <c r="Q79" i="10"/>
  <c r="P80" i="10"/>
  <c r="Q80" i="10"/>
  <c r="P81" i="10"/>
  <c r="Q81" i="10"/>
  <c r="P82" i="10"/>
  <c r="Q82" i="10"/>
  <c r="P83" i="10"/>
  <c r="Q83" i="10"/>
  <c r="P84" i="10"/>
  <c r="Q84" i="10"/>
  <c r="P85" i="10"/>
  <c r="Q85" i="10"/>
  <c r="P86" i="10"/>
  <c r="Q86" i="10"/>
  <c r="P87" i="10"/>
  <c r="Q87" i="10"/>
  <c r="P88" i="10"/>
  <c r="Q88" i="10"/>
  <c r="P89" i="10"/>
  <c r="Q89" i="10"/>
  <c r="P90" i="10"/>
  <c r="Q90" i="10"/>
  <c r="P91" i="10"/>
  <c r="Q91" i="10"/>
  <c r="P92" i="10"/>
  <c r="Q92" i="10"/>
  <c r="P93" i="10"/>
  <c r="Q93" i="10"/>
  <c r="P94" i="10"/>
  <c r="Q94" i="10"/>
  <c r="P95" i="10"/>
  <c r="Q95" i="10"/>
  <c r="P96" i="10"/>
  <c r="Q96" i="10"/>
  <c r="P97" i="10"/>
  <c r="Q97" i="10"/>
  <c r="P98" i="10"/>
  <c r="Q98" i="10"/>
  <c r="P99" i="10"/>
  <c r="Q99" i="10"/>
  <c r="P100" i="10"/>
  <c r="Q100" i="10"/>
  <c r="P101" i="10"/>
  <c r="Q101" i="10"/>
  <c r="P102" i="10"/>
  <c r="Q102" i="10"/>
  <c r="P103" i="10"/>
  <c r="Q103" i="10"/>
  <c r="P104" i="10"/>
  <c r="Q104" i="10"/>
  <c r="P105" i="10"/>
  <c r="Q105" i="10"/>
  <c r="P106" i="10"/>
  <c r="Q106" i="10"/>
  <c r="P107" i="10"/>
  <c r="Q107" i="10"/>
  <c r="P108" i="10"/>
  <c r="Q108" i="10"/>
  <c r="P109" i="10"/>
  <c r="Q109" i="10"/>
  <c r="P110" i="10"/>
  <c r="Q110" i="10"/>
  <c r="P111" i="10"/>
  <c r="Q111" i="10"/>
  <c r="P112" i="10"/>
  <c r="Q112" i="10"/>
  <c r="P113" i="10"/>
  <c r="Q113" i="10"/>
  <c r="P114" i="10"/>
  <c r="Q114" i="10"/>
  <c r="P115" i="10"/>
  <c r="Q115" i="10"/>
  <c r="P116" i="10"/>
  <c r="Q116" i="10"/>
  <c r="P117" i="10"/>
  <c r="Q117" i="10"/>
  <c r="Q68" i="10"/>
  <c r="P68" i="10"/>
  <c r="O69" i="10" l="1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68" i="10" l="1"/>
  <c r="G105" i="10" l="1"/>
  <c r="C44" i="13" l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C5" i="13"/>
  <c r="L5" i="13" s="1"/>
  <c r="C6" i="13"/>
  <c r="L6" i="13" s="1"/>
  <c r="C7" i="13"/>
  <c r="C8" i="13"/>
  <c r="L8" i="13" s="1"/>
  <c r="C9" i="13"/>
  <c r="L9" i="13" s="1"/>
  <c r="C10" i="13"/>
  <c r="L10" i="13" s="1"/>
  <c r="C11" i="13"/>
  <c r="C12" i="13"/>
  <c r="L12" i="13" s="1"/>
  <c r="C13" i="13"/>
  <c r="L13" i="13" s="1"/>
  <c r="C14" i="13"/>
  <c r="L14" i="13" s="1"/>
  <c r="C15" i="13"/>
  <c r="L15" i="13" s="1"/>
  <c r="C16" i="13"/>
  <c r="L16" i="13" s="1"/>
  <c r="C17" i="13"/>
  <c r="L17" i="13" s="1"/>
  <c r="C18" i="13"/>
  <c r="L18" i="13" s="1"/>
  <c r="C19" i="13"/>
  <c r="L19" i="13" s="1"/>
  <c r="C20" i="13"/>
  <c r="L20" i="13" s="1"/>
  <c r="C21" i="13"/>
  <c r="L21" i="13" s="1"/>
  <c r="C22" i="13"/>
  <c r="L22" i="13" s="1"/>
  <c r="C23" i="13"/>
  <c r="L23" i="13" s="1"/>
  <c r="C24" i="13"/>
  <c r="L24" i="13" s="1"/>
  <c r="C25" i="13"/>
  <c r="L25" i="13" s="1"/>
  <c r="C26" i="13"/>
  <c r="L26" i="13" s="1"/>
  <c r="C27" i="13"/>
  <c r="L27" i="13" s="1"/>
  <c r="C28" i="13"/>
  <c r="L28" i="13" s="1"/>
  <c r="C29" i="13"/>
  <c r="L29" i="13" s="1"/>
  <c r="C30" i="13"/>
  <c r="L30" i="13" s="1"/>
  <c r="C31" i="13"/>
  <c r="L31" i="13" s="1"/>
  <c r="C32" i="13"/>
  <c r="L32" i="13" s="1"/>
  <c r="C33" i="13"/>
  <c r="L33" i="13" s="1"/>
  <c r="C34" i="13"/>
  <c r="L34" i="13" s="1"/>
  <c r="C35" i="13"/>
  <c r="L35" i="13" s="1"/>
  <c r="C36" i="13"/>
  <c r="L36" i="13" s="1"/>
  <c r="C37" i="13"/>
  <c r="L37" i="13" s="1"/>
  <c r="C38" i="13"/>
  <c r="L38" i="13" s="1"/>
  <c r="C39" i="13"/>
  <c r="L39" i="13" s="1"/>
  <c r="C40" i="13"/>
  <c r="L40" i="13" s="1"/>
  <c r="C41" i="13"/>
  <c r="L41" i="13" s="1"/>
  <c r="C42" i="13"/>
  <c r="L42" i="13" s="1"/>
  <c r="C43" i="13"/>
  <c r="L43" i="13" s="1"/>
  <c r="C45" i="13"/>
  <c r="L45" i="13" s="1"/>
  <c r="C46" i="13"/>
  <c r="L46" i="13" s="1"/>
  <c r="C47" i="13"/>
  <c r="L47" i="13" s="1"/>
  <c r="C48" i="13"/>
  <c r="L48" i="13" s="1"/>
  <c r="C49" i="13"/>
  <c r="L49" i="13" s="1"/>
  <c r="C50" i="13"/>
  <c r="L50" i="13" s="1"/>
  <c r="C51" i="13"/>
  <c r="L51" i="13" s="1"/>
  <c r="C52" i="13"/>
  <c r="L52" i="13" s="1"/>
  <c r="C53" i="13"/>
  <c r="L53" i="13" s="1"/>
  <c r="H4" i="13"/>
  <c r="P53" i="13" l="1"/>
  <c r="Q53" i="13"/>
  <c r="P45" i="13"/>
  <c r="Q45" i="13"/>
  <c r="P36" i="13"/>
  <c r="Q36" i="13"/>
  <c r="P24" i="13"/>
  <c r="Q24" i="13"/>
  <c r="P52" i="13"/>
  <c r="Q52" i="13"/>
  <c r="P43" i="13"/>
  <c r="Q43" i="13"/>
  <c r="Q39" i="13"/>
  <c r="P39" i="13"/>
  <c r="P51" i="13"/>
  <c r="Q51" i="13"/>
  <c r="P47" i="13"/>
  <c r="Q47" i="13"/>
  <c r="P42" i="13"/>
  <c r="Q42" i="13"/>
  <c r="P38" i="13"/>
  <c r="Q38" i="13"/>
  <c r="P34" i="13"/>
  <c r="Q34" i="13"/>
  <c r="P30" i="13"/>
  <c r="Q30" i="13"/>
  <c r="P26" i="13"/>
  <c r="Q26" i="13"/>
  <c r="P22" i="13"/>
  <c r="Q22" i="13"/>
  <c r="P18" i="13"/>
  <c r="Q18" i="13"/>
  <c r="P14" i="13"/>
  <c r="Q14" i="13"/>
  <c r="P10" i="13"/>
  <c r="Q10" i="13"/>
  <c r="P6" i="13"/>
  <c r="Q6" i="13"/>
  <c r="P50" i="13"/>
  <c r="Q50" i="13"/>
  <c r="P46" i="13"/>
  <c r="Q46" i="13"/>
  <c r="P41" i="13"/>
  <c r="Q41" i="13"/>
  <c r="P37" i="13"/>
  <c r="Q37" i="13"/>
  <c r="P33" i="13"/>
  <c r="Q33" i="13"/>
  <c r="P29" i="13"/>
  <c r="Q29" i="13"/>
  <c r="P25" i="13"/>
  <c r="Q25" i="13"/>
  <c r="P21" i="13"/>
  <c r="Q21" i="13"/>
  <c r="P17" i="13"/>
  <c r="Q17" i="13"/>
  <c r="P13" i="13"/>
  <c r="Q13" i="13"/>
  <c r="P9" i="13"/>
  <c r="Q9" i="13"/>
  <c r="P5" i="13"/>
  <c r="Q5" i="13"/>
  <c r="P20" i="13"/>
  <c r="Q20" i="13"/>
  <c r="P16" i="13"/>
  <c r="Q16" i="13"/>
  <c r="P12" i="13"/>
  <c r="Q12" i="13"/>
  <c r="P8" i="13"/>
  <c r="Q8" i="13"/>
  <c r="P49" i="13"/>
  <c r="Q49" i="13"/>
  <c r="P40" i="13"/>
  <c r="Q40" i="13"/>
  <c r="P32" i="13"/>
  <c r="Q32" i="13"/>
  <c r="P28" i="13"/>
  <c r="Q28" i="13"/>
  <c r="P48" i="13"/>
  <c r="Q48" i="13"/>
  <c r="P35" i="13"/>
  <c r="Q35" i="13"/>
  <c r="P31" i="13"/>
  <c r="Q31" i="13"/>
  <c r="P27" i="13"/>
  <c r="Q27" i="13"/>
  <c r="P23" i="13"/>
  <c r="Q23" i="13"/>
  <c r="P19" i="13"/>
  <c r="Q19" i="13"/>
  <c r="P15" i="13"/>
  <c r="Q15" i="13"/>
  <c r="L11" i="13"/>
  <c r="L7" i="13"/>
  <c r="L44" i="13"/>
  <c r="M12" i="15"/>
  <c r="L12" i="15"/>
  <c r="G22" i="15"/>
  <c r="G23" i="15" s="1"/>
  <c r="F22" i="15"/>
  <c r="F23" i="15" s="1"/>
  <c r="P11" i="13" l="1"/>
  <c r="Q11" i="13"/>
  <c r="P44" i="13"/>
  <c r="Q44" i="13"/>
  <c r="P7" i="13"/>
  <c r="Q7" i="13"/>
  <c r="C4" i="13"/>
  <c r="L4" i="13" s="1"/>
  <c r="Q4" i="13" s="1"/>
  <c r="P4" i="13" l="1"/>
  <c r="G26" i="15"/>
  <c r="G27" i="15" s="1"/>
  <c r="F26" i="15"/>
  <c r="F27" i="15" s="1"/>
  <c r="H22" i="15"/>
  <c r="H23" i="15" s="1"/>
  <c r="N12" i="15"/>
  <c r="K21" i="5"/>
  <c r="K20" i="5"/>
  <c r="I19" i="5"/>
  <c r="I18" i="5"/>
  <c r="H30" i="5"/>
  <c r="H29" i="5"/>
  <c r="R114" i="10"/>
  <c r="L60" i="5"/>
  <c r="L49" i="5"/>
  <c r="R110" i="10"/>
  <c r="G91" i="10"/>
  <c r="N45" i="5"/>
  <c r="F90" i="10"/>
  <c r="K39" i="5"/>
  <c r="R106" i="10"/>
  <c r="K40" i="5" s="1"/>
  <c r="E91" i="10"/>
  <c r="L36" i="5"/>
  <c r="E89" i="10"/>
  <c r="E105" i="10"/>
  <c r="R103" i="10"/>
  <c r="L31" i="5" s="1"/>
  <c r="I103" i="10"/>
  <c r="R102" i="10"/>
  <c r="K26" i="5" s="1"/>
  <c r="G101" i="10"/>
  <c r="F101" i="10"/>
  <c r="E101" i="10"/>
  <c r="I100" i="10"/>
  <c r="H100" i="10"/>
  <c r="G100" i="10"/>
  <c r="E100" i="10"/>
  <c r="D100" i="10"/>
  <c r="C100" i="10"/>
  <c r="H99" i="10"/>
  <c r="F99" i="10"/>
  <c r="B99" i="10"/>
  <c r="K12" i="5"/>
  <c r="I11" i="15"/>
  <c r="B89" i="10"/>
  <c r="H54" i="5"/>
  <c r="H61" i="5"/>
  <c r="I93" i="10"/>
  <c r="R92" i="10"/>
  <c r="J56" i="5" s="1"/>
  <c r="I18" i="15"/>
  <c r="G18" i="15"/>
  <c r="B91" i="10"/>
  <c r="I90" i="10"/>
  <c r="H90" i="10"/>
  <c r="E90" i="10"/>
  <c r="D90" i="10"/>
  <c r="B90" i="10"/>
  <c r="R89" i="10"/>
  <c r="C75" i="5" s="1"/>
  <c r="C73" i="5"/>
  <c r="U65" i="5" s="1"/>
  <c r="H89" i="10"/>
  <c r="H88" i="10"/>
  <c r="G88" i="10"/>
  <c r="F88" i="10"/>
  <c r="E88" i="10"/>
  <c r="D88" i="10"/>
  <c r="C88" i="10"/>
  <c r="B88" i="10"/>
  <c r="R86" i="10"/>
  <c r="C68" i="5" s="1"/>
  <c r="C66" i="5"/>
  <c r="U64" i="5" s="1"/>
  <c r="C60" i="5"/>
  <c r="R82" i="10"/>
  <c r="F55" i="5" s="1"/>
  <c r="F53" i="5"/>
  <c r="G19" i="5"/>
  <c r="H8" i="5"/>
  <c r="W60" i="5" s="1"/>
  <c r="H13" i="5"/>
  <c r="I13" i="15"/>
  <c r="R76" i="10"/>
  <c r="F35" i="5" s="1"/>
  <c r="F33" i="5"/>
  <c r="R74" i="10"/>
  <c r="C33" i="5" s="1"/>
  <c r="C31" i="5"/>
  <c r="U60" i="5" s="1"/>
  <c r="R70" i="10"/>
  <c r="F13" i="5" s="1"/>
  <c r="F11" i="5"/>
  <c r="AU2" i="10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AQ2" i="10"/>
  <c r="AR2" i="10" s="1"/>
  <c r="AS2" i="10" s="1"/>
  <c r="AT2" i="10" s="1"/>
  <c r="AP2" i="10"/>
  <c r="AO2" i="10"/>
  <c r="C89" i="10" l="1"/>
  <c r="G89" i="10"/>
  <c r="R117" i="10"/>
  <c r="R96" i="10"/>
  <c r="N11" i="5" s="1"/>
  <c r="D105" i="10"/>
  <c r="R104" i="10"/>
  <c r="K33" i="5" s="1"/>
  <c r="R113" i="10"/>
  <c r="L62" i="5" s="1"/>
  <c r="Y73" i="5" s="1"/>
  <c r="R109" i="10"/>
  <c r="N47" i="5" s="1"/>
  <c r="R77" i="10"/>
  <c r="R85" i="10"/>
  <c r="F62" i="5" s="1"/>
  <c r="R88" i="10"/>
  <c r="F68" i="5" s="1"/>
  <c r="R107" i="10"/>
  <c r="L43" i="5" s="1"/>
  <c r="R111" i="10"/>
  <c r="I47" i="5" s="1"/>
  <c r="R105" i="10"/>
  <c r="L38" i="5" s="1"/>
  <c r="C52" i="5"/>
  <c r="E76" i="5"/>
  <c r="W64" i="5" s="1"/>
  <c r="R101" i="10"/>
  <c r="G26" i="5" s="1"/>
  <c r="R97" i="10"/>
  <c r="K13" i="5" s="1"/>
  <c r="R93" i="10"/>
  <c r="H62" i="5" s="1"/>
  <c r="R81" i="10"/>
  <c r="E55" i="5" s="1"/>
  <c r="W77" i="5" s="1"/>
  <c r="R73" i="10"/>
  <c r="F25" i="5" s="1"/>
  <c r="R69" i="10"/>
  <c r="E13" i="5" s="1"/>
  <c r="W73" i="5" s="1"/>
  <c r="F12" i="5"/>
  <c r="F24" i="5"/>
  <c r="G14" i="15"/>
  <c r="R116" i="10"/>
  <c r="R112" i="10"/>
  <c r="R108" i="10"/>
  <c r="R100" i="10"/>
  <c r="L24" i="5" s="1"/>
  <c r="R84" i="10"/>
  <c r="E62" i="5" s="1"/>
  <c r="W78" i="5" s="1"/>
  <c r="R80" i="10"/>
  <c r="C53" i="5" s="1"/>
  <c r="R72" i="10"/>
  <c r="E25" i="5" s="1"/>
  <c r="W74" i="5" s="1"/>
  <c r="E94" i="10"/>
  <c r="C91" i="10"/>
  <c r="C10" i="5"/>
  <c r="E69" i="5"/>
  <c r="W63" i="5" s="1"/>
  <c r="R115" i="10"/>
  <c r="R99" i="10"/>
  <c r="R95" i="10"/>
  <c r="K7" i="5" s="1"/>
  <c r="U73" i="5" s="1"/>
  <c r="R91" i="10"/>
  <c r="F75" i="5" s="1"/>
  <c r="R87" i="10"/>
  <c r="E70" i="5" s="1"/>
  <c r="W79" i="5" s="1"/>
  <c r="R83" i="10"/>
  <c r="C61" i="5" s="1"/>
  <c r="U79" i="5" s="1"/>
  <c r="R79" i="10"/>
  <c r="R75" i="10"/>
  <c r="E35" i="5" s="1"/>
  <c r="W75" i="5" s="1"/>
  <c r="R71" i="10"/>
  <c r="C23" i="5" s="1"/>
  <c r="L22" i="5"/>
  <c r="N46" i="5"/>
  <c r="C22" i="5"/>
  <c r="K11" i="5"/>
  <c r="L41" i="5"/>
  <c r="F74" i="5"/>
  <c r="G19" i="15"/>
  <c r="R68" i="10"/>
  <c r="C11" i="5" s="1"/>
  <c r="U74" i="5" s="1"/>
  <c r="R98" i="10"/>
  <c r="L16" i="5" s="1"/>
  <c r="R94" i="10"/>
  <c r="H56" i="5" s="1"/>
  <c r="R90" i="10"/>
  <c r="E77" i="5" s="1"/>
  <c r="W80" i="5" s="1"/>
  <c r="R78" i="10"/>
  <c r="H9" i="5" s="1"/>
  <c r="W76" i="5" s="1"/>
  <c r="L23" i="5"/>
  <c r="Y57" i="5"/>
  <c r="C32" i="5"/>
  <c r="I14" i="15"/>
  <c r="E54" i="5"/>
  <c r="W61" i="5" s="1"/>
  <c r="C67" i="5"/>
  <c r="F66" i="5"/>
  <c r="F17" i="15"/>
  <c r="K25" i="5"/>
  <c r="D89" i="10"/>
  <c r="K38" i="5"/>
  <c r="K44" i="5" s="1"/>
  <c r="F105" i="10"/>
  <c r="F100" i="10"/>
  <c r="F104" i="10" s="1"/>
  <c r="G99" i="10"/>
  <c r="G104" i="10" s="1"/>
  <c r="L22" i="15"/>
  <c r="U81" i="5"/>
  <c r="H105" i="10"/>
  <c r="K5" i="5"/>
  <c r="U57" i="5" s="1"/>
  <c r="B105" i="10"/>
  <c r="F11" i="15"/>
  <c r="N10" i="5"/>
  <c r="B100" i="10"/>
  <c r="C99" i="10"/>
  <c r="C90" i="10"/>
  <c r="K18" i="5"/>
  <c r="E12" i="5"/>
  <c r="W57" i="5" s="1"/>
  <c r="G12" i="15"/>
  <c r="F19" i="15"/>
  <c r="F23" i="5"/>
  <c r="F54" i="5"/>
  <c r="G15" i="15"/>
  <c r="F60" i="5"/>
  <c r="F16" i="15"/>
  <c r="G24" i="5"/>
  <c r="L30" i="5"/>
  <c r="D91" i="10"/>
  <c r="L42" i="5"/>
  <c r="K49" i="5"/>
  <c r="M49" i="5" s="1"/>
  <c r="H91" i="10"/>
  <c r="H94" i="10" s="1"/>
  <c r="B94" i="10"/>
  <c r="F91" i="10"/>
  <c r="E99" i="10"/>
  <c r="E104" i="10" s="1"/>
  <c r="I46" i="5"/>
  <c r="U76" i="5"/>
  <c r="C51" i="5"/>
  <c r="U62" i="5" s="1"/>
  <c r="I15" i="15"/>
  <c r="G16" i="15"/>
  <c r="G17" i="15"/>
  <c r="B101" i="10"/>
  <c r="C9" i="5"/>
  <c r="U58" i="5" s="1"/>
  <c r="L14" i="5"/>
  <c r="C21" i="5"/>
  <c r="G25" i="5"/>
  <c r="H55" i="5"/>
  <c r="G11" i="15"/>
  <c r="F12" i="15"/>
  <c r="M22" i="15"/>
  <c r="M23" i="15" s="1"/>
  <c r="H14" i="5"/>
  <c r="H15" i="5" s="1"/>
  <c r="I19" i="15"/>
  <c r="E34" i="5"/>
  <c r="W59" i="5" s="1"/>
  <c r="G13" i="15"/>
  <c r="F34" i="5"/>
  <c r="F14" i="15"/>
  <c r="H14" i="15" s="1"/>
  <c r="G18" i="5"/>
  <c r="G20" i="5" s="1"/>
  <c r="C59" i="5"/>
  <c r="U63" i="5" s="1"/>
  <c r="G90" i="10"/>
  <c r="J54" i="5"/>
  <c r="D99" i="10"/>
  <c r="C101" i="10"/>
  <c r="K31" i="5"/>
  <c r="C105" i="10"/>
  <c r="L37" i="5"/>
  <c r="L61" i="5"/>
  <c r="K6" i="5"/>
  <c r="L15" i="5"/>
  <c r="K17" i="5"/>
  <c r="K24" i="5"/>
  <c r="I45" i="5"/>
  <c r="E61" i="5"/>
  <c r="W62" i="5" s="1"/>
  <c r="F67" i="5"/>
  <c r="L11" i="15"/>
  <c r="I17" i="15"/>
  <c r="H26" i="15"/>
  <c r="H27" i="15" s="1"/>
  <c r="I12" i="15"/>
  <c r="F13" i="15"/>
  <c r="F89" i="10"/>
  <c r="C74" i="5"/>
  <c r="F18" i="15"/>
  <c r="H18" i="15" s="1"/>
  <c r="F73" i="5"/>
  <c r="J55" i="5"/>
  <c r="D101" i="10"/>
  <c r="D104" i="10" s="1"/>
  <c r="H101" i="10"/>
  <c r="H104" i="10" s="1"/>
  <c r="L29" i="5"/>
  <c r="K32" i="5"/>
  <c r="N9" i="5"/>
  <c r="E24" i="5"/>
  <c r="W58" i="5" s="1"/>
  <c r="K45" i="5"/>
  <c r="F61" i="5"/>
  <c r="U80" i="5"/>
  <c r="M11" i="15"/>
  <c r="F15" i="15"/>
  <c r="I16" i="15"/>
  <c r="H12" i="15" l="1"/>
  <c r="C104" i="10"/>
  <c r="I105" i="10"/>
  <c r="B104" i="10"/>
  <c r="I104" i="10" s="1"/>
  <c r="L32" i="15" s="1"/>
  <c r="H15" i="15"/>
  <c r="H13" i="15"/>
  <c r="G94" i="10"/>
  <c r="H19" i="15"/>
  <c r="C55" i="5"/>
  <c r="H16" i="15"/>
  <c r="F94" i="10"/>
  <c r="D94" i="10"/>
  <c r="R15" i="5"/>
  <c r="R16" i="5" s="1"/>
  <c r="R17" i="5" s="1"/>
  <c r="Y74" i="5" s="1"/>
  <c r="Y82" i="5" s="1"/>
  <c r="W82" i="5"/>
  <c r="N11" i="15"/>
  <c r="C94" i="10"/>
  <c r="I94" i="10" s="1"/>
  <c r="H32" i="15" s="1"/>
  <c r="W66" i="5"/>
  <c r="C63" i="5"/>
  <c r="U78" i="5"/>
  <c r="H17" i="15"/>
  <c r="U59" i="5"/>
  <c r="U66" i="5" s="1"/>
  <c r="U75" i="5"/>
  <c r="C32" i="15"/>
  <c r="L45" i="5"/>
  <c r="Y58" i="5"/>
  <c r="Y66" i="5" s="1"/>
  <c r="N22" i="15"/>
  <c r="N23" i="15" s="1"/>
  <c r="L23" i="15"/>
  <c r="H11" i="15"/>
  <c r="F20" i="15"/>
  <c r="R23" i="5" l="1"/>
  <c r="X68" i="5"/>
  <c r="H20" i="15"/>
  <c r="G20" i="15" s="1"/>
  <c r="U82" i="5"/>
  <c r="X84" i="5" s="1"/>
</calcChain>
</file>

<file path=xl/sharedStrings.xml><?xml version="1.0" encoding="utf-8"?>
<sst xmlns="http://schemas.openxmlformats.org/spreadsheetml/2006/main" count="290" uniqueCount="117">
  <si>
    <t>Recepción P55</t>
  </si>
  <si>
    <t>Alim P55</t>
  </si>
  <si>
    <t>Recepción Alianza</t>
  </si>
  <si>
    <t>Delta Stock P55</t>
  </si>
  <si>
    <t>Delta Stock Alianza</t>
  </si>
  <si>
    <t>Alim Alianza</t>
  </si>
  <si>
    <t>Recepción P40</t>
  </si>
  <si>
    <t>Delta Stock P40</t>
  </si>
  <si>
    <t>Alim P40</t>
  </si>
  <si>
    <t>Recepción MLC</t>
  </si>
  <si>
    <t>Delta Stock MLC</t>
  </si>
  <si>
    <t>Alim MLC</t>
  </si>
  <si>
    <t>Recepción GC</t>
  </si>
  <si>
    <t>Delta Stock GC</t>
  </si>
  <si>
    <t>Alim GC</t>
  </si>
  <si>
    <t>Delta Stock Intermedio</t>
  </si>
  <si>
    <t>Descarga Intermedio</t>
  </si>
  <si>
    <t>Alimentación CMCC</t>
  </si>
  <si>
    <t>Cola Rougher 1</t>
  </si>
  <si>
    <t>Conc Rougher 1</t>
  </si>
  <si>
    <t>Alimentaciones consolidades Stocks</t>
  </si>
  <si>
    <t>Cola Hidro</t>
  </si>
  <si>
    <t>Conc Hidro</t>
  </si>
  <si>
    <t>Cola Finisher</t>
  </si>
  <si>
    <t>Conc Finisher</t>
  </si>
  <si>
    <t>Cola Espesador</t>
  </si>
  <si>
    <t>Producción PM</t>
  </si>
  <si>
    <t>San Andres</t>
  </si>
  <si>
    <t>TMS</t>
  </si>
  <si>
    <t>%FeT</t>
  </si>
  <si>
    <t>%FeMag</t>
  </si>
  <si>
    <t>Delta INV Espesador</t>
  </si>
  <si>
    <t>Cola Rougher 2</t>
  </si>
  <si>
    <t>Conc Rougher  2</t>
  </si>
  <si>
    <t>Espesador a Bz Intermedio</t>
  </si>
  <si>
    <t>Valores Calculados</t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</si>
  <si>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</si>
  <si>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</si>
  <si>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</si>
  <si>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</si>
  <si>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</si>
  <si>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</si>
  <si>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ENTRADAS - VAR INVENTARIO - SALIDAS</t>
  </si>
  <si>
    <t>Relaves</t>
  </si>
  <si>
    <t>Rechazos Gruesos</t>
  </si>
  <si>
    <t>Alim Hidro</t>
  </si>
  <si>
    <t>Relave Final</t>
  </si>
  <si>
    <t>Recep San Andrés</t>
  </si>
  <si>
    <t>Delta Stock San Andrés</t>
  </si>
  <si>
    <t>Alim San Andrés</t>
  </si>
  <si>
    <t>A&amp;Q</t>
  </si>
  <si>
    <t>Autech</t>
  </si>
  <si>
    <t>Recep A&amp;Q</t>
  </si>
  <si>
    <t>Delta Stock A&amp;Q</t>
  </si>
  <si>
    <t>Alim A&amp;Q</t>
  </si>
  <si>
    <t>Recep Autech</t>
  </si>
  <si>
    <t>Delta Stock Autech</t>
  </si>
  <si>
    <t>Alim Autech</t>
  </si>
  <si>
    <t>BALANCE GLOBAL FINOS</t>
  </si>
  <si>
    <t>CR2 a Desaguado</t>
  </si>
  <si>
    <t>CR2 a Molienda</t>
  </si>
  <si>
    <t>Rebose ciclones a hidro</t>
  </si>
  <si>
    <t>Cola Flotación Magnética</t>
  </si>
  <si>
    <t>Conc Flotación Magnética</t>
  </si>
  <si>
    <t>Cola Flotación Neumática</t>
  </si>
  <si>
    <t>Conc Flotación Neumática</t>
  </si>
  <si>
    <t>BALANCE METALÚRGICO - VALLE COPIAPO</t>
  </si>
  <si>
    <t>REPORTE DE PLANTA MAGNETITA</t>
  </si>
  <si>
    <t>TONELAJE</t>
  </si>
  <si>
    <t>LEY</t>
  </si>
  <si>
    <t>FINO</t>
  </si>
  <si>
    <t>% FeT</t>
  </si>
  <si>
    <t>TMF</t>
  </si>
  <si>
    <t>% Fe Mag</t>
  </si>
  <si>
    <t>SALIDA</t>
  </si>
  <si>
    <t>Relaves CCMC</t>
  </si>
  <si>
    <t>Produccion Planta</t>
  </si>
  <si>
    <t>Produccion Filtrado</t>
  </si>
  <si>
    <t>TOTAL</t>
  </si>
  <si>
    <t>EMBARQUES</t>
  </si>
  <si>
    <t xml:space="preserve">PÉRDIDAS </t>
  </si>
  <si>
    <t>Pellet Feed</t>
  </si>
  <si>
    <t>INVENTARIOS</t>
  </si>
  <si>
    <t>SAP</t>
  </si>
  <si>
    <t>DIF</t>
  </si>
  <si>
    <t>Puerto Totoralillo</t>
  </si>
  <si>
    <t>INDICADORES PLANTA MAGNETITA</t>
  </si>
  <si>
    <t>RECUPERACIÓN EN PESO</t>
  </si>
  <si>
    <t>RECUPERACIÓN METALÚRGICA</t>
  </si>
  <si>
    <t>RECUPERACIÓN MAGNÉTICA METALÚRGICA</t>
  </si>
  <si>
    <t>Rec Met Calc</t>
  </si>
  <si>
    <t>Rp Etapa</t>
  </si>
  <si>
    <t>Alimentación</t>
  </si>
  <si>
    <t>Concentrado</t>
  </si>
  <si>
    <t>Cola</t>
  </si>
  <si>
    <t>Repulpeo</t>
  </si>
  <si>
    <t>Recepción Repulpeo</t>
  </si>
  <si>
    <t>Recepción Hnos araya</t>
  </si>
  <si>
    <t>Delta Stock Repulpeo</t>
  </si>
  <si>
    <t>Delta Stock Hnos Araya</t>
  </si>
  <si>
    <t>Delta Invent Cancha/Repulpeo</t>
  </si>
  <si>
    <r>
      <t xml:space="preserve">PRODUCCIÓN </t>
    </r>
    <r>
      <rPr>
        <b/>
        <sz val="11"/>
        <color theme="1"/>
        <rFont val="Calibri"/>
        <family val="2"/>
        <scheme val="minor"/>
      </rPr>
      <t>PM</t>
    </r>
  </si>
  <si>
    <t>Flujos</t>
  </si>
  <si>
    <t>Ley FeT</t>
  </si>
  <si>
    <t>Ley FeMag</t>
  </si>
  <si>
    <t>Mediciones</t>
  </si>
  <si>
    <t>Balance</t>
  </si>
  <si>
    <t>Max Var Ton</t>
  </si>
  <si>
    <t>TMSD</t>
  </si>
  <si>
    <t>%Fe T</t>
  </si>
  <si>
    <t>Max Var  FeT</t>
  </si>
  <si>
    <t>Max Var  FeMag</t>
  </si>
  <si>
    <t>% Cambio relativo</t>
  </si>
  <si>
    <t>Alim Repulpeo</t>
  </si>
  <si>
    <t>Alim Hnos Araya</t>
  </si>
  <si>
    <t>Producción filtrado</t>
  </si>
  <si>
    <t>FeMag &lt; 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</si>
</sst>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0.0%"/>
    <numFmt numFmtId="165" formatCode="_-* #,##0.00_-;\-* #,##0.00_-;_-* &quot;-&quot;??_-;_-@_-"/>
    <numFmt numFmtId="166" formatCode="#,##0.00_ ;\-#,##0.00\ "/>
    <numFmt numFmtId="167" formatCode="dd/mm/yyyy;@"/>
    <numFmt numFmtId="168" formatCode="#,##0_ ;\-#,##0\ "/>
    <numFmt numFmtId="169" formatCode="#,##0.000_ ;\-#,##0.000\ "/>
    <numFmt numFmtId="170" formatCode="0.0"/>
    <numFmt numFmtId="171" formatCode="0_)"/>
    <numFmt numFmtId="172" formatCode="#,##0.0000"/>
  </numFmts>
  <fonts count="4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 (Body)"/>
    </font>
    <font>
      <sz val="8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/>
      <name val="Calibri (Body)"/>
    </font>
    <font>
      <sz val="11"/>
      <color theme="2"/>
      <name val="Calibri"/>
      <family val="2"/>
      <scheme val="minor"/>
    </font>
    <font>
      <b/>
      <sz val="14"/>
      <color theme="2"/>
      <name val="Calibri (Body)"/>
    </font>
    <font>
      <b/>
      <sz val="12"/>
      <color theme="2"/>
      <name val="Calibri (Body)"/>
    </font>
    <font>
      <b/>
      <sz val="12"/>
      <color theme="2"/>
      <name val="Calibri"/>
      <family val="2"/>
      <scheme val="minor"/>
    </font>
    <font>
      <b/>
      <sz val="11"/>
      <color theme="2"/>
      <name val="Calibri (Body)"/>
    </font>
    <font>
      <b/>
      <sz val="14"/>
      <color theme="2"/>
      <name val="Calibri"/>
      <family val="2"/>
      <scheme val="minor"/>
    </font>
    <font>
      <sz val="14"/>
      <color theme="2"/>
      <name val="Calibri (Body)"/>
    </font>
    <font>
      <sz val="11"/>
      <color theme="1" tint="0.49998474074526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E7E6E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165" fontId="11" fillId="0" borderId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0" applyFont="1"/>
    <xf numFmtId="10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2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3" fontId="8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/>
    </xf>
    <xf numFmtId="3" fontId="2" fillId="0" borderId="9" xfId="0" applyNumberFormat="1" applyFont="1" applyBorder="1" applyAlignment="1">
      <alignment horizontal="left"/>
    </xf>
    <xf numFmtId="10" fontId="0" fillId="0" borderId="9" xfId="0" applyNumberFormat="1" applyBorder="1" applyAlignment="1">
      <alignment horizontal="left"/>
    </xf>
    <xf numFmtId="3" fontId="8" fillId="0" borderId="9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3" fontId="2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10" fontId="2" fillId="0" borderId="0" xfId="0" applyNumberFormat="1" applyFont="1" applyFill="1" applyBorder="1"/>
    <xf numFmtId="0" fontId="7" fillId="0" borderId="0" xfId="0" applyFont="1" applyFill="1" applyBorder="1"/>
    <xf numFmtId="0" fontId="5" fillId="0" borderId="0" xfId="0" applyFont="1" applyBorder="1"/>
    <xf numFmtId="0" fontId="7" fillId="0" borderId="0" xfId="0" applyFont="1" applyBorder="1"/>
    <xf numFmtId="0" fontId="4" fillId="0" borderId="0" xfId="0" applyFont="1" applyBorder="1"/>
    <xf numFmtId="3" fontId="4" fillId="0" borderId="0" xfId="0" applyNumberFormat="1" applyFont="1" applyBorder="1"/>
    <xf numFmtId="9" fontId="4" fillId="0" borderId="0" xfId="0" applyNumberFormat="1" applyFont="1" applyBorder="1"/>
    <xf numFmtId="0" fontId="0" fillId="0" borderId="0" xfId="0" applyFont="1"/>
    <xf numFmtId="0" fontId="0" fillId="0" borderId="0" xfId="0" applyFill="1"/>
    <xf numFmtId="0" fontId="1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10" fontId="0" fillId="0" borderId="0" xfId="0" applyNumberFormat="1" applyFont="1" applyFill="1" applyBorder="1"/>
    <xf numFmtId="10" fontId="4" fillId="0" borderId="0" xfId="0" applyNumberFormat="1" applyFont="1" applyFill="1" applyBorder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quotePrefix="1" applyFont="1" applyFill="1" applyBorder="1"/>
    <xf numFmtId="3" fontId="0" fillId="0" borderId="0" xfId="0" applyNumberFormat="1" applyFont="1" applyFill="1" applyBorder="1"/>
    <xf numFmtId="0" fontId="13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1" applyFont="1" applyBorder="1" applyAlignment="1">
      <alignment horizontal="center"/>
    </xf>
    <xf numFmtId="0" fontId="0" fillId="0" borderId="0" xfId="0" applyFont="1" applyBorder="1"/>
    <xf numFmtId="3" fontId="0" fillId="0" borderId="0" xfId="0" applyNumberFormat="1" applyFon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166" fontId="14" fillId="0" borderId="56" xfId="2" applyNumberFormat="1" applyFont="1" applyFill="1" applyBorder="1" applyAlignment="1">
      <alignment horizontal="center" vertical="center"/>
    </xf>
    <xf numFmtId="0" fontId="15" fillId="5" borderId="5" xfId="3" applyFont="1" applyFill="1" applyBorder="1" applyAlignment="1">
      <alignment horizontal="center" vertical="center"/>
    </xf>
    <xf numFmtId="0" fontId="15" fillId="5" borderId="6" xfId="3" applyFont="1" applyFill="1" applyBorder="1" applyAlignment="1">
      <alignment horizontal="center" vertical="center"/>
    </xf>
    <xf numFmtId="0" fontId="15" fillId="5" borderId="8" xfId="3" applyFont="1" applyFill="1" applyBorder="1" applyAlignment="1">
      <alignment horizontal="center" vertical="center"/>
    </xf>
    <xf numFmtId="168" fontId="15" fillId="7" borderId="8" xfId="2" applyNumberFormat="1" applyFont="1" applyFill="1" applyBorder="1" applyAlignment="1">
      <alignment horizontal="center"/>
    </xf>
    <xf numFmtId="0" fontId="15" fillId="5" borderId="0" xfId="3" applyFont="1" applyFill="1"/>
    <xf numFmtId="14" fontId="15" fillId="5" borderId="0" xfId="3" applyNumberFormat="1" applyFont="1" applyFill="1"/>
    <xf numFmtId="0" fontId="15" fillId="5" borderId="0" xfId="3" applyFont="1" applyFill="1" applyAlignment="1">
      <alignment horizontal="center" vertical="center"/>
    </xf>
    <xf numFmtId="0" fontId="15" fillId="0" borderId="0" xfId="3" applyFont="1"/>
    <xf numFmtId="0" fontId="19" fillId="5" borderId="14" xfId="3" applyFont="1" applyFill="1" applyBorder="1" applyAlignment="1">
      <alignment horizontal="center" vertical="center"/>
    </xf>
    <xf numFmtId="0" fontId="19" fillId="5" borderId="15" xfId="3" applyFont="1" applyFill="1" applyBorder="1" applyAlignment="1">
      <alignment horizontal="center" vertical="center"/>
    </xf>
    <xf numFmtId="0" fontId="19" fillId="5" borderId="19" xfId="3" applyFont="1" applyFill="1" applyBorder="1" applyAlignment="1">
      <alignment horizontal="center" vertical="center"/>
    </xf>
    <xf numFmtId="0" fontId="19" fillId="5" borderId="20" xfId="3" applyFont="1" applyFill="1" applyBorder="1" applyAlignment="1">
      <alignment horizontal="center" vertical="center"/>
    </xf>
    <xf numFmtId="3" fontId="18" fillId="0" borderId="14" xfId="2" applyNumberFormat="1" applyFont="1" applyFill="1" applyBorder="1" applyAlignment="1">
      <alignment horizontal="center" vertical="center"/>
    </xf>
    <xf numFmtId="10" fontId="18" fillId="0" borderId="1" xfId="4" applyNumberFormat="1" applyFont="1" applyFill="1" applyBorder="1" applyAlignment="1">
      <alignment horizontal="center" vertical="center"/>
    </xf>
    <xf numFmtId="3" fontId="18" fillId="0" borderId="15" xfId="4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168" fontId="18" fillId="7" borderId="14" xfId="2" applyNumberFormat="1" applyFont="1" applyFill="1" applyBorder="1" applyAlignment="1">
      <alignment horizontal="center" vertical="center"/>
    </xf>
    <xf numFmtId="10" fontId="18" fillId="7" borderId="14" xfId="4" applyNumberFormat="1" applyFont="1" applyFill="1" applyBorder="1" applyAlignment="1">
      <alignment horizontal="center" vertical="center"/>
    </xf>
    <xf numFmtId="168" fontId="18" fillId="7" borderId="15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3" fontId="18" fillId="0" borderId="17" xfId="4" applyNumberFormat="1" applyFont="1" applyFill="1" applyBorder="1" applyAlignment="1">
      <alignment horizontal="center" vertical="center"/>
    </xf>
    <xf numFmtId="10" fontId="10" fillId="0" borderId="1" xfId="4" applyNumberFormat="1" applyFont="1" applyFill="1" applyBorder="1" applyAlignment="1">
      <alignment horizontal="center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3" fontId="18" fillId="7" borderId="1" xfId="2" applyNumberFormat="1" applyFont="1" applyFill="1" applyBorder="1" applyAlignment="1">
      <alignment horizontal="center" vertical="center"/>
    </xf>
    <xf numFmtId="10" fontId="18" fillId="7" borderId="1" xfId="4" applyNumberFormat="1" applyFont="1" applyFill="1" applyBorder="1" applyAlignment="1">
      <alignment horizontal="center" vertical="center"/>
    </xf>
    <xf numFmtId="168" fontId="18" fillId="7" borderId="17" xfId="2" applyNumberFormat="1" applyFont="1" applyFill="1" applyBorder="1" applyAlignment="1">
      <alignment horizontal="center" vertical="center"/>
    </xf>
    <xf numFmtId="168" fontId="19" fillId="9" borderId="45" xfId="3" applyNumberFormat="1" applyFont="1" applyFill="1" applyBorder="1" applyAlignment="1">
      <alignment horizontal="center" vertical="center" wrapText="1"/>
    </xf>
    <xf numFmtId="10" fontId="19" fillId="9" borderId="45" xfId="4" applyNumberFormat="1" applyFont="1" applyFill="1" applyBorder="1" applyAlignment="1">
      <alignment horizontal="center" vertical="center"/>
    </xf>
    <xf numFmtId="168" fontId="19" fillId="9" borderId="46" xfId="3" applyNumberFormat="1" applyFont="1" applyFill="1" applyBorder="1" applyAlignment="1">
      <alignment horizontal="center" vertical="center" wrapText="1"/>
    </xf>
    <xf numFmtId="1" fontId="19" fillId="9" borderId="47" xfId="3" applyNumberFormat="1" applyFont="1" applyFill="1" applyBorder="1" applyAlignment="1">
      <alignment horizontal="center" vertical="center" wrapText="1"/>
    </xf>
    <xf numFmtId="168" fontId="21" fillId="9" borderId="50" xfId="3" applyNumberFormat="1" applyFont="1" applyFill="1" applyBorder="1" applyAlignment="1">
      <alignment horizontal="center" vertical="center" wrapText="1"/>
    </xf>
    <xf numFmtId="10" fontId="21" fillId="9" borderId="50" xfId="4" applyNumberFormat="1" applyFont="1" applyFill="1" applyBorder="1" applyAlignment="1">
      <alignment horizontal="center" vertical="center" wrapText="1"/>
    </xf>
    <xf numFmtId="168" fontId="21" fillId="9" borderId="51" xfId="3" applyNumberFormat="1" applyFont="1" applyFill="1" applyBorder="1" applyAlignment="1">
      <alignment horizontal="center" vertical="center" wrapText="1"/>
    </xf>
    <xf numFmtId="168" fontId="10" fillId="0" borderId="23" xfId="2" applyNumberFormat="1" applyFont="1" applyFill="1" applyBorder="1" applyAlignment="1">
      <alignment horizontal="center" vertical="center"/>
    </xf>
    <xf numFmtId="10" fontId="10" fillId="0" borderId="23" xfId="2" applyNumberFormat="1" applyFont="1" applyFill="1" applyBorder="1" applyAlignment="1">
      <alignment horizontal="center" vertical="center"/>
    </xf>
    <xf numFmtId="168" fontId="18" fillId="7" borderId="1" xfId="2" applyNumberFormat="1" applyFont="1" applyFill="1" applyBorder="1" applyAlignment="1">
      <alignment horizontal="center" vertical="center"/>
    </xf>
    <xf numFmtId="168" fontId="22" fillId="9" borderId="45" xfId="3" applyNumberFormat="1" applyFont="1" applyFill="1" applyBorder="1" applyAlignment="1">
      <alignment horizontal="center" vertical="center" wrapText="1"/>
    </xf>
    <xf numFmtId="10" fontId="22" fillId="9" borderId="45" xfId="3" applyNumberFormat="1" applyFont="1" applyFill="1" applyBorder="1" applyAlignment="1">
      <alignment horizontal="center" vertical="center" wrapText="1"/>
    </xf>
    <xf numFmtId="168" fontId="19" fillId="9" borderId="45" xfId="2" applyNumberFormat="1" applyFont="1" applyFill="1" applyBorder="1" applyAlignment="1">
      <alignment horizontal="center" vertical="center"/>
    </xf>
    <xf numFmtId="168" fontId="19" fillId="9" borderId="54" xfId="2" applyNumberFormat="1" applyFont="1" applyFill="1" applyBorder="1" applyAlignment="1">
      <alignment horizontal="center" vertical="center"/>
    </xf>
    <xf numFmtId="0" fontId="19" fillId="0" borderId="57" xfId="3" applyFont="1" applyBorder="1" applyAlignment="1">
      <alignment horizontal="left" vertical="center"/>
    </xf>
    <xf numFmtId="168" fontId="20" fillId="0" borderId="57" xfId="2" applyNumberFormat="1" applyFont="1" applyFill="1" applyBorder="1" applyAlignment="1">
      <alignment horizontal="center" vertical="center"/>
    </xf>
    <xf numFmtId="169" fontId="21" fillId="0" borderId="57" xfId="2" applyNumberFormat="1" applyFont="1" applyFill="1" applyBorder="1" applyAlignment="1">
      <alignment horizontal="center" vertical="center"/>
    </xf>
    <xf numFmtId="168" fontId="21" fillId="0" borderId="58" xfId="2" applyNumberFormat="1" applyFont="1" applyFill="1" applyBorder="1" applyAlignment="1">
      <alignment horizontal="center" vertical="center"/>
    </xf>
    <xf numFmtId="0" fontId="20" fillId="8" borderId="54" xfId="3" applyFont="1" applyFill="1" applyBorder="1" applyAlignment="1">
      <alignment horizontal="center" vertical="center"/>
    </xf>
    <xf numFmtId="0" fontId="20" fillId="8" borderId="53" xfId="3" applyFont="1" applyFill="1" applyBorder="1" applyAlignment="1">
      <alignment horizontal="center" vertical="center"/>
    </xf>
    <xf numFmtId="0" fontId="20" fillId="8" borderId="47" xfId="3" applyFont="1" applyFill="1" applyBorder="1" applyAlignment="1">
      <alignment horizontal="center" vertical="center"/>
    </xf>
    <xf numFmtId="0" fontId="20" fillId="0" borderId="59" xfId="3" applyFont="1" applyBorder="1" applyAlignment="1">
      <alignment horizontal="center" vertical="center"/>
    </xf>
    <xf numFmtId="0" fontId="21" fillId="0" borderId="56" xfId="3" applyFont="1" applyBorder="1" applyAlignment="1">
      <alignment vertical="center"/>
    </xf>
    <xf numFmtId="0" fontId="20" fillId="0" borderId="56" xfId="3" applyFont="1" applyBorder="1" applyAlignment="1">
      <alignment vertical="center"/>
    </xf>
    <xf numFmtId="0" fontId="21" fillId="0" borderId="60" xfId="3" applyFont="1" applyBorder="1" applyAlignment="1">
      <alignment vertical="center"/>
    </xf>
    <xf numFmtId="168" fontId="10" fillId="0" borderId="17" xfId="2" applyNumberFormat="1" applyFont="1" applyFill="1" applyBorder="1" applyAlignment="1">
      <alignment horizontal="center" vertical="center"/>
    </xf>
    <xf numFmtId="168" fontId="18" fillId="7" borderId="55" xfId="0" applyNumberFormat="1" applyFont="1" applyFill="1" applyBorder="1" applyAlignment="1">
      <alignment horizontal="center" vertical="center"/>
    </xf>
    <xf numFmtId="168" fontId="18" fillId="0" borderId="59" xfId="2" applyNumberFormat="1" applyFont="1" applyFill="1" applyBorder="1" applyAlignment="1">
      <alignment horizontal="center" vertical="center"/>
    </xf>
    <xf numFmtId="170" fontId="14" fillId="0" borderId="56" xfId="0" applyNumberFormat="1" applyFont="1" applyBorder="1" applyAlignment="1">
      <alignment horizontal="center" vertical="center"/>
    </xf>
    <xf numFmtId="166" fontId="23" fillId="0" borderId="56" xfId="2" applyNumberFormat="1" applyFont="1" applyFill="1" applyBorder="1" applyAlignment="1">
      <alignment horizontal="center" vertical="center"/>
    </xf>
    <xf numFmtId="168" fontId="14" fillId="0" borderId="60" xfId="2" applyNumberFormat="1" applyFont="1" applyFill="1" applyBorder="1" applyAlignment="1">
      <alignment horizontal="center" vertical="center"/>
    </xf>
    <xf numFmtId="168" fontId="22" fillId="9" borderId="54" xfId="2" applyNumberFormat="1" applyFont="1" applyFill="1" applyBorder="1" applyAlignment="1">
      <alignment horizontal="center" vertical="center"/>
    </xf>
    <xf numFmtId="168" fontId="22" fillId="9" borderId="44" xfId="2" applyNumberFormat="1" applyFont="1" applyFill="1" applyBorder="1" applyAlignment="1">
      <alignment horizontal="center" vertical="center"/>
    </xf>
    <xf numFmtId="168" fontId="19" fillId="0" borderId="59" xfId="2" applyNumberFormat="1" applyFont="1" applyFill="1" applyBorder="1" applyAlignment="1">
      <alignment horizontal="center" vertical="center"/>
    </xf>
    <xf numFmtId="168" fontId="21" fillId="0" borderId="56" xfId="2" applyNumberFormat="1" applyFont="1" applyFill="1" applyBorder="1" applyAlignment="1">
      <alignment horizontal="center" vertical="center"/>
    </xf>
    <xf numFmtId="169" fontId="21" fillId="0" borderId="56" xfId="2" applyNumberFormat="1" applyFont="1" applyFill="1" applyBorder="1" applyAlignment="1">
      <alignment horizontal="center" vertical="center"/>
    </xf>
    <xf numFmtId="168" fontId="21" fillId="0" borderId="60" xfId="2" applyNumberFormat="1" applyFont="1" applyFill="1" applyBorder="1" applyAlignment="1">
      <alignment horizontal="center" vertical="center"/>
    </xf>
    <xf numFmtId="3" fontId="24" fillId="0" borderId="61" xfId="3" applyNumberFormat="1" applyFont="1" applyBorder="1" applyAlignment="1">
      <alignment horizontal="right" vertical="center"/>
    </xf>
    <xf numFmtId="0" fontId="15" fillId="0" borderId="61" xfId="3" applyFont="1" applyBorder="1"/>
    <xf numFmtId="171" fontId="24" fillId="0" borderId="61" xfId="3" applyNumberFormat="1" applyFont="1" applyBorder="1" applyAlignment="1">
      <alignment horizontal="center" vertical="center"/>
    </xf>
    <xf numFmtId="0" fontId="15" fillId="0" borderId="62" xfId="3" applyFont="1" applyBorder="1"/>
    <xf numFmtId="168" fontId="15" fillId="7" borderId="0" xfId="2" applyNumberFormat="1" applyFont="1" applyFill="1" applyBorder="1" applyAlignment="1">
      <alignment horizontal="center"/>
    </xf>
    <xf numFmtId="168" fontId="15" fillId="7" borderId="10" xfId="2" applyNumberFormat="1" applyFont="1" applyFill="1" applyBorder="1" applyAlignment="1">
      <alignment horizontal="center"/>
    </xf>
    <xf numFmtId="168" fontId="15" fillId="7" borderId="11" xfId="2" applyNumberFormat="1" applyFont="1" applyFill="1" applyBorder="1" applyAlignment="1">
      <alignment horizontal="center"/>
    </xf>
    <xf numFmtId="168" fontId="15" fillId="7" borderId="12" xfId="2" applyNumberFormat="1" applyFont="1" applyFill="1" applyBorder="1" applyAlignment="1">
      <alignment horizontal="center"/>
    </xf>
    <xf numFmtId="168" fontId="15" fillId="7" borderId="9" xfId="2" applyNumberFormat="1" applyFont="1" applyFill="1" applyBorder="1" applyAlignment="1">
      <alignment horizontal="center"/>
    </xf>
    <xf numFmtId="168" fontId="15" fillId="7" borderId="7" xfId="2" applyNumberFormat="1" applyFont="1" applyFill="1" applyBorder="1" applyAlignment="1">
      <alignment horizontal="center"/>
    </xf>
    <xf numFmtId="0" fontId="27" fillId="0" borderId="0" xfId="0" applyFont="1" applyFill="1" applyBorder="1"/>
    <xf numFmtId="0" fontId="28" fillId="0" borderId="0" xfId="0" applyFont="1" applyFill="1" applyBorder="1"/>
    <xf numFmtId="0" fontId="27" fillId="0" borderId="0" xfId="0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27" fillId="0" borderId="0" xfId="0" quotePrefix="1" applyFont="1" applyFill="1" applyBorder="1"/>
    <xf numFmtId="0" fontId="29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horizontal="center"/>
    </xf>
    <xf numFmtId="0" fontId="28" fillId="0" borderId="0" xfId="1" applyFont="1" applyFill="1" applyBorder="1" applyAlignment="1">
      <alignment horizontal="center"/>
    </xf>
    <xf numFmtId="3" fontId="27" fillId="0" borderId="0" xfId="0" applyNumberFormat="1" applyFont="1" applyFill="1" applyBorder="1"/>
    <xf numFmtId="10" fontId="27" fillId="0" borderId="0" xfId="0" applyNumberFormat="1" applyFont="1" applyFill="1" applyBorder="1"/>
    <xf numFmtId="0" fontId="33" fillId="0" borderId="0" xfId="0" applyFont="1" applyFill="1" applyBorder="1"/>
    <xf numFmtId="164" fontId="28" fillId="0" borderId="0" xfId="0" applyNumberFormat="1" applyFont="1" applyFill="1" applyBorder="1"/>
    <xf numFmtId="10" fontId="27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10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/>
    <xf numFmtId="3" fontId="27" fillId="0" borderId="1" xfId="0" applyNumberFormat="1" applyFont="1" applyFill="1" applyBorder="1"/>
    <xf numFmtId="10" fontId="27" fillId="0" borderId="1" xfId="0" applyNumberFormat="1" applyFont="1" applyFill="1" applyBorder="1"/>
    <xf numFmtId="0" fontId="32" fillId="0" borderId="1" xfId="0" applyFont="1" applyFill="1" applyBorder="1"/>
    <xf numFmtId="10" fontId="27" fillId="10" borderId="1" xfId="0" applyNumberFormat="1" applyFont="1" applyFill="1" applyBorder="1"/>
    <xf numFmtId="3" fontId="29" fillId="0" borderId="0" xfId="0" applyNumberFormat="1" applyFont="1" applyFill="1" applyBorder="1"/>
    <xf numFmtId="10" fontId="29" fillId="0" borderId="0" xfId="0" applyNumberFormat="1" applyFont="1" applyFill="1" applyBorder="1"/>
    <xf numFmtId="0" fontId="27" fillId="0" borderId="0" xfId="0" applyFont="1" applyFill="1" applyBorder="1" applyAlignment="1">
      <alignment horizontal="right"/>
    </xf>
    <xf numFmtId="0" fontId="32" fillId="0" borderId="1" xfId="0" applyFont="1" applyFill="1" applyBorder="1" applyAlignment="1">
      <alignment horizontal="center"/>
    </xf>
    <xf numFmtId="0" fontId="27" fillId="0" borderId="0" xfId="0" applyFont="1" applyFill="1" applyBorder="1" applyAlignment="1">
      <alignment wrapText="1"/>
    </xf>
    <xf numFmtId="0" fontId="28" fillId="11" borderId="44" xfId="0" applyFont="1" applyFill="1" applyBorder="1"/>
    <xf numFmtId="10" fontId="28" fillId="11" borderId="45" xfId="0" applyNumberFormat="1" applyFont="1" applyFill="1" applyBorder="1"/>
    <xf numFmtId="0" fontId="34" fillId="0" borderId="0" xfId="0" applyFont="1" applyFill="1" applyBorder="1"/>
    <xf numFmtId="1" fontId="27" fillId="0" borderId="0" xfId="0" applyNumberFormat="1" applyFont="1" applyFill="1" applyBorder="1"/>
    <xf numFmtId="0" fontId="35" fillId="12" borderId="3" xfId="0" applyFont="1" applyFill="1" applyBorder="1" applyAlignment="1">
      <alignment vertical="center" wrapText="1"/>
    </xf>
    <xf numFmtId="0" fontId="35" fillId="12" borderId="1" xfId="0" applyFont="1" applyFill="1" applyBorder="1" applyAlignment="1">
      <alignment vertical="center"/>
    </xf>
    <xf numFmtId="172" fontId="5" fillId="0" borderId="1" xfId="0" applyNumberFormat="1" applyFont="1" applyBorder="1" applyAlignment="1">
      <alignment horizontal="center" vertical="center"/>
    </xf>
    <xf numFmtId="0" fontId="5" fillId="13" borderId="1" xfId="0" applyFont="1" applyFill="1" applyBorder="1"/>
    <xf numFmtId="3" fontId="7" fillId="0" borderId="1" xfId="0" applyNumberFormat="1" applyFont="1" applyBorder="1"/>
    <xf numFmtId="10" fontId="7" fillId="0" borderId="1" xfId="0" applyNumberFormat="1" applyFont="1" applyBorder="1"/>
    <xf numFmtId="164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164" fontId="0" fillId="0" borderId="36" xfId="0" applyNumberFormat="1" applyBorder="1"/>
    <xf numFmtId="10" fontId="0" fillId="0" borderId="36" xfId="0" applyNumberFormat="1" applyBorder="1"/>
    <xf numFmtId="0" fontId="7" fillId="10" borderId="1" xfId="1" applyFont="1" applyFill="1" applyBorder="1" applyAlignment="1">
      <alignment horizontal="center"/>
    </xf>
    <xf numFmtId="10" fontId="5" fillId="2" borderId="1" xfId="0" applyNumberFormat="1" applyFont="1" applyFill="1" applyBorder="1"/>
    <xf numFmtId="164" fontId="7" fillId="0" borderId="1" xfId="0" applyNumberFormat="1" applyFont="1" applyBorder="1"/>
    <xf numFmtId="10" fontId="36" fillId="0" borderId="0" xfId="0" applyNumberFormat="1" applyFont="1" applyFill="1" applyBorder="1"/>
    <xf numFmtId="0" fontId="0" fillId="0" borderId="0" xfId="0" applyBorder="1"/>
    <xf numFmtId="0" fontId="5" fillId="14" borderId="1" xfId="0" applyFont="1" applyFill="1" applyBorder="1"/>
    <xf numFmtId="0" fontId="5" fillId="11" borderId="1" xfId="0" applyFont="1" applyFill="1" applyBorder="1" applyAlignment="1">
      <alignment wrapText="1"/>
    </xf>
    <xf numFmtId="10" fontId="18" fillId="7" borderId="1" xfId="2" applyNumberFormat="1" applyFont="1" applyFill="1" applyBorder="1" applyAlignment="1">
      <alignment horizontal="center" vertical="center"/>
    </xf>
    <xf numFmtId="1" fontId="0" fillId="0" borderId="0" xfId="0" applyNumberFormat="1"/>
    <xf numFmtId="1" fontId="37" fillId="0" borderId="23" xfId="2" applyNumberFormat="1" applyFont="1" applyFill="1" applyBorder="1" applyAlignment="1">
      <alignment horizontal="right" vertical="center"/>
    </xf>
    <xf numFmtId="10" fontId="37" fillId="0" borderId="23" xfId="2" applyNumberFormat="1" applyFont="1" applyFill="1" applyBorder="1" applyAlignment="1">
      <alignment horizontal="right" vertical="center"/>
    </xf>
    <xf numFmtId="1" fontId="7" fillId="0" borderId="1" xfId="0" applyNumberFormat="1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32" fillId="0" borderId="0" xfId="0" applyFont="1" applyFill="1" applyBorder="1" applyAlignment="1">
      <alignment horizontal="center"/>
    </xf>
    <xf numFmtId="10" fontId="0" fillId="0" borderId="1" xfId="0" applyNumberFormat="1" applyBorder="1"/>
    <xf numFmtId="0" fontId="12" fillId="0" borderId="0" xfId="0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wrapText="1"/>
    </xf>
    <xf numFmtId="0" fontId="0" fillId="0" borderId="0" xfId="1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1" applyFont="1" applyFill="1" applyBorder="1" applyAlignment="1">
      <alignment horizontal="center" wrapText="1"/>
    </xf>
    <xf numFmtId="0" fontId="5" fillId="13" borderId="1" xfId="0" applyFont="1" applyFill="1" applyBorder="1" applyAlignment="1">
      <alignment horizontal="center"/>
    </xf>
    <xf numFmtId="0" fontId="5" fillId="10" borderId="3" xfId="1" applyFont="1" applyFill="1" applyBorder="1" applyAlignment="1">
      <alignment horizontal="center" wrapText="1"/>
    </xf>
    <xf numFmtId="0" fontId="5" fillId="10" borderId="32" xfId="1" applyFont="1" applyFill="1" applyBorder="1" applyAlignment="1">
      <alignment horizontal="center" wrapText="1"/>
    </xf>
    <xf numFmtId="0" fontId="5" fillId="10" borderId="4" xfId="1" applyFont="1" applyFill="1" applyBorder="1" applyAlignment="1">
      <alignment horizontal="center" wrapText="1"/>
    </xf>
    <xf numFmtId="0" fontId="26" fillId="8" borderId="53" xfId="3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2" xfId="0" applyBorder="1" applyAlignment="1">
      <alignment horizontal="center"/>
    </xf>
    <xf numFmtId="10" fontId="15" fillId="0" borderId="5" xfId="4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/>
    </xf>
    <xf numFmtId="10" fontId="15" fillId="0" borderId="6" xfId="4" applyNumberFormat="1" applyFont="1" applyBorder="1" applyAlignment="1">
      <alignment horizontal="center" vertical="center"/>
    </xf>
    <xf numFmtId="10" fontId="15" fillId="0" borderId="7" xfId="4" applyNumberFormat="1" applyFont="1" applyBorder="1" applyAlignment="1">
      <alignment horizontal="center" vertical="center"/>
    </xf>
    <xf numFmtId="10" fontId="15" fillId="0" borderId="10" xfId="4" applyNumberFormat="1" applyFont="1" applyBorder="1" applyAlignment="1">
      <alignment horizontal="center" vertical="center"/>
    </xf>
    <xf numFmtId="10" fontId="15" fillId="0" borderId="11" xfId="4" applyNumberFormat="1" applyFont="1" applyBorder="1" applyAlignment="1">
      <alignment horizontal="center" vertical="center"/>
    </xf>
    <xf numFmtId="10" fontId="15" fillId="0" borderId="12" xfId="4" applyNumberFormat="1" applyFont="1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9" fillId="9" borderId="44" xfId="3" applyFont="1" applyFill="1" applyBorder="1" applyAlignment="1">
      <alignment horizontal="left" vertical="center" wrapText="1"/>
    </xf>
    <xf numFmtId="0" fontId="19" fillId="9" borderId="45" xfId="3" applyFont="1" applyFill="1" applyBorder="1" applyAlignment="1">
      <alignment horizontal="left" vertical="center" wrapText="1"/>
    </xf>
    <xf numFmtId="0" fontId="19" fillId="9" borderId="46" xfId="3" applyFont="1" applyFill="1" applyBorder="1" applyAlignment="1">
      <alignment horizontal="left" vertical="center" wrapText="1"/>
    </xf>
    <xf numFmtId="0" fontId="19" fillId="9" borderId="48" xfId="3" applyFont="1" applyFill="1" applyBorder="1" applyAlignment="1">
      <alignment horizontal="left" vertical="center" wrapText="1"/>
    </xf>
    <xf numFmtId="0" fontId="19" fillId="9" borderId="49" xfId="3" applyFont="1" applyFill="1" applyBorder="1" applyAlignment="1">
      <alignment horizontal="left" vertical="center" wrapText="1"/>
    </xf>
    <xf numFmtId="0" fontId="20" fillId="8" borderId="53" xfId="3" applyFont="1" applyFill="1" applyBorder="1" applyAlignment="1">
      <alignment horizontal="center" vertical="center"/>
    </xf>
    <xf numFmtId="0" fontId="20" fillId="8" borderId="48" xfId="3" applyFont="1" applyFill="1" applyBorder="1" applyAlignment="1">
      <alignment horizontal="center" vertical="center"/>
    </xf>
    <xf numFmtId="0" fontId="20" fillId="8" borderId="49" xfId="3" applyFont="1" applyFill="1" applyBorder="1" applyAlignment="1">
      <alignment horizontal="center" vertical="center"/>
    </xf>
    <xf numFmtId="0" fontId="18" fillId="0" borderId="31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9" borderId="44" xfId="3" applyFont="1" applyFill="1" applyBorder="1" applyAlignment="1">
      <alignment horizontal="left" vertical="center"/>
    </xf>
    <xf numFmtId="0" fontId="19" fillId="9" borderId="45" xfId="3" applyFont="1" applyFill="1" applyBorder="1" applyAlignment="1">
      <alignment horizontal="left" vertical="center"/>
    </xf>
    <xf numFmtId="0" fontId="26" fillId="8" borderId="48" xfId="3" applyFont="1" applyFill="1" applyBorder="1" applyAlignment="1">
      <alignment horizontal="center"/>
    </xf>
    <xf numFmtId="0" fontId="26" fillId="8" borderId="52" xfId="3" applyFont="1" applyFill="1" applyBorder="1" applyAlignment="1">
      <alignment horizontal="center"/>
    </xf>
    <xf numFmtId="0" fontId="25" fillId="8" borderId="53" xfId="3" applyFont="1" applyFill="1" applyBorder="1" applyAlignment="1">
      <alignment horizontal="center" vertical="center"/>
    </xf>
    <xf numFmtId="0" fontId="25" fillId="8" borderId="48" xfId="3" applyFont="1" applyFill="1" applyBorder="1" applyAlignment="1">
      <alignment horizontal="center" vertical="center"/>
    </xf>
    <xf numFmtId="0" fontId="25" fillId="8" borderId="52" xfId="3" applyFont="1" applyFill="1" applyBorder="1" applyAlignment="1">
      <alignment horizontal="center" vertical="center"/>
    </xf>
    <xf numFmtId="0" fontId="21" fillId="9" borderId="48" xfId="3" applyFont="1" applyFill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20" fillId="8" borderId="13" xfId="3" applyFont="1" applyFill="1" applyBorder="1" applyAlignment="1">
      <alignment horizontal="center" vertical="center"/>
    </xf>
    <xf numFmtId="0" fontId="20" fillId="8" borderId="14" xfId="3" applyFont="1" applyFill="1" applyBorder="1" applyAlignment="1">
      <alignment horizontal="center" vertical="center"/>
    </xf>
    <xf numFmtId="0" fontId="20" fillId="8" borderId="46" xfId="3" applyFont="1" applyFill="1" applyBorder="1" applyAlignment="1">
      <alignment horizontal="center" vertical="center"/>
    </xf>
    <xf numFmtId="0" fontId="20" fillId="8" borderId="52" xfId="3" applyFont="1" applyFill="1" applyBorder="1" applyAlignment="1">
      <alignment horizontal="center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53" xfId="0" applyFont="1" applyBorder="1" applyAlignment="1">
      <alignment horizontal="left" vertical="center"/>
    </xf>
    <xf numFmtId="0" fontId="18" fillId="0" borderId="48" xfId="0" applyFont="1" applyBorder="1" applyAlignment="1">
      <alignment horizontal="left" vertical="center"/>
    </xf>
    <xf numFmtId="0" fontId="18" fillId="0" borderId="49" xfId="0" applyFont="1" applyBorder="1" applyAlignment="1">
      <alignment horizontal="left" vertical="center"/>
    </xf>
    <xf numFmtId="0" fontId="20" fillId="8" borderId="25" xfId="3" applyFont="1" applyFill="1" applyBorder="1" applyAlignment="1">
      <alignment horizontal="center" vertical="center"/>
    </xf>
    <xf numFmtId="0" fontId="20" fillId="8" borderId="26" xfId="3" applyFont="1" applyFill="1" applyBorder="1" applyAlignment="1">
      <alignment horizontal="center" vertical="center"/>
    </xf>
    <xf numFmtId="0" fontId="20" fillId="8" borderId="21" xfId="3" applyFont="1" applyFill="1" applyBorder="1" applyAlignment="1">
      <alignment horizontal="center" vertical="center"/>
    </xf>
    <xf numFmtId="0" fontId="20" fillId="8" borderId="27" xfId="3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0" fontId="18" fillId="0" borderId="30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8" fontId="18" fillId="0" borderId="35" xfId="2" applyNumberFormat="1" applyFont="1" applyFill="1" applyBorder="1" applyAlignment="1">
      <alignment horizontal="center" vertical="center"/>
    </xf>
    <xf numFmtId="168" fontId="18" fillId="0" borderId="36" xfId="2" applyNumberFormat="1" applyFont="1" applyFill="1" applyBorder="1" applyAlignment="1">
      <alignment horizontal="center" vertical="center"/>
    </xf>
    <xf numFmtId="168" fontId="18" fillId="0" borderId="37" xfId="2" applyNumberFormat="1" applyFont="1" applyFill="1" applyBorder="1" applyAlignment="1">
      <alignment horizontal="center" vertical="center"/>
    </xf>
    <xf numFmtId="168" fontId="18" fillId="0" borderId="39" xfId="2" applyNumberFormat="1" applyFont="1" applyFill="1" applyBorder="1" applyAlignment="1">
      <alignment horizontal="center" vertical="center"/>
    </xf>
    <xf numFmtId="168" fontId="18" fillId="0" borderId="0" xfId="2" applyNumberFormat="1" applyFont="1" applyFill="1" applyBorder="1" applyAlignment="1">
      <alignment horizontal="center" vertical="center"/>
    </xf>
    <xf numFmtId="168" fontId="18" fillId="0" borderId="9" xfId="2" applyNumberFormat="1" applyFont="1" applyFill="1" applyBorder="1" applyAlignment="1">
      <alignment horizontal="center" vertical="center"/>
    </xf>
    <xf numFmtId="168" fontId="18" fillId="0" borderId="43" xfId="2" applyNumberFormat="1" applyFont="1" applyFill="1" applyBorder="1" applyAlignment="1">
      <alignment horizontal="center" vertical="center"/>
    </xf>
    <xf numFmtId="168" fontId="18" fillId="0" borderId="11" xfId="2" applyNumberFormat="1" applyFont="1" applyFill="1" applyBorder="1" applyAlignment="1">
      <alignment horizontal="center" vertical="center"/>
    </xf>
    <xf numFmtId="168" fontId="18" fillId="0" borderId="12" xfId="2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40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18" fillId="0" borderId="13" xfId="3" applyFont="1" applyBorder="1" applyAlignment="1">
      <alignment horizontal="center" vertical="center"/>
    </xf>
    <xf numFmtId="0" fontId="18" fillId="0" borderId="14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0" fontId="18" fillId="0" borderId="23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6" borderId="13" xfId="0" applyFont="1" applyFill="1" applyBorder="1" applyAlignment="1">
      <alignment horizontal="center"/>
    </xf>
    <xf numFmtId="0" fontId="16" fillId="6" borderId="14" xfId="0" applyFont="1" applyFill="1" applyBorder="1" applyAlignment="1">
      <alignment horizontal="center"/>
    </xf>
    <xf numFmtId="0" fontId="16" fillId="6" borderId="16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6" fillId="6" borderId="19" xfId="0" applyFont="1" applyFill="1" applyBorder="1" applyAlignment="1">
      <alignment horizontal="center"/>
    </xf>
    <xf numFmtId="49" fontId="17" fillId="6" borderId="14" xfId="0" applyNumberFormat="1" applyFont="1" applyFill="1" applyBorder="1" applyAlignment="1">
      <alignment horizontal="center" vertical="center" wrapText="1"/>
    </xf>
    <xf numFmtId="49" fontId="17" fillId="6" borderId="15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7" fillId="6" borderId="17" xfId="0" applyNumberFormat="1" applyFont="1" applyFill="1" applyBorder="1" applyAlignment="1">
      <alignment horizontal="center" vertical="center" wrapText="1"/>
    </xf>
    <xf numFmtId="49" fontId="17" fillId="6" borderId="19" xfId="0" applyNumberFormat="1" applyFont="1" applyFill="1" applyBorder="1" applyAlignment="1">
      <alignment horizontal="center" vertical="center" wrapText="1"/>
    </xf>
    <xf numFmtId="167" fontId="17" fillId="6" borderId="1" xfId="0" applyNumberFormat="1" applyFont="1" applyFill="1" applyBorder="1" applyAlignment="1">
      <alignment horizontal="center" vertical="center" wrapText="1"/>
    </xf>
    <xf numFmtId="167" fontId="17" fillId="6" borderId="17" xfId="0" applyNumberFormat="1" applyFont="1" applyFill="1" applyBorder="1" applyAlignment="1">
      <alignment horizontal="center" vertical="center" wrapText="1"/>
    </xf>
    <xf numFmtId="167" fontId="17" fillId="6" borderId="19" xfId="0" applyNumberFormat="1" applyFont="1" applyFill="1" applyBorder="1" applyAlignment="1">
      <alignment horizontal="center" vertical="center" wrapText="1"/>
    </xf>
    <xf numFmtId="167" fontId="17" fillId="6" borderId="20" xfId="0" applyNumberFormat="1" applyFont="1" applyFill="1" applyBorder="1" applyAlignment="1">
      <alignment horizontal="center" vertical="center" wrapText="1"/>
    </xf>
    <xf numFmtId="0" fontId="38" fillId="11" borderId="1" xfId="0" applyFont="1" applyFill="1" applyBorder="1" applyAlignment="1">
      <alignment wrapText="1"/>
    </xf>
    <xf numFmtId="0" fontId="39" fillId="0" borderId="1" xfId="0" applyFont="1" applyBorder="1" applyAlignment="1">
      <alignment horizontal="center"/>
    </xf>
    <xf numFmtId="0" fontId="40" fillId="0" borderId="0" xfId="0" applyFont="1"/>
  </cellXfs>
  <cellStyles count="5">
    <cellStyle name="Millares 2" xfId="2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4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1" defaultTableStyle="TableStyleMedium2" defaultPivotStyle="PivotStyleLight16">
    <tableStyle name="Invisible" pivot="0" table="0" count="0" xr9:uid="{EA29B1A4-FD0E-4DA6-96D7-9BF43A2DAA2A}"/>
  </tableStyles>
  <colors>
    <mruColors>
      <color rgb="FF4674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523829</xdr:colOff>
      <xdr:row>12</xdr:row>
      <xdr:rowOff>928</xdr:rowOff>
    </xdr:from>
    <xdr:to>
      <xdr:col>16</xdr:col>
      <xdr:colOff>39184</xdr:colOff>
      <xdr:row>14</xdr:row>
      <xdr:rowOff>126923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68F9AA6-96D9-4E29-A85C-FDBC4CAD8794}"/>
            </a:ext>
          </a:extLst>
        </xdr:cNvPr>
        <xdr:cNvSpPr/>
      </xdr:nvSpPr>
      <xdr:spPr>
        <a:xfrm>
          <a:off x="10810829" y="2178071"/>
          <a:ext cx="1039355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Relaves</a:t>
          </a:r>
        </a:p>
      </xdr:txBody>
    </xdr:sp>
    <xdr:clientData/>
  </xdr:twoCellAnchor>
  <xdr:twoCellAnchor>
    <xdr:from>
      <xdr:col>6</xdr:col>
      <xdr:colOff>423165</xdr:colOff>
      <xdr:row>26</xdr:row>
      <xdr:rowOff>103966</xdr:rowOff>
    </xdr:from>
    <xdr:to>
      <xdr:col>6</xdr:col>
      <xdr:colOff>645659</xdr:colOff>
      <xdr:row>27</xdr:row>
      <xdr:rowOff>116849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D1B5281-43FB-49ED-BF3B-CCA42EEE27E2}"/>
            </a:ext>
          </a:extLst>
        </xdr:cNvPr>
        <xdr:cNvSpPr/>
      </xdr:nvSpPr>
      <xdr:spPr>
        <a:xfrm>
          <a:off x="4614165" y="4821109"/>
          <a:ext cx="222494" cy="194311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612635</xdr:colOff>
      <xdr:row>3</xdr:row>
      <xdr:rowOff>61856</xdr:rowOff>
    </xdr:from>
    <xdr:to>
      <xdr:col>9</xdr:col>
      <xdr:colOff>630009</xdr:colOff>
      <xdr:row>7</xdr:row>
      <xdr:rowOff>38801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8147C0F-DDD2-4547-9451-613F3E7E988F}"/>
            </a:ext>
          </a:extLst>
        </xdr:cNvPr>
        <xdr:cNvCxnSpPr>
          <a:cxnSpLocks/>
          <a:stCxn id="23" idx="2"/>
          <a:endCxn id="15" idx="0"/>
        </xdr:cNvCxnSpPr>
      </xdr:nvCxnSpPr>
      <xdr:spPr>
        <a:xfrm flipH="1">
          <a:off x="7089635" y="606142"/>
          <a:ext cx="17374" cy="702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751089</xdr:colOff>
      <xdr:row>8</xdr:row>
      <xdr:rowOff>8283</xdr:rowOff>
    </xdr:from>
    <xdr:to>
      <xdr:col>4</xdr:col>
      <xdr:colOff>567574</xdr:colOff>
      <xdr:row>10</xdr:row>
      <xdr:rowOff>160553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485581C5-9BD7-45B8-B11B-7D3BB7EFF288}"/>
            </a:ext>
          </a:extLst>
        </xdr:cNvPr>
        <xdr:cNvSpPr/>
      </xdr:nvSpPr>
      <xdr:spPr>
        <a:xfrm>
          <a:off x="1513089" y="1297333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6</xdr:row>
      <xdr:rowOff>174873</xdr:rowOff>
    </xdr:from>
    <xdr:to>
      <xdr:col>4</xdr:col>
      <xdr:colOff>534801</xdr:colOff>
      <xdr:row>8</xdr:row>
      <xdr:rowOff>159168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3ADE14A-0988-4904-955F-E05A76CC28A9}"/>
            </a:ext>
          </a:extLst>
        </xdr:cNvPr>
        <xdr:cNvSpPr/>
      </xdr:nvSpPr>
      <xdr:spPr>
        <a:xfrm>
          <a:off x="1044074" y="109562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3</xdr:col>
      <xdr:colOff>751089</xdr:colOff>
      <xdr:row>19</xdr:row>
      <xdr:rowOff>165944</xdr:rowOff>
    </xdr:from>
    <xdr:to>
      <xdr:col>4</xdr:col>
      <xdr:colOff>567574</xdr:colOff>
      <xdr:row>22</xdr:row>
      <xdr:rowOff>134064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273CEDEE-CD1C-46F8-9EEE-AF4979A1738B}"/>
            </a:ext>
          </a:extLst>
        </xdr:cNvPr>
        <xdr:cNvSpPr/>
      </xdr:nvSpPr>
      <xdr:spPr>
        <a:xfrm>
          <a:off x="1513089" y="3480644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243725</xdr:colOff>
      <xdr:row>18</xdr:row>
      <xdr:rowOff>173796</xdr:rowOff>
    </xdr:from>
    <xdr:to>
      <xdr:col>4</xdr:col>
      <xdr:colOff>496452</xdr:colOff>
      <xdr:row>20</xdr:row>
      <xdr:rowOff>158091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4013926-7689-4F9C-B503-88B9944B92DD}"/>
            </a:ext>
          </a:extLst>
        </xdr:cNvPr>
        <xdr:cNvSpPr/>
      </xdr:nvSpPr>
      <xdr:spPr>
        <a:xfrm>
          <a:off x="1005725" y="3304346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Alianza</a:t>
          </a:r>
        </a:p>
      </xdr:txBody>
    </xdr:sp>
    <xdr:clientData/>
  </xdr:twoCellAnchor>
  <xdr:twoCellAnchor>
    <xdr:from>
      <xdr:col>3</xdr:col>
      <xdr:colOff>743235</xdr:colOff>
      <xdr:row>30</xdr:row>
      <xdr:rowOff>1613</xdr:rowOff>
    </xdr:from>
    <xdr:to>
      <xdr:col>4</xdr:col>
      <xdr:colOff>559720</xdr:colOff>
      <xdr:row>32</xdr:row>
      <xdr:rowOff>154460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B0202159-E43B-4B93-8ED6-0CFDB3D0800A}"/>
            </a:ext>
          </a:extLst>
        </xdr:cNvPr>
        <xdr:cNvSpPr/>
      </xdr:nvSpPr>
      <xdr:spPr>
        <a:xfrm>
          <a:off x="2532780" y="5543431"/>
          <a:ext cx="578485" cy="52230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224326</xdr:colOff>
      <xdr:row>29</xdr:row>
      <xdr:rowOff>90283</xdr:rowOff>
    </xdr:from>
    <xdr:to>
      <xdr:col>4</xdr:col>
      <xdr:colOff>477053</xdr:colOff>
      <xdr:row>31</xdr:row>
      <xdr:rowOff>74578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990EDDE-A564-4E53-B237-D7AEDF65DEC3}"/>
            </a:ext>
          </a:extLst>
        </xdr:cNvPr>
        <xdr:cNvSpPr/>
      </xdr:nvSpPr>
      <xdr:spPr>
        <a:xfrm>
          <a:off x="986326" y="524648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4</xdr:col>
      <xdr:colOff>9895</xdr:colOff>
      <xdr:row>50</xdr:row>
      <xdr:rowOff>37334</xdr:rowOff>
    </xdr:from>
    <xdr:to>
      <xdr:col>4</xdr:col>
      <xdr:colOff>588380</xdr:colOff>
      <xdr:row>53</xdr:row>
      <xdr:rowOff>5454</xdr:rowOff>
    </xdr:to>
    <xdr:sp macro="" textlink="">
      <xdr:nvSpPr>
        <xdr:cNvPr id="13" name="Triángulo isósceles 12">
          <a:extLst>
            <a:ext uri="{FF2B5EF4-FFF2-40B4-BE49-F238E27FC236}">
              <a16:creationId xmlns:a16="http://schemas.microsoft.com/office/drawing/2014/main" id="{CB4B8B3D-41E6-4035-8D67-55329A3028AA}"/>
            </a:ext>
          </a:extLst>
        </xdr:cNvPr>
        <xdr:cNvSpPr/>
      </xdr:nvSpPr>
      <xdr:spPr>
        <a:xfrm>
          <a:off x="2558966" y="9108763"/>
          <a:ext cx="578485" cy="512405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50</xdr:row>
      <xdr:rowOff>42730</xdr:rowOff>
    </xdr:from>
    <xdr:to>
      <xdr:col>4</xdr:col>
      <xdr:colOff>98559</xdr:colOff>
      <xdr:row>51</xdr:row>
      <xdr:rowOff>132200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95BB97F-E6AF-42CD-8C02-D32400835472}"/>
            </a:ext>
          </a:extLst>
        </xdr:cNvPr>
        <xdr:cNvSpPr/>
      </xdr:nvSpPr>
      <xdr:spPr>
        <a:xfrm>
          <a:off x="1044074" y="9066080"/>
          <a:ext cx="578485" cy="273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GC</a:t>
          </a:r>
        </a:p>
      </xdr:txBody>
    </xdr:sp>
    <xdr:clientData/>
  </xdr:twoCellAnchor>
  <xdr:twoCellAnchor>
    <xdr:from>
      <xdr:col>9</xdr:col>
      <xdr:colOff>19035</xdr:colOff>
      <xdr:row>7</xdr:row>
      <xdr:rowOff>38801</xdr:rowOff>
    </xdr:from>
    <xdr:to>
      <xdr:col>10</xdr:col>
      <xdr:colOff>444235</xdr:colOff>
      <xdr:row>9</xdr:row>
      <xdr:rowOff>164796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17D6511-2795-4C3A-A17D-E603E40FEFC6}"/>
            </a:ext>
          </a:extLst>
        </xdr:cNvPr>
        <xdr:cNvSpPr/>
      </xdr:nvSpPr>
      <xdr:spPr>
        <a:xfrm>
          <a:off x="6496035" y="1308801"/>
          <a:ext cx="1187200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1</a:t>
          </a:r>
        </a:p>
      </xdr:txBody>
    </xdr:sp>
    <xdr:clientData/>
  </xdr:twoCellAnchor>
  <xdr:twoCellAnchor>
    <xdr:from>
      <xdr:col>9</xdr:col>
      <xdr:colOff>9512</xdr:colOff>
      <xdr:row>12</xdr:row>
      <xdr:rowOff>163438</xdr:rowOff>
    </xdr:from>
    <xdr:to>
      <xdr:col>10</xdr:col>
      <xdr:colOff>434712</xdr:colOff>
      <xdr:row>15</xdr:row>
      <xdr:rowOff>88349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BA75CD8A-9EED-4230-9DFB-A0F381A904D7}"/>
            </a:ext>
          </a:extLst>
        </xdr:cNvPr>
        <xdr:cNvSpPr/>
      </xdr:nvSpPr>
      <xdr:spPr>
        <a:xfrm>
          <a:off x="7070712" y="2508705"/>
          <a:ext cx="1254933" cy="5091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2</a:t>
          </a:r>
        </a:p>
      </xdr:txBody>
    </xdr:sp>
    <xdr:clientData/>
  </xdr:twoCellAnchor>
  <xdr:twoCellAnchor>
    <xdr:from>
      <xdr:col>8</xdr:col>
      <xdr:colOff>710901</xdr:colOff>
      <xdr:row>26</xdr:row>
      <xdr:rowOff>113988</xdr:rowOff>
    </xdr:from>
    <xdr:to>
      <xdr:col>10</xdr:col>
      <xdr:colOff>489604</xdr:colOff>
      <xdr:row>29</xdr:row>
      <xdr:rowOff>58554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3D6FC9B-4516-4FF8-B644-8EB11A232029}"/>
            </a:ext>
          </a:extLst>
        </xdr:cNvPr>
        <xdr:cNvSpPr/>
      </xdr:nvSpPr>
      <xdr:spPr>
        <a:xfrm>
          <a:off x="6425901" y="4831131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HIDROSEPARACIÓN</a:t>
          </a:r>
        </a:p>
      </xdr:txBody>
    </xdr:sp>
    <xdr:clientData/>
  </xdr:twoCellAnchor>
  <xdr:twoCellAnchor>
    <xdr:from>
      <xdr:col>8</xdr:col>
      <xdr:colOff>709072</xdr:colOff>
      <xdr:row>33</xdr:row>
      <xdr:rowOff>110981</xdr:rowOff>
    </xdr:from>
    <xdr:to>
      <xdr:col>10</xdr:col>
      <xdr:colOff>487775</xdr:colOff>
      <xdr:row>36</xdr:row>
      <xdr:rowOff>55547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D01B5443-B922-4A34-AEFC-E224564B9580}"/>
            </a:ext>
          </a:extLst>
        </xdr:cNvPr>
        <xdr:cNvSpPr/>
      </xdr:nvSpPr>
      <xdr:spPr>
        <a:xfrm>
          <a:off x="6424072" y="6098124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FINISHER</a:t>
          </a:r>
        </a:p>
      </xdr:txBody>
    </xdr:sp>
    <xdr:clientData/>
  </xdr:twoCellAnchor>
  <xdr:twoCellAnchor>
    <xdr:from>
      <xdr:col>8</xdr:col>
      <xdr:colOff>716933</xdr:colOff>
      <xdr:row>39</xdr:row>
      <xdr:rowOff>192163</xdr:rowOff>
    </xdr:from>
    <xdr:to>
      <xdr:col>10</xdr:col>
      <xdr:colOff>495636</xdr:colOff>
      <xdr:row>42</xdr:row>
      <xdr:rowOff>126146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AB763A55-4AED-4302-B12A-F3ECB5ADF4FF}"/>
            </a:ext>
          </a:extLst>
        </xdr:cNvPr>
        <xdr:cNvSpPr/>
      </xdr:nvSpPr>
      <xdr:spPr>
        <a:xfrm>
          <a:off x="6948400" y="7795230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MAGNETICA </a:t>
          </a:r>
        </a:p>
      </xdr:txBody>
    </xdr:sp>
    <xdr:clientData/>
  </xdr:twoCellAnchor>
  <xdr:twoCellAnchor>
    <xdr:from>
      <xdr:col>8</xdr:col>
      <xdr:colOff>640127</xdr:colOff>
      <xdr:row>49</xdr:row>
      <xdr:rowOff>64297</xdr:rowOff>
    </xdr:from>
    <xdr:to>
      <xdr:col>10</xdr:col>
      <xdr:colOff>418830</xdr:colOff>
      <xdr:row>52</xdr:row>
      <xdr:rowOff>8863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357ECABB-D3AE-4EE7-8F66-7D9CA2FEDBD2}"/>
            </a:ext>
          </a:extLst>
        </xdr:cNvPr>
        <xdr:cNvSpPr/>
      </xdr:nvSpPr>
      <xdr:spPr>
        <a:xfrm>
          <a:off x="6998594" y="9614697"/>
          <a:ext cx="1438169" cy="52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ESPESADOR </a:t>
          </a:r>
        </a:p>
      </xdr:txBody>
    </xdr:sp>
    <xdr:clientData/>
  </xdr:twoCellAnchor>
  <xdr:twoCellAnchor>
    <xdr:from>
      <xdr:col>6</xdr:col>
      <xdr:colOff>248497</xdr:colOff>
      <xdr:row>56</xdr:row>
      <xdr:rowOff>114415</xdr:rowOff>
    </xdr:from>
    <xdr:to>
      <xdr:col>7</xdr:col>
      <xdr:colOff>64982</xdr:colOff>
      <xdr:row>59</xdr:row>
      <xdr:rowOff>82535</xdr:rowOff>
    </xdr:to>
    <xdr:sp macro="" textlink="">
      <xdr:nvSpPr>
        <xdr:cNvPr id="21" name="Triángulo isósceles 20">
          <a:extLst>
            <a:ext uri="{FF2B5EF4-FFF2-40B4-BE49-F238E27FC236}">
              <a16:creationId xmlns:a16="http://schemas.microsoft.com/office/drawing/2014/main" id="{7B71890E-09C3-483D-86DF-512C5F6BD74E}"/>
            </a:ext>
          </a:extLst>
        </xdr:cNvPr>
        <xdr:cNvSpPr/>
      </xdr:nvSpPr>
      <xdr:spPr>
        <a:xfrm>
          <a:off x="4439497" y="1027441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702298</xdr:colOff>
      <xdr:row>57</xdr:row>
      <xdr:rowOff>91324</xdr:rowOff>
    </xdr:from>
    <xdr:to>
      <xdr:col>7</xdr:col>
      <xdr:colOff>77570</xdr:colOff>
      <xdr:row>59</xdr:row>
      <xdr:rowOff>75619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96291BD0-7E2A-4BFD-8755-A6019C8DFB81}"/>
            </a:ext>
          </a:extLst>
        </xdr:cNvPr>
        <xdr:cNvSpPr/>
      </xdr:nvSpPr>
      <xdr:spPr>
        <a:xfrm>
          <a:off x="4015843" y="10632324"/>
          <a:ext cx="1014727" cy="353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INTERMEDIO</a:t>
          </a:r>
        </a:p>
      </xdr:txBody>
    </xdr:sp>
    <xdr:clientData/>
  </xdr:twoCellAnchor>
  <xdr:twoCellAnchor>
    <xdr:from>
      <xdr:col>9</xdr:col>
      <xdr:colOff>122645</xdr:colOff>
      <xdr:row>1</xdr:row>
      <xdr:rowOff>83911</xdr:rowOff>
    </xdr:from>
    <xdr:to>
      <xdr:col>10</xdr:col>
      <xdr:colOff>375372</xdr:colOff>
      <xdr:row>3</xdr:row>
      <xdr:rowOff>61856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D1584F24-FC21-4B56-A46C-B8D7828330EE}"/>
            </a:ext>
          </a:extLst>
        </xdr:cNvPr>
        <xdr:cNvSpPr/>
      </xdr:nvSpPr>
      <xdr:spPr>
        <a:xfrm>
          <a:off x="6599645" y="265340"/>
          <a:ext cx="1014727" cy="340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 b="1">
              <a:solidFill>
                <a:schemeClr val="tx1"/>
              </a:solidFill>
            </a:rPr>
            <a:t>ALIMENTACIÓN CMCC</a:t>
          </a:r>
        </a:p>
      </xdr:txBody>
    </xdr:sp>
    <xdr:clientData/>
  </xdr:twoCellAnchor>
  <xdr:twoCellAnchor>
    <xdr:from>
      <xdr:col>3</xdr:col>
      <xdr:colOff>194235</xdr:colOff>
      <xdr:row>9</xdr:row>
      <xdr:rowOff>74706</xdr:rowOff>
    </xdr:from>
    <xdr:to>
      <xdr:col>4</xdr:col>
      <xdr:colOff>133710</xdr:colOff>
      <xdr:row>9</xdr:row>
      <xdr:rowOff>84418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48816B03-D66D-4A89-8463-B82D1B07E484}"/>
            </a:ext>
          </a:extLst>
        </xdr:cNvPr>
        <xdr:cNvCxnSpPr>
          <a:cxnSpLocks/>
          <a:endCxn id="5" idx="1"/>
        </xdr:cNvCxnSpPr>
      </xdr:nvCxnSpPr>
      <xdr:spPr>
        <a:xfrm>
          <a:off x="1718235" y="1568824"/>
          <a:ext cx="701475" cy="9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117929</xdr:colOff>
      <xdr:row>21</xdr:row>
      <xdr:rowOff>54429</xdr:rowOff>
    </xdr:from>
    <xdr:to>
      <xdr:col>4</xdr:col>
      <xdr:colOff>133710</xdr:colOff>
      <xdr:row>21</xdr:row>
      <xdr:rowOff>59290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73ACD44-DDFC-4753-A651-D2FF7080DCE5}"/>
            </a:ext>
          </a:extLst>
        </xdr:cNvPr>
        <xdr:cNvCxnSpPr>
          <a:cxnSpLocks/>
          <a:endCxn id="7" idx="1"/>
        </xdr:cNvCxnSpPr>
      </xdr:nvCxnSpPr>
      <xdr:spPr>
        <a:xfrm>
          <a:off x="1905000" y="3873500"/>
          <a:ext cx="777781" cy="4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11545</xdr:colOff>
      <xdr:row>31</xdr:row>
      <xdr:rowOff>77748</xdr:rowOff>
    </xdr:from>
    <xdr:to>
      <xdr:col>4</xdr:col>
      <xdr:colOff>125856</xdr:colOff>
      <xdr:row>31</xdr:row>
      <xdr:rowOff>87404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378575E5-7510-4B92-B776-EE0299055F5F}"/>
            </a:ext>
          </a:extLst>
        </xdr:cNvPr>
        <xdr:cNvCxnSpPr>
          <a:cxnSpLocks/>
          <a:endCxn id="9" idx="1"/>
        </xdr:cNvCxnSpPr>
      </xdr:nvCxnSpPr>
      <xdr:spPr>
        <a:xfrm flipV="1">
          <a:off x="1801090" y="5804293"/>
          <a:ext cx="876311" cy="9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21</xdr:row>
      <xdr:rowOff>59290</xdr:rowOff>
    </xdr:from>
    <xdr:to>
      <xdr:col>6</xdr:col>
      <xdr:colOff>423165</xdr:colOff>
      <xdr:row>27</xdr:row>
      <xdr:rowOff>19694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93327558-AF2E-4E18-B8B9-0D37B056B56F}"/>
            </a:ext>
          </a:extLst>
        </xdr:cNvPr>
        <xdr:cNvCxnSpPr>
          <a:cxnSpLocks/>
          <a:stCxn id="7" idx="5"/>
          <a:endCxn id="3" idx="2"/>
        </xdr:cNvCxnSpPr>
      </xdr:nvCxnSpPr>
      <xdr:spPr>
        <a:xfrm>
          <a:off x="2972024" y="3869290"/>
          <a:ext cx="1642141" cy="1048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415099</xdr:colOff>
      <xdr:row>27</xdr:row>
      <xdr:rowOff>19694</xdr:rowOff>
    </xdr:from>
    <xdr:to>
      <xdr:col>6</xdr:col>
      <xdr:colOff>423165</xdr:colOff>
      <xdr:row>31</xdr:row>
      <xdr:rowOff>78036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D9D3921F-6094-4468-8890-3D1533D905E6}"/>
            </a:ext>
          </a:extLst>
        </xdr:cNvPr>
        <xdr:cNvCxnSpPr>
          <a:cxnSpLocks/>
          <a:stCxn id="9" idx="5"/>
          <a:endCxn id="3" idx="2"/>
        </xdr:cNvCxnSpPr>
      </xdr:nvCxnSpPr>
      <xdr:spPr>
        <a:xfrm flipV="1">
          <a:off x="2964170" y="4918265"/>
          <a:ext cx="1649995" cy="784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443759</xdr:colOff>
      <xdr:row>27</xdr:row>
      <xdr:rowOff>19694</xdr:rowOff>
    </xdr:from>
    <xdr:to>
      <xdr:col>6</xdr:col>
      <xdr:colOff>423165</xdr:colOff>
      <xdr:row>51</xdr:row>
      <xdr:rowOff>112109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52FA3926-2C43-41E8-9577-3EC6195F0AB9}"/>
            </a:ext>
          </a:extLst>
        </xdr:cNvPr>
        <xdr:cNvCxnSpPr>
          <a:cxnSpLocks/>
          <a:stCxn id="13" idx="5"/>
          <a:endCxn id="3" idx="2"/>
        </xdr:cNvCxnSpPr>
      </xdr:nvCxnSpPr>
      <xdr:spPr>
        <a:xfrm flipV="1">
          <a:off x="2992830" y="4918265"/>
          <a:ext cx="1621335" cy="44467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9</xdr:row>
      <xdr:rowOff>84419</xdr:rowOff>
    </xdr:from>
    <xdr:to>
      <xdr:col>6</xdr:col>
      <xdr:colOff>423165</xdr:colOff>
      <xdr:row>27</xdr:row>
      <xdr:rowOff>19694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C7F292A0-9A56-450F-9350-6B0D9C364570}"/>
            </a:ext>
          </a:extLst>
        </xdr:cNvPr>
        <xdr:cNvCxnSpPr>
          <a:cxnSpLocks/>
          <a:stCxn id="5" idx="5"/>
          <a:endCxn id="3" idx="2"/>
        </xdr:cNvCxnSpPr>
      </xdr:nvCxnSpPr>
      <xdr:spPr>
        <a:xfrm>
          <a:off x="2972024" y="1717276"/>
          <a:ext cx="1642141" cy="32009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95262</xdr:colOff>
      <xdr:row>51</xdr:row>
      <xdr:rowOff>113469</xdr:rowOff>
    </xdr:from>
    <xdr:to>
      <xdr:col>4</xdr:col>
      <xdr:colOff>154516</xdr:colOff>
      <xdr:row>51</xdr:row>
      <xdr:rowOff>113469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9816B2F9-4145-4D3B-8A77-8C579435FC21}"/>
            </a:ext>
          </a:extLst>
        </xdr:cNvPr>
        <xdr:cNvCxnSpPr>
          <a:cxnSpLocks/>
          <a:endCxn id="13" idx="1"/>
        </xdr:cNvCxnSpPr>
      </xdr:nvCxnSpPr>
      <xdr:spPr>
        <a:xfrm>
          <a:off x="1882333" y="9366326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534412</xdr:colOff>
      <xdr:row>27</xdr:row>
      <xdr:rowOff>116849</xdr:rowOff>
    </xdr:from>
    <xdr:to>
      <xdr:col>6</xdr:col>
      <xdr:colOff>537740</xdr:colOff>
      <xdr:row>56</xdr:row>
      <xdr:rowOff>114415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BA1D891-02F1-4E99-8C9E-182A1002351B}"/>
            </a:ext>
          </a:extLst>
        </xdr:cNvPr>
        <xdr:cNvCxnSpPr>
          <a:cxnSpLocks/>
          <a:stCxn id="21" idx="0"/>
          <a:endCxn id="3" idx="4"/>
        </xdr:cNvCxnSpPr>
      </xdr:nvCxnSpPr>
      <xdr:spPr>
        <a:xfrm flipH="1" flipV="1">
          <a:off x="4725412" y="5015420"/>
          <a:ext cx="3328" cy="5258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600253</xdr:colOff>
      <xdr:row>23</xdr:row>
      <xdr:rowOff>36285</xdr:rowOff>
    </xdr:from>
    <xdr:to>
      <xdr:col>9</xdr:col>
      <xdr:colOff>603111</xdr:colOff>
      <xdr:row>26</xdr:row>
      <xdr:rowOff>113988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9C1CB759-71D5-4B37-99AE-E445DC76C559}"/>
            </a:ext>
          </a:extLst>
        </xdr:cNvPr>
        <xdr:cNvCxnSpPr>
          <a:cxnSpLocks/>
          <a:stCxn id="67" idx="2"/>
          <a:endCxn id="17" idx="0"/>
        </xdr:cNvCxnSpPr>
      </xdr:nvCxnSpPr>
      <xdr:spPr>
        <a:xfrm rot="5400000">
          <a:off x="6767688" y="4527779"/>
          <a:ext cx="621988" cy="28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646502</xdr:colOff>
      <xdr:row>9</xdr:row>
      <xdr:rowOff>164796</xdr:rowOff>
    </xdr:from>
    <xdr:to>
      <xdr:col>9</xdr:col>
      <xdr:colOff>651933</xdr:colOff>
      <xdr:row>12</xdr:row>
      <xdr:rowOff>67733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4EE3CC1A-037C-4185-81C3-DFC904E5640C}"/>
            </a:ext>
          </a:extLst>
        </xdr:cNvPr>
        <xdr:cNvCxnSpPr>
          <a:cxnSpLocks/>
          <a:stCxn id="15" idx="2"/>
        </xdr:cNvCxnSpPr>
      </xdr:nvCxnSpPr>
      <xdr:spPr>
        <a:xfrm>
          <a:off x="7707702" y="1925863"/>
          <a:ext cx="5431" cy="487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636977</xdr:colOff>
      <xdr:row>15</xdr:row>
      <xdr:rowOff>88349</xdr:rowOff>
    </xdr:from>
    <xdr:to>
      <xdr:col>9</xdr:col>
      <xdr:colOff>636979</xdr:colOff>
      <xdr:row>21</xdr:row>
      <xdr:rowOff>37044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65969FE-2847-4970-948C-158DC701EFAB}"/>
            </a:ext>
          </a:extLst>
        </xdr:cNvPr>
        <xdr:cNvCxnSpPr>
          <a:cxnSpLocks/>
          <a:stCxn id="16" idx="2"/>
          <a:endCxn id="67" idx="0"/>
        </xdr:cNvCxnSpPr>
      </xdr:nvCxnSpPr>
      <xdr:spPr>
        <a:xfrm flipH="1">
          <a:off x="7698177" y="3017816"/>
          <a:ext cx="2" cy="111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29</xdr:row>
      <xdr:rowOff>58554</xdr:rowOff>
    </xdr:from>
    <xdr:to>
      <xdr:col>9</xdr:col>
      <xdr:colOff>600253</xdr:colOff>
      <xdr:row>33</xdr:row>
      <xdr:rowOff>110981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2AC6FE8-C13D-47C3-B2F6-34667C22C435}"/>
            </a:ext>
          </a:extLst>
        </xdr:cNvPr>
        <xdr:cNvCxnSpPr>
          <a:cxnSpLocks/>
          <a:stCxn id="17" idx="2"/>
          <a:endCxn id="18" idx="0"/>
        </xdr:cNvCxnSpPr>
      </xdr:nvCxnSpPr>
      <xdr:spPr>
        <a:xfrm flipH="1">
          <a:off x="7075424" y="5319983"/>
          <a:ext cx="1829" cy="778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36</xdr:row>
      <xdr:rowOff>55547</xdr:rowOff>
    </xdr:from>
    <xdr:to>
      <xdr:col>9</xdr:col>
      <xdr:colOff>606285</xdr:colOff>
      <xdr:row>39</xdr:row>
      <xdr:rowOff>192163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8E3BAEF8-D634-4948-B97E-9D1D3A9E0B6A}"/>
            </a:ext>
          </a:extLst>
        </xdr:cNvPr>
        <xdr:cNvCxnSpPr>
          <a:cxnSpLocks/>
          <a:stCxn id="18" idx="2"/>
          <a:endCxn id="19" idx="0"/>
        </xdr:cNvCxnSpPr>
      </xdr:nvCxnSpPr>
      <xdr:spPr>
        <a:xfrm>
          <a:off x="7659624" y="7074414"/>
          <a:ext cx="7861" cy="7208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589351</xdr:colOff>
      <xdr:row>42</xdr:row>
      <xdr:rowOff>126146</xdr:rowOff>
    </xdr:from>
    <xdr:to>
      <xdr:col>9</xdr:col>
      <xdr:colOff>606285</xdr:colOff>
      <xdr:row>45</xdr:row>
      <xdr:rowOff>82097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1E1FC329-CA8C-4330-8A7C-7F1BE3169CB4}"/>
            </a:ext>
          </a:extLst>
        </xdr:cNvPr>
        <xdr:cNvCxnSpPr>
          <a:cxnSpLocks/>
          <a:stCxn id="19" idx="2"/>
          <a:endCxn id="83" idx="0"/>
        </xdr:cNvCxnSpPr>
      </xdr:nvCxnSpPr>
      <xdr:spPr>
        <a:xfrm flipH="1">
          <a:off x="7777551" y="8313413"/>
          <a:ext cx="16934" cy="540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640126</xdr:colOff>
      <xdr:row>46</xdr:row>
      <xdr:rowOff>87190</xdr:rowOff>
    </xdr:from>
    <xdr:to>
      <xdr:col>8</xdr:col>
      <xdr:colOff>674597</xdr:colOff>
      <xdr:row>50</xdr:row>
      <xdr:rowOff>133948</xdr:rowOff>
    </xdr:to>
    <xdr:cxnSp macro="">
      <xdr:nvCxnSpPr>
        <xdr:cNvPr id="41" name="Conector: angular 40">
          <a:extLst>
            <a:ext uri="{FF2B5EF4-FFF2-40B4-BE49-F238E27FC236}">
              <a16:creationId xmlns:a16="http://schemas.microsoft.com/office/drawing/2014/main" id="{392F415D-28D5-4E59-985E-F98B83DBE5DF}"/>
            </a:ext>
          </a:extLst>
        </xdr:cNvPr>
        <xdr:cNvCxnSpPr>
          <a:cxnSpLocks/>
          <a:stCxn id="20" idx="1"/>
        </xdr:cNvCxnSpPr>
      </xdr:nvCxnSpPr>
      <xdr:spPr>
        <a:xfrm rot="10800000" flipH="1">
          <a:off x="6998593" y="9053390"/>
          <a:ext cx="34471" cy="825691"/>
        </a:xfrm>
        <a:prstGeom prst="bentConnector4">
          <a:avLst>
            <a:gd name="adj1" fmla="val -663166"/>
            <a:gd name="adj2" fmla="val 977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733161</xdr:colOff>
      <xdr:row>52</xdr:row>
      <xdr:rowOff>8863</xdr:rowOff>
    </xdr:from>
    <xdr:to>
      <xdr:col>9</xdr:col>
      <xdr:colOff>529479</xdr:colOff>
      <xdr:row>57</xdr:row>
      <xdr:rowOff>200075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FC76E418-4A7A-4B0B-A046-ABED85BE2281}"/>
            </a:ext>
          </a:extLst>
        </xdr:cNvPr>
        <xdr:cNvCxnSpPr>
          <a:cxnSpLocks/>
          <a:stCxn id="20" idx="2"/>
          <a:endCxn id="21" idx="5"/>
        </xdr:cNvCxnSpPr>
      </xdr:nvCxnSpPr>
      <xdr:spPr>
        <a:xfrm rot="5400000">
          <a:off x="5907814" y="9540810"/>
          <a:ext cx="1207212" cy="241251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418830</xdr:colOff>
      <xdr:row>50</xdr:row>
      <xdr:rowOff>128656</xdr:rowOff>
    </xdr:from>
    <xdr:to>
      <xdr:col>10</xdr:col>
      <xdr:colOff>611414</xdr:colOff>
      <xdr:row>61</xdr:row>
      <xdr:rowOff>95841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DFBB680F-83B7-4D87-AD18-DC5367790287}"/>
            </a:ext>
          </a:extLst>
        </xdr:cNvPr>
        <xdr:cNvCxnSpPr>
          <a:cxnSpLocks/>
          <a:stCxn id="20" idx="3"/>
        </xdr:cNvCxnSpPr>
      </xdr:nvCxnSpPr>
      <xdr:spPr>
        <a:xfrm>
          <a:off x="8436763" y="9873789"/>
          <a:ext cx="192584" cy="21600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495636</xdr:colOff>
      <xdr:row>13</xdr:row>
      <xdr:rowOff>63926</xdr:rowOff>
    </xdr:from>
    <xdr:to>
      <xdr:col>14</xdr:col>
      <xdr:colOff>523829</xdr:colOff>
      <xdr:row>41</xdr:row>
      <xdr:rowOff>61789</xdr:rowOff>
    </xdr:to>
    <xdr:cxnSp macro="">
      <xdr:nvCxnSpPr>
        <xdr:cNvPr id="44" name="Conector: angular 43">
          <a:extLst>
            <a:ext uri="{FF2B5EF4-FFF2-40B4-BE49-F238E27FC236}">
              <a16:creationId xmlns:a16="http://schemas.microsoft.com/office/drawing/2014/main" id="{FEC979D9-117E-4A1D-9B08-33D4BE052854}"/>
            </a:ext>
          </a:extLst>
        </xdr:cNvPr>
        <xdr:cNvCxnSpPr>
          <a:cxnSpLocks/>
          <a:stCxn id="19" idx="3"/>
          <a:endCxn id="2" idx="1"/>
        </xdr:cNvCxnSpPr>
      </xdr:nvCxnSpPr>
      <xdr:spPr>
        <a:xfrm flipV="1">
          <a:off x="8386569" y="2603926"/>
          <a:ext cx="3550327" cy="5450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487775</xdr:colOff>
      <xdr:row>13</xdr:row>
      <xdr:rowOff>63926</xdr:rowOff>
    </xdr:from>
    <xdr:to>
      <xdr:col>14</xdr:col>
      <xdr:colOff>523829</xdr:colOff>
      <xdr:row>34</xdr:row>
      <xdr:rowOff>173979</xdr:rowOff>
    </xdr:to>
    <xdr:cxnSp macro="">
      <xdr:nvCxnSpPr>
        <xdr:cNvPr id="45" name="Conector: angular 44">
          <a:extLst>
            <a:ext uri="{FF2B5EF4-FFF2-40B4-BE49-F238E27FC236}">
              <a16:creationId xmlns:a16="http://schemas.microsoft.com/office/drawing/2014/main" id="{6C62BFCE-7EB7-40B5-A8E1-B2944DFCC4DE}"/>
            </a:ext>
          </a:extLst>
        </xdr:cNvPr>
        <xdr:cNvCxnSpPr>
          <a:cxnSpLocks/>
          <a:stCxn id="18" idx="3"/>
          <a:endCxn id="2" idx="1"/>
        </xdr:cNvCxnSpPr>
      </xdr:nvCxnSpPr>
      <xdr:spPr>
        <a:xfrm flipV="1">
          <a:off x="7726775" y="2422497"/>
          <a:ext cx="3084054" cy="392005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489604</xdr:colOff>
      <xdr:row>13</xdr:row>
      <xdr:rowOff>63926</xdr:rowOff>
    </xdr:from>
    <xdr:to>
      <xdr:col>14</xdr:col>
      <xdr:colOff>523829</xdr:colOff>
      <xdr:row>27</xdr:row>
      <xdr:rowOff>176986</xdr:rowOff>
    </xdr:to>
    <xdr:cxnSp macro="">
      <xdr:nvCxnSpPr>
        <xdr:cNvPr id="46" name="Conector: angular 45">
          <a:extLst>
            <a:ext uri="{FF2B5EF4-FFF2-40B4-BE49-F238E27FC236}">
              <a16:creationId xmlns:a16="http://schemas.microsoft.com/office/drawing/2014/main" id="{86F558C9-B581-4621-9D32-70D56DE6E877}"/>
            </a:ext>
          </a:extLst>
        </xdr:cNvPr>
        <xdr:cNvCxnSpPr>
          <a:cxnSpLocks/>
          <a:stCxn id="17" idx="3"/>
          <a:endCxn id="2" idx="1"/>
        </xdr:cNvCxnSpPr>
      </xdr:nvCxnSpPr>
      <xdr:spPr>
        <a:xfrm flipV="1">
          <a:off x="7728604" y="2422497"/>
          <a:ext cx="3082225" cy="26530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434712</xdr:colOff>
      <xdr:row>13</xdr:row>
      <xdr:rowOff>63926</xdr:rowOff>
    </xdr:from>
    <xdr:to>
      <xdr:col>14</xdr:col>
      <xdr:colOff>523829</xdr:colOff>
      <xdr:row>14</xdr:row>
      <xdr:rowOff>28528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30067F82-1420-4B71-9240-F21AAE46010B}"/>
            </a:ext>
          </a:extLst>
        </xdr:cNvPr>
        <xdr:cNvCxnSpPr>
          <a:cxnSpLocks/>
          <a:stCxn id="16" idx="3"/>
          <a:endCxn id="2" idx="1"/>
        </xdr:cNvCxnSpPr>
      </xdr:nvCxnSpPr>
      <xdr:spPr>
        <a:xfrm flipV="1">
          <a:off x="8325645" y="2603926"/>
          <a:ext cx="3611251" cy="1593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444235</xdr:colOff>
      <xdr:row>8</xdr:row>
      <xdr:rowOff>101799</xdr:rowOff>
    </xdr:from>
    <xdr:to>
      <xdr:col>14</xdr:col>
      <xdr:colOff>523829</xdr:colOff>
      <xdr:row>13</xdr:row>
      <xdr:rowOff>63925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6C5FD8C7-23E4-45C3-877D-3C11ACA98D33}"/>
            </a:ext>
          </a:extLst>
        </xdr:cNvPr>
        <xdr:cNvCxnSpPr>
          <a:cxnSpLocks/>
          <a:stCxn id="15" idx="3"/>
          <a:endCxn id="2" idx="1"/>
        </xdr:cNvCxnSpPr>
      </xdr:nvCxnSpPr>
      <xdr:spPr>
        <a:xfrm>
          <a:off x="7683235" y="1562299"/>
          <a:ext cx="3318094" cy="869269"/>
        </a:xfrm>
        <a:prstGeom prst="bentConnector3">
          <a:avLst>
            <a:gd name="adj1" fmla="val 505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559813</xdr:colOff>
      <xdr:row>22</xdr:row>
      <xdr:rowOff>36665</xdr:rowOff>
    </xdr:from>
    <xdr:to>
      <xdr:col>9</xdr:col>
      <xdr:colOff>63474</xdr:colOff>
      <xdr:row>26</xdr:row>
      <xdr:rowOff>137833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C7F3FAAD-2FDC-4F79-AB3D-772433080A08}"/>
            </a:ext>
          </a:extLst>
        </xdr:cNvPr>
        <xdr:cNvCxnSpPr>
          <a:cxnSpLocks/>
          <a:endCxn id="67" idx="1"/>
        </xdr:cNvCxnSpPr>
      </xdr:nvCxnSpPr>
      <xdr:spPr>
        <a:xfrm flipV="1">
          <a:off x="5131813" y="4329265"/>
          <a:ext cx="1992861" cy="880101"/>
        </a:xfrm>
        <a:prstGeom prst="bentConnector3">
          <a:avLst>
            <a:gd name="adj1" fmla="val 104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63474</xdr:colOff>
      <xdr:row>21</xdr:row>
      <xdr:rowOff>37044</xdr:rowOff>
    </xdr:from>
    <xdr:to>
      <xdr:col>10</xdr:col>
      <xdr:colOff>380747</xdr:colOff>
      <xdr:row>23</xdr:row>
      <xdr:rowOff>36285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4183FDC2-9E76-424A-8E0F-8527E1510AEC}"/>
            </a:ext>
          </a:extLst>
        </xdr:cNvPr>
        <xdr:cNvSpPr/>
      </xdr:nvSpPr>
      <xdr:spPr>
        <a:xfrm>
          <a:off x="6540474" y="3856115"/>
          <a:ext cx="1079273" cy="3620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Molienda /clasif</a:t>
          </a:r>
        </a:p>
      </xdr:txBody>
    </xdr:sp>
    <xdr:clientData/>
  </xdr:twoCellAnchor>
  <xdr:twoCellAnchor>
    <xdr:from>
      <xdr:col>10</xdr:col>
      <xdr:colOff>380747</xdr:colOff>
      <xdr:row>13</xdr:row>
      <xdr:rowOff>63925</xdr:rowOff>
    </xdr:from>
    <xdr:to>
      <xdr:col>14</xdr:col>
      <xdr:colOff>523829</xdr:colOff>
      <xdr:row>22</xdr:row>
      <xdr:rowOff>36665</xdr:rowOff>
    </xdr:to>
    <xdr:cxnSp macro="">
      <xdr:nvCxnSpPr>
        <xdr:cNvPr id="70" name="Conector: angular 69">
          <a:extLst>
            <a:ext uri="{FF2B5EF4-FFF2-40B4-BE49-F238E27FC236}">
              <a16:creationId xmlns:a16="http://schemas.microsoft.com/office/drawing/2014/main" id="{A385D720-2AB9-4ADB-A89B-B04F1E509A7E}"/>
            </a:ext>
          </a:extLst>
        </xdr:cNvPr>
        <xdr:cNvCxnSpPr>
          <a:cxnSpLocks/>
          <a:stCxn id="67" idx="3"/>
          <a:endCxn id="2" idx="1"/>
        </xdr:cNvCxnSpPr>
      </xdr:nvCxnSpPr>
      <xdr:spPr>
        <a:xfrm flipV="1">
          <a:off x="7619747" y="2431568"/>
          <a:ext cx="3381582" cy="1605597"/>
        </a:xfrm>
        <a:prstGeom prst="bentConnector3">
          <a:avLst>
            <a:gd name="adj1" fmla="val 518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824</xdr:colOff>
      <xdr:row>57</xdr:row>
      <xdr:rowOff>28262</xdr:rowOff>
    </xdr:from>
    <xdr:to>
      <xdr:col>4</xdr:col>
      <xdr:colOff>579309</xdr:colOff>
      <xdr:row>59</xdr:row>
      <xdr:rowOff>177811</xdr:rowOff>
    </xdr:to>
    <xdr:sp macro="" textlink="">
      <xdr:nvSpPr>
        <xdr:cNvPr id="80" name="Triángulo isósceles 79">
          <a:extLst>
            <a:ext uri="{FF2B5EF4-FFF2-40B4-BE49-F238E27FC236}">
              <a16:creationId xmlns:a16="http://schemas.microsoft.com/office/drawing/2014/main" id="{41CD4941-AFA7-43B3-88FE-CBA85B657C82}"/>
            </a:ext>
          </a:extLst>
        </xdr:cNvPr>
        <xdr:cNvSpPr/>
      </xdr:nvSpPr>
      <xdr:spPr>
        <a:xfrm>
          <a:off x="2549895" y="10378762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706581</xdr:colOff>
      <xdr:row>64</xdr:row>
      <xdr:rowOff>135305</xdr:rowOff>
    </xdr:from>
    <xdr:to>
      <xdr:col>4</xdr:col>
      <xdr:colOff>523066</xdr:colOff>
      <xdr:row>67</xdr:row>
      <xdr:rowOff>103425</xdr:rowOff>
    </xdr:to>
    <xdr:sp macro="" textlink="">
      <xdr:nvSpPr>
        <xdr:cNvPr id="81" name="Triángulo isósceles 80">
          <a:extLst>
            <a:ext uri="{FF2B5EF4-FFF2-40B4-BE49-F238E27FC236}">
              <a16:creationId xmlns:a16="http://schemas.microsoft.com/office/drawing/2014/main" id="{4CB680CA-0E95-4320-874A-E87763B51697}"/>
            </a:ext>
          </a:extLst>
        </xdr:cNvPr>
        <xdr:cNvSpPr/>
      </xdr:nvSpPr>
      <xdr:spPr>
        <a:xfrm>
          <a:off x="2493652" y="1175580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676728</xdr:colOff>
      <xdr:row>71</xdr:row>
      <xdr:rowOff>87309</xdr:rowOff>
    </xdr:from>
    <xdr:to>
      <xdr:col>4</xdr:col>
      <xdr:colOff>493213</xdr:colOff>
      <xdr:row>74</xdr:row>
      <xdr:rowOff>52130</xdr:rowOff>
    </xdr:to>
    <xdr:sp macro="" textlink="">
      <xdr:nvSpPr>
        <xdr:cNvPr id="82" name="Triángulo isósceles 81">
          <a:extLst>
            <a:ext uri="{FF2B5EF4-FFF2-40B4-BE49-F238E27FC236}">
              <a16:creationId xmlns:a16="http://schemas.microsoft.com/office/drawing/2014/main" id="{D1BC1196-DD13-4A55-9482-8BF1584F2777}"/>
            </a:ext>
          </a:extLst>
        </xdr:cNvPr>
        <xdr:cNvSpPr/>
      </xdr:nvSpPr>
      <xdr:spPr>
        <a:xfrm>
          <a:off x="2466273" y="13214491"/>
          <a:ext cx="578485" cy="51900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0</xdr:colOff>
      <xdr:row>59</xdr:row>
      <xdr:rowOff>18143</xdr:rowOff>
    </xdr:from>
    <xdr:to>
      <xdr:col>4</xdr:col>
      <xdr:colOff>59254</xdr:colOff>
      <xdr:row>59</xdr:row>
      <xdr:rowOff>18143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64717919-FD91-4DA4-8251-F3CBC153C7F5}"/>
            </a:ext>
          </a:extLst>
        </xdr:cNvPr>
        <xdr:cNvCxnSpPr>
          <a:cxnSpLocks/>
        </xdr:cNvCxnSpPr>
      </xdr:nvCxnSpPr>
      <xdr:spPr>
        <a:xfrm>
          <a:off x="1787071" y="10731500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760185</xdr:colOff>
      <xdr:row>66</xdr:row>
      <xdr:rowOff>97971</xdr:rowOff>
    </xdr:from>
    <xdr:to>
      <xdr:col>4</xdr:col>
      <xdr:colOff>57439</xdr:colOff>
      <xdr:row>66</xdr:row>
      <xdr:rowOff>97971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9C3C2DCC-D8F4-4E4F-B264-B56A771AD11D}"/>
            </a:ext>
          </a:extLst>
        </xdr:cNvPr>
        <xdr:cNvCxnSpPr>
          <a:cxnSpLocks/>
        </xdr:cNvCxnSpPr>
      </xdr:nvCxnSpPr>
      <xdr:spPr>
        <a:xfrm>
          <a:off x="1785256" y="12081328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12864</xdr:colOff>
      <xdr:row>73</xdr:row>
      <xdr:rowOff>23585</xdr:rowOff>
    </xdr:from>
    <xdr:to>
      <xdr:col>4</xdr:col>
      <xdr:colOff>72118</xdr:colOff>
      <xdr:row>73</xdr:row>
      <xdr:rowOff>23585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ED812D5A-06C0-4E20-8CC5-25E1B493F7F1}"/>
            </a:ext>
          </a:extLst>
        </xdr:cNvPr>
        <xdr:cNvCxnSpPr>
          <a:cxnSpLocks/>
        </xdr:cNvCxnSpPr>
      </xdr:nvCxnSpPr>
      <xdr:spPr>
        <a:xfrm>
          <a:off x="1802409" y="13520221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434688</xdr:colOff>
      <xdr:row>27</xdr:row>
      <xdr:rowOff>174625</xdr:rowOff>
    </xdr:from>
    <xdr:to>
      <xdr:col>5</xdr:col>
      <xdr:colOff>492125</xdr:colOff>
      <xdr:row>58</xdr:row>
      <xdr:rowOff>103037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48B36272-05D3-41F5-ACEC-A22E8349C383}"/>
            </a:ext>
          </a:extLst>
        </xdr:cNvPr>
        <xdr:cNvCxnSpPr>
          <a:cxnSpLocks/>
          <a:stCxn id="80" idx="5"/>
        </xdr:cNvCxnSpPr>
      </xdr:nvCxnSpPr>
      <xdr:spPr>
        <a:xfrm flipV="1">
          <a:off x="2974688" y="5318125"/>
          <a:ext cx="819437" cy="58339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378445</xdr:colOff>
      <xdr:row>28</xdr:row>
      <xdr:rowOff>79375</xdr:rowOff>
    </xdr:from>
    <xdr:to>
      <xdr:col>5</xdr:col>
      <xdr:colOff>476250</xdr:colOff>
      <xdr:row>66</xdr:row>
      <xdr:rowOff>24115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6576D30E-0AA8-4F23-9DB8-D98D35A7D33F}"/>
            </a:ext>
          </a:extLst>
        </xdr:cNvPr>
        <xdr:cNvCxnSpPr>
          <a:cxnSpLocks/>
          <a:stCxn id="81" idx="5"/>
        </xdr:cNvCxnSpPr>
      </xdr:nvCxnSpPr>
      <xdr:spPr>
        <a:xfrm flipV="1">
          <a:off x="2918445" y="5413375"/>
          <a:ext cx="859805" cy="71837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348592</xdr:colOff>
      <xdr:row>28</xdr:row>
      <xdr:rowOff>183369</xdr:rowOff>
    </xdr:from>
    <xdr:to>
      <xdr:col>5</xdr:col>
      <xdr:colOff>512754</xdr:colOff>
      <xdr:row>72</xdr:row>
      <xdr:rowOff>162084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05428473-AA7B-4724-9337-D75FA0FB3BD7}"/>
            </a:ext>
          </a:extLst>
        </xdr:cNvPr>
        <xdr:cNvCxnSpPr>
          <a:cxnSpLocks/>
          <a:stCxn id="82" idx="5"/>
        </xdr:cNvCxnSpPr>
      </xdr:nvCxnSpPr>
      <xdr:spPr>
        <a:xfrm flipV="1">
          <a:off x="2900137" y="5367278"/>
          <a:ext cx="926162" cy="81067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29309</xdr:colOff>
      <xdr:row>14</xdr:row>
      <xdr:rowOff>171027</xdr:rowOff>
    </xdr:from>
    <xdr:to>
      <xdr:col>8</xdr:col>
      <xdr:colOff>99061</xdr:colOff>
      <xdr:row>18</xdr:row>
      <xdr:rowOff>56727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E0D8E852-32F3-1B9A-F393-65F4358C8ACD}"/>
            </a:ext>
          </a:extLst>
        </xdr:cNvPr>
        <xdr:cNvSpPr/>
      </xdr:nvSpPr>
      <xdr:spPr>
        <a:xfrm>
          <a:off x="5431042" y="2905760"/>
          <a:ext cx="1026486" cy="6646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1"/>
              </a:solidFill>
            </a:rPr>
            <a:t>Desaguado</a:t>
          </a:r>
        </a:p>
      </xdr:txBody>
    </xdr:sp>
    <xdr:clientData/>
  </xdr:twoCellAnchor>
  <xdr:twoCellAnchor>
    <xdr:from>
      <xdr:col>7</xdr:col>
      <xdr:colOff>542551</xdr:colOff>
      <xdr:row>18</xdr:row>
      <xdr:rowOff>56727</xdr:rowOff>
    </xdr:from>
    <xdr:to>
      <xdr:col>8</xdr:col>
      <xdr:colOff>710900</xdr:colOff>
      <xdr:row>27</xdr:row>
      <xdr:rowOff>183637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72516379-2830-5313-3245-7D64CB5C3A39}"/>
            </a:ext>
          </a:extLst>
        </xdr:cNvPr>
        <xdr:cNvCxnSpPr>
          <a:stCxn id="51" idx="2"/>
          <a:endCxn id="17" idx="1"/>
        </xdr:cNvCxnSpPr>
      </xdr:nvCxnSpPr>
      <xdr:spPr>
        <a:xfrm rot="16200000" flipH="1">
          <a:off x="5567071" y="3947607"/>
          <a:ext cx="1879510" cy="1125083"/>
        </a:xfrm>
        <a:prstGeom prst="bentConnector2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795867</xdr:colOff>
      <xdr:row>12</xdr:row>
      <xdr:rowOff>76200</xdr:rowOff>
    </xdr:from>
    <xdr:to>
      <xdr:col>6</xdr:col>
      <xdr:colOff>809253</xdr:colOff>
      <xdr:row>16</xdr:row>
      <xdr:rowOff>111760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E7C82EFE-323B-C6A1-4E7F-E559D75F99DC}"/>
            </a:ext>
          </a:extLst>
        </xdr:cNvPr>
        <xdr:cNvCxnSpPr/>
      </xdr:nvCxnSpPr>
      <xdr:spPr>
        <a:xfrm flipH="1" flipV="1">
          <a:off x="5367867" y="2421467"/>
          <a:ext cx="13386" cy="814493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85876</xdr:colOff>
      <xdr:row>8</xdr:row>
      <xdr:rowOff>182638</xdr:rowOff>
    </xdr:from>
    <xdr:to>
      <xdr:col>6</xdr:col>
      <xdr:colOff>795866</xdr:colOff>
      <xdr:row>12</xdr:row>
      <xdr:rowOff>41124</xdr:rowOff>
    </xdr:to>
    <xdr:sp macro="" textlink="">
      <xdr:nvSpPr>
        <xdr:cNvPr id="72" name="Triángulo isósceles 71">
          <a:extLst>
            <a:ext uri="{FF2B5EF4-FFF2-40B4-BE49-F238E27FC236}">
              <a16:creationId xmlns:a16="http://schemas.microsoft.com/office/drawing/2014/main" id="{3CA469A2-B937-8977-DDA6-840998B3ADB6}"/>
            </a:ext>
          </a:extLst>
        </xdr:cNvPr>
        <xdr:cNvSpPr/>
      </xdr:nvSpPr>
      <xdr:spPr>
        <a:xfrm>
          <a:off x="4657876" y="1748971"/>
          <a:ext cx="709990" cy="63742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85876</xdr:colOff>
      <xdr:row>12</xdr:row>
      <xdr:rowOff>41124</xdr:rowOff>
    </xdr:from>
    <xdr:to>
      <xdr:col>6</xdr:col>
      <xdr:colOff>455748</xdr:colOff>
      <xdr:row>27</xdr:row>
      <xdr:rowOff>87227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8C058E2-5F5C-D495-5373-9FE25D690016}"/>
            </a:ext>
          </a:extLst>
        </xdr:cNvPr>
        <xdr:cNvCxnSpPr>
          <a:stCxn id="72" idx="2"/>
          <a:endCxn id="3" idx="3"/>
        </xdr:cNvCxnSpPr>
      </xdr:nvCxnSpPr>
      <xdr:spPr>
        <a:xfrm rot="16200000" flipH="1">
          <a:off x="3372629" y="3583406"/>
          <a:ext cx="2886892" cy="369872"/>
        </a:xfrm>
        <a:prstGeom prst="bentConnector3">
          <a:avLst>
            <a:gd name="adj1" fmla="val 108945"/>
          </a:avLst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699999</xdr:colOff>
      <xdr:row>45</xdr:row>
      <xdr:rowOff>82097</xdr:rowOff>
    </xdr:from>
    <xdr:to>
      <xdr:col>10</xdr:col>
      <xdr:colOff>478702</xdr:colOff>
      <xdr:row>48</xdr:row>
      <xdr:rowOff>16080</xdr:rowOff>
    </xdr:to>
    <xdr:sp macro="" textlink="">
      <xdr:nvSpPr>
        <xdr:cNvPr id="83" name="Rectángulo 18">
          <a:extLst>
            <a:ext uri="{FF2B5EF4-FFF2-40B4-BE49-F238E27FC236}">
              <a16:creationId xmlns:a16="http://schemas.microsoft.com/office/drawing/2014/main" id="{F5657AA1-AD0C-434D-9808-4999B89ED2DB}"/>
            </a:ext>
          </a:extLst>
        </xdr:cNvPr>
        <xdr:cNvSpPr/>
      </xdr:nvSpPr>
      <xdr:spPr>
        <a:xfrm>
          <a:off x="7058466" y="8853564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NEUMATICA </a:t>
          </a:r>
        </a:p>
      </xdr:txBody>
    </xdr:sp>
    <xdr:clientData/>
  </xdr:twoCellAnchor>
  <xdr:twoCellAnchor>
    <xdr:from>
      <xdr:col>9</xdr:col>
      <xdr:colOff>530086</xdr:colOff>
      <xdr:row>48</xdr:row>
      <xdr:rowOff>16079</xdr:rowOff>
    </xdr:from>
    <xdr:to>
      <xdr:col>9</xdr:col>
      <xdr:colOff>530086</xdr:colOff>
      <xdr:row>49</xdr:row>
      <xdr:rowOff>39763</xdr:rowOff>
    </xdr:to>
    <xdr:cxnSp macro="">
      <xdr:nvCxnSpPr>
        <xdr:cNvPr id="87" name="Conector recto de flecha 39">
          <a:extLst>
            <a:ext uri="{FF2B5EF4-FFF2-40B4-BE49-F238E27FC236}">
              <a16:creationId xmlns:a16="http://schemas.microsoft.com/office/drawing/2014/main" id="{1DD1641B-2AE0-CF42-8689-C7222693C4AA}"/>
            </a:ext>
          </a:extLst>
        </xdr:cNvPr>
        <xdr:cNvCxnSpPr>
          <a:cxnSpLocks/>
        </xdr:cNvCxnSpPr>
      </xdr:nvCxnSpPr>
      <xdr:spPr>
        <a:xfrm>
          <a:off x="7718286" y="9371746"/>
          <a:ext cx="0" cy="218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478702</xdr:colOff>
      <xdr:row>14</xdr:row>
      <xdr:rowOff>126923</xdr:rowOff>
    </xdr:from>
    <xdr:to>
      <xdr:col>15</xdr:col>
      <xdr:colOff>281507</xdr:colOff>
      <xdr:row>46</xdr:row>
      <xdr:rowOff>146456</xdr:rowOff>
    </xdr:to>
    <xdr:cxnSp macro="">
      <xdr:nvCxnSpPr>
        <xdr:cNvPr id="88" name="Conector: angular 43">
          <a:extLst>
            <a:ext uri="{FF2B5EF4-FFF2-40B4-BE49-F238E27FC236}">
              <a16:creationId xmlns:a16="http://schemas.microsoft.com/office/drawing/2014/main" id="{9EFC8B0E-BA04-8249-B297-6F4FECCF1B49}"/>
            </a:ext>
          </a:extLst>
        </xdr:cNvPr>
        <xdr:cNvCxnSpPr>
          <a:cxnSpLocks/>
          <a:stCxn id="83" idx="3"/>
          <a:endCxn id="2" idx="2"/>
        </xdr:cNvCxnSpPr>
      </xdr:nvCxnSpPr>
      <xdr:spPr>
        <a:xfrm flipV="1">
          <a:off x="8496635" y="2861656"/>
          <a:ext cx="4154672" cy="6251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499365</xdr:colOff>
      <xdr:row>17</xdr:row>
      <xdr:rowOff>96709</xdr:rowOff>
    </xdr:from>
    <xdr:to>
      <xdr:col>9</xdr:col>
      <xdr:colOff>721859</xdr:colOff>
      <xdr:row>18</xdr:row>
      <xdr:rowOff>109592</xdr:rowOff>
    </xdr:to>
    <xdr:sp macro="" textlink="">
      <xdr:nvSpPr>
        <xdr:cNvPr id="117" name="Elipse 2">
          <a:extLst>
            <a:ext uri="{FF2B5EF4-FFF2-40B4-BE49-F238E27FC236}">
              <a16:creationId xmlns:a16="http://schemas.microsoft.com/office/drawing/2014/main" id="{7C57CA8D-3A22-E74A-AC25-CE0D777925CF}"/>
            </a:ext>
          </a:extLst>
        </xdr:cNvPr>
        <xdr:cNvSpPr/>
      </xdr:nvSpPr>
      <xdr:spPr>
        <a:xfrm>
          <a:off x="7687565" y="3415642"/>
          <a:ext cx="222494" cy="207617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76200</xdr:colOff>
      <xdr:row>18</xdr:row>
      <xdr:rowOff>5784</xdr:rowOff>
    </xdr:from>
    <xdr:to>
      <xdr:col>9</xdr:col>
      <xdr:colOff>499365</xdr:colOff>
      <xdr:row>18</xdr:row>
      <xdr:rowOff>8466</xdr:rowOff>
    </xdr:to>
    <xdr:cxnSp macro="">
      <xdr:nvCxnSpPr>
        <xdr:cNvPr id="120" name="Conector recto de flecha 70">
          <a:extLst>
            <a:ext uri="{FF2B5EF4-FFF2-40B4-BE49-F238E27FC236}">
              <a16:creationId xmlns:a16="http://schemas.microsoft.com/office/drawing/2014/main" id="{089C95C7-B343-C448-BF0E-7947035CEC21}"/>
            </a:ext>
          </a:extLst>
        </xdr:cNvPr>
        <xdr:cNvCxnSpPr>
          <a:stCxn id="117" idx="2"/>
        </xdr:cNvCxnSpPr>
      </xdr:nvCxnSpPr>
      <xdr:spPr>
        <a:xfrm flipH="1">
          <a:off x="6434667" y="3519451"/>
          <a:ext cx="1252898" cy="2682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91587</xdr:colOff>
      <xdr:row>2</xdr:row>
      <xdr:rowOff>129074</xdr:rowOff>
    </xdr:from>
    <xdr:ext cx="1101968" cy="501557"/>
    <xdr:pic>
      <xdr:nvPicPr>
        <xdr:cNvPr id="2" name="Imagen 1">
          <a:extLst>
            <a:ext uri="{FF2B5EF4-FFF2-40B4-BE49-F238E27FC236}">
              <a16:creationId xmlns:a16="http://schemas.microsoft.com/office/drawing/2014/main" id="{A725E2D0-0E12-7A45-A3AB-42D3BA366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4187" y="510074"/>
          <a:ext cx="1101968" cy="5015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final%20Octubre%202022%20PM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Planta"/>
      <sheetName val="Calc Nodos Stock"/>
      <sheetName val="Bal Fe Tot"/>
      <sheetName val="Bal FeMag"/>
      <sheetName val="Diagrama Fe T"/>
    </sheetNames>
    <sheetDataSet>
      <sheetData sheetId="0">
        <row r="41">
          <cell r="B41" t="str">
            <v>R1</v>
          </cell>
          <cell r="C41" t="str">
            <v>R2</v>
          </cell>
          <cell r="D41" t="str">
            <v>Hidro</v>
          </cell>
          <cell r="E41" t="str">
            <v>Finisher</v>
          </cell>
          <cell r="F41" t="str">
            <v>Flot Magn</v>
          </cell>
          <cell r="G41" t="str">
            <v>Flot Neum</v>
          </cell>
          <cell r="H41" t="str">
            <v>Esp. Conc</v>
          </cell>
        </row>
        <row r="49">
          <cell r="L49">
            <v>-5.4250001106993295E-2</v>
          </cell>
        </row>
      </sheetData>
      <sheetData sheetId="1">
        <row r="12">
          <cell r="E12">
            <v>2097.3996419743307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B0D6-E0E9-6D42-9B21-33D1777F9FE2}">
  <dimension ref="A1:DN306"/>
  <sheetViews>
    <sheetView zoomScale="130" zoomScaleNormal="130" workbookViewId="0">
      <selection sqref="A1:F53"/>
    </sheetView>
  </sheetViews>
  <sheetFormatPr baseColWidth="10" defaultColWidth="11.5" defaultRowHeight="15" outlineLevelCol="1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14" max="14" width="24.83203125" customWidth="1"/>
    <col min="29" max="29" width="16.33203125" bestFit="1" customWidth="1"/>
  </cols>
  <sheetData>
    <row r="1" spans="1:118">
      <c r="A1" s="331">
        <v>7094</v>
      </c>
      <c r="B1" s="331">
        <v>7094</v>
      </c>
      <c r="C1" s="331">
        <v>59.53</v>
      </c>
      <c r="D1" s="331">
        <v>58.686003720000002</v>
      </c>
      <c r="E1" s="331">
        <v>58.6</v>
      </c>
      <c r="F1" s="331">
        <v>57.76918895</v>
      </c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  <c r="T1" s="161"/>
      <c r="U1" s="64"/>
      <c r="V1" s="64"/>
      <c r="W1" s="64"/>
      <c r="X1" s="64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</row>
    <row r="2" spans="1:118">
      <c r="A2" s="331">
        <v>1710</v>
      </c>
      <c r="B2" s="331">
        <v>1763.84</v>
      </c>
      <c r="C2" s="331">
        <v>59.53</v>
      </c>
      <c r="D2" s="331">
        <v>59.733407839999998</v>
      </c>
      <c r="E2" s="331">
        <v>58.6</v>
      </c>
      <c r="F2" s="331">
        <v>58.800230149999997</v>
      </c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1"/>
      <c r="U2" s="64"/>
      <c r="V2" s="64"/>
      <c r="W2" s="64"/>
      <c r="X2" s="64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>
        <v>1</v>
      </c>
      <c r="AO2" s="61">
        <f>AN2+1</f>
        <v>2</v>
      </c>
      <c r="AP2" s="61">
        <f t="shared" ref="AP2:CE2" si="0">AO2+1</f>
        <v>3</v>
      </c>
      <c r="AQ2" s="61">
        <f t="shared" si="0"/>
        <v>4</v>
      </c>
      <c r="AR2" s="61">
        <f t="shared" si="0"/>
        <v>5</v>
      </c>
      <c r="AS2" s="61">
        <f t="shared" si="0"/>
        <v>6</v>
      </c>
      <c r="AT2" s="61">
        <f t="shared" si="0"/>
        <v>7</v>
      </c>
      <c r="AU2" s="61">
        <f t="shared" si="0"/>
        <v>8</v>
      </c>
      <c r="AV2" s="61">
        <f t="shared" si="0"/>
        <v>9</v>
      </c>
      <c r="AW2" s="61">
        <f t="shared" si="0"/>
        <v>10</v>
      </c>
      <c r="AX2" s="61">
        <f t="shared" si="0"/>
        <v>11</v>
      </c>
      <c r="AY2" s="61">
        <f t="shared" si="0"/>
        <v>12</v>
      </c>
      <c r="AZ2" s="61">
        <f t="shared" si="0"/>
        <v>13</v>
      </c>
      <c r="BA2" s="61">
        <f t="shared" si="0"/>
        <v>14</v>
      </c>
      <c r="BB2" s="61">
        <f t="shared" si="0"/>
        <v>15</v>
      </c>
      <c r="BC2" s="61">
        <f t="shared" si="0"/>
        <v>16</v>
      </c>
      <c r="BD2" s="61">
        <f t="shared" si="0"/>
        <v>17</v>
      </c>
      <c r="BE2" s="61">
        <f t="shared" si="0"/>
        <v>18</v>
      </c>
      <c r="BF2" s="61">
        <f t="shared" si="0"/>
        <v>19</v>
      </c>
      <c r="BG2" s="61">
        <f t="shared" si="0"/>
        <v>20</v>
      </c>
      <c r="BH2" s="61">
        <f t="shared" si="0"/>
        <v>21</v>
      </c>
      <c r="BI2" s="61">
        <f t="shared" si="0"/>
        <v>22</v>
      </c>
      <c r="BJ2" s="61">
        <f t="shared" si="0"/>
        <v>23</v>
      </c>
      <c r="BK2" s="61">
        <f t="shared" si="0"/>
        <v>24</v>
      </c>
      <c r="BL2" s="61">
        <f t="shared" si="0"/>
        <v>25</v>
      </c>
      <c r="BM2" s="61">
        <f t="shared" si="0"/>
        <v>26</v>
      </c>
      <c r="BN2" s="61">
        <f t="shared" si="0"/>
        <v>27</v>
      </c>
      <c r="BO2" s="61">
        <f t="shared" si="0"/>
        <v>28</v>
      </c>
      <c r="BP2" s="61">
        <f t="shared" si="0"/>
        <v>29</v>
      </c>
      <c r="BQ2" s="61">
        <f t="shared" si="0"/>
        <v>30</v>
      </c>
      <c r="BR2" s="61">
        <f t="shared" si="0"/>
        <v>31</v>
      </c>
      <c r="BS2" s="61">
        <f t="shared" si="0"/>
        <v>32</v>
      </c>
      <c r="BT2" s="61">
        <f t="shared" si="0"/>
        <v>33</v>
      </c>
      <c r="BU2" s="61">
        <f t="shared" si="0"/>
        <v>34</v>
      </c>
      <c r="BV2" s="61">
        <f t="shared" si="0"/>
        <v>35</v>
      </c>
      <c r="BW2" s="61">
        <f t="shared" si="0"/>
        <v>36</v>
      </c>
      <c r="BX2" s="61">
        <f t="shared" si="0"/>
        <v>37</v>
      </c>
      <c r="BY2" s="61">
        <f t="shared" si="0"/>
        <v>38</v>
      </c>
      <c r="BZ2" s="61">
        <f t="shared" si="0"/>
        <v>39</v>
      </c>
      <c r="CA2" s="61">
        <f t="shared" si="0"/>
        <v>40</v>
      </c>
      <c r="CB2" s="61">
        <f t="shared" si="0"/>
        <v>41</v>
      </c>
      <c r="CC2" s="61">
        <f t="shared" si="0"/>
        <v>42</v>
      </c>
      <c r="CD2" s="61">
        <f t="shared" si="0"/>
        <v>43</v>
      </c>
      <c r="CE2" s="61">
        <f t="shared" si="0"/>
        <v>44</v>
      </c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</row>
    <row r="3" spans="1:118" s="1" customFormat="1" ht="45" customHeight="1">
      <c r="A3" s="331">
        <v>5384</v>
      </c>
      <c r="B3" s="331">
        <v>5330.16</v>
      </c>
      <c r="C3" s="331">
        <v>59.53</v>
      </c>
      <c r="D3" s="331">
        <v>58.339399999999998</v>
      </c>
      <c r="E3" s="331">
        <v>58.6</v>
      </c>
      <c r="F3" s="331">
        <v>57.427999999999997</v>
      </c>
      <c r="G3" s="162"/>
      <c r="H3" s="162"/>
      <c r="I3" s="162"/>
      <c r="J3" s="162"/>
      <c r="K3" s="163"/>
      <c r="L3" s="164"/>
      <c r="M3" s="164"/>
      <c r="N3" s="164"/>
      <c r="O3" s="164"/>
      <c r="P3" s="164"/>
      <c r="Q3" s="164"/>
      <c r="R3" s="164"/>
      <c r="S3" s="165"/>
      <c r="T3" s="165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52"/>
      <c r="AG3" s="52"/>
      <c r="AH3" s="68"/>
      <c r="AI3" s="68"/>
      <c r="AJ3" s="68"/>
      <c r="AK3" s="68"/>
      <c r="AL3" s="68"/>
      <c r="AM3" s="68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5"/>
      <c r="BV3" s="65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8"/>
      <c r="CP3" s="68"/>
      <c r="CQ3" s="68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</row>
    <row r="4" spans="1:118" ht="18.5" customHeight="1">
      <c r="A4" s="331">
        <v>8329</v>
      </c>
      <c r="B4" s="331">
        <v>8329</v>
      </c>
      <c r="C4" s="331">
        <v>43.13</v>
      </c>
      <c r="D4" s="331">
        <v>42.611354509999998</v>
      </c>
      <c r="E4" s="331">
        <v>40.81</v>
      </c>
      <c r="F4" s="331">
        <v>40.31990536</v>
      </c>
      <c r="G4" s="160"/>
      <c r="H4" s="160"/>
      <c r="I4" s="160"/>
      <c r="J4" s="160"/>
      <c r="K4" s="166"/>
      <c r="L4" s="160"/>
      <c r="M4" s="160"/>
      <c r="N4" s="160"/>
      <c r="O4" s="160"/>
      <c r="P4" s="160"/>
      <c r="Q4" s="160"/>
      <c r="R4" s="160"/>
      <c r="S4" s="161"/>
      <c r="T4" s="161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8"/>
      <c r="AM4" s="51"/>
      <c r="AN4" s="64"/>
      <c r="AO4" s="64"/>
      <c r="AP4" s="64"/>
      <c r="AQ4" s="64"/>
      <c r="AR4" s="64"/>
      <c r="AS4" s="70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</row>
    <row r="5" spans="1:118" ht="18.5" customHeight="1">
      <c r="A5" s="331">
        <v>2720</v>
      </c>
      <c r="B5" s="331">
        <v>2776.09</v>
      </c>
      <c r="C5" s="331">
        <v>43.13</v>
      </c>
      <c r="D5" s="331">
        <v>43.29935399</v>
      </c>
      <c r="E5" s="331">
        <v>40.81</v>
      </c>
      <c r="F5" s="331">
        <v>40.972201839999997</v>
      </c>
      <c r="G5" s="160"/>
      <c r="H5" s="160"/>
      <c r="I5" s="160"/>
      <c r="J5" s="160"/>
      <c r="K5" s="166"/>
      <c r="L5" s="160"/>
      <c r="M5" s="160"/>
      <c r="N5" s="160"/>
      <c r="O5" s="160"/>
      <c r="P5" s="160"/>
      <c r="Q5" s="160"/>
      <c r="R5" s="160"/>
      <c r="S5" s="161"/>
      <c r="T5" s="161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8"/>
      <c r="AM5" s="51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</row>
    <row r="6" spans="1:118" ht="18.5" customHeight="1">
      <c r="A6" s="331">
        <v>5609</v>
      </c>
      <c r="B6" s="331">
        <v>5552.91</v>
      </c>
      <c r="C6" s="331">
        <v>43.13</v>
      </c>
      <c r="D6" s="331">
        <v>42.267400000000002</v>
      </c>
      <c r="E6" s="331">
        <v>40.81</v>
      </c>
      <c r="F6" s="331">
        <v>39.9938</v>
      </c>
      <c r="G6" s="160"/>
      <c r="H6" s="160"/>
      <c r="I6" s="160"/>
      <c r="J6" s="160"/>
      <c r="K6" s="166"/>
      <c r="L6" s="160"/>
      <c r="M6" s="160"/>
      <c r="N6" s="160"/>
      <c r="O6" s="160"/>
      <c r="P6" s="160"/>
      <c r="Q6" s="160"/>
      <c r="R6" s="160"/>
      <c r="S6" s="161"/>
      <c r="T6" s="161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8"/>
      <c r="AM6" s="51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</row>
    <row r="7" spans="1:118" ht="18.5" customHeight="1">
      <c r="A7" s="331">
        <v>9517</v>
      </c>
      <c r="B7" s="331">
        <v>9517</v>
      </c>
      <c r="C7" s="331">
        <v>49</v>
      </c>
      <c r="D7" s="331">
        <v>48.923527989999997</v>
      </c>
      <c r="E7" s="331">
        <v>47.35</v>
      </c>
      <c r="F7" s="331">
        <v>47.276103059999997</v>
      </c>
      <c r="G7" s="160"/>
      <c r="H7" s="160"/>
      <c r="I7" s="160"/>
      <c r="J7" s="160"/>
      <c r="K7" s="166"/>
      <c r="L7" s="160"/>
      <c r="M7" s="160"/>
      <c r="N7" s="160"/>
      <c r="O7" s="160"/>
      <c r="P7" s="160"/>
      <c r="Q7" s="160"/>
      <c r="R7" s="160"/>
      <c r="S7" s="161"/>
      <c r="T7" s="161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8"/>
      <c r="AM7" s="51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</row>
    <row r="8" spans="1:118" ht="18.5" customHeight="1">
      <c r="A8" s="331">
        <v>8208</v>
      </c>
      <c r="B8" s="331">
        <v>8221.09</v>
      </c>
      <c r="C8" s="331">
        <v>49</v>
      </c>
      <c r="D8" s="331">
        <v>49.06595325</v>
      </c>
      <c r="E8" s="331">
        <v>47.35</v>
      </c>
      <c r="F8" s="331">
        <v>47.413732379999999</v>
      </c>
      <c r="G8" s="160"/>
      <c r="H8" s="160"/>
      <c r="I8" s="160"/>
      <c r="J8" s="160"/>
      <c r="K8" s="166"/>
      <c r="L8" s="160"/>
      <c r="M8" s="160"/>
      <c r="N8" s="160"/>
      <c r="O8" s="160"/>
      <c r="P8" s="160"/>
      <c r="Q8" s="160"/>
      <c r="R8" s="160"/>
      <c r="S8" s="161"/>
      <c r="T8" s="161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8"/>
      <c r="AM8" s="51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</row>
    <row r="9" spans="1:118" ht="18.5" customHeight="1">
      <c r="A9" s="331">
        <v>1309</v>
      </c>
      <c r="B9" s="331">
        <v>1295.9100000000001</v>
      </c>
      <c r="C9" s="331">
        <v>49</v>
      </c>
      <c r="D9" s="331">
        <v>48.02</v>
      </c>
      <c r="E9" s="331">
        <v>47.35</v>
      </c>
      <c r="F9" s="331">
        <v>46.402999999999999</v>
      </c>
      <c r="G9" s="160"/>
      <c r="H9" s="160"/>
      <c r="I9" s="160"/>
      <c r="J9" s="160"/>
      <c r="K9" s="166"/>
      <c r="L9" s="167"/>
      <c r="M9" s="160"/>
      <c r="N9" s="160"/>
      <c r="O9" s="160"/>
      <c r="P9" s="160"/>
      <c r="Q9" s="160"/>
      <c r="R9" s="160"/>
      <c r="S9" s="161"/>
      <c r="T9" s="161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8"/>
      <c r="AM9" s="51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</row>
    <row r="10" spans="1:118" ht="18.5" customHeight="1">
      <c r="A10" s="331">
        <v>18376</v>
      </c>
      <c r="B10" s="331">
        <v>18376</v>
      </c>
      <c r="C10" s="331">
        <v>37</v>
      </c>
      <c r="D10" s="331">
        <v>37.712024229999997</v>
      </c>
      <c r="E10" s="331">
        <v>35.25</v>
      </c>
      <c r="F10" s="331">
        <v>35.954999999999998</v>
      </c>
      <c r="G10" s="160"/>
      <c r="H10" s="160"/>
      <c r="I10" s="160"/>
      <c r="J10" s="160"/>
      <c r="K10" s="166"/>
      <c r="L10" s="160"/>
      <c r="M10" s="160"/>
      <c r="N10" s="160"/>
      <c r="O10" s="160"/>
      <c r="P10" s="160"/>
      <c r="Q10" s="160"/>
      <c r="R10" s="160"/>
      <c r="S10" s="161"/>
      <c r="T10" s="161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8"/>
      <c r="AM10" s="51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</row>
    <row r="11" spans="1:118" ht="18.5" customHeight="1">
      <c r="A11" s="331">
        <v>14271</v>
      </c>
      <c r="B11" s="331">
        <v>14312.05</v>
      </c>
      <c r="C11" s="331">
        <v>37</v>
      </c>
      <c r="D11" s="331">
        <v>38.37477749</v>
      </c>
      <c r="E11" s="331">
        <v>35.25</v>
      </c>
      <c r="F11" s="331">
        <v>36.647561449999998</v>
      </c>
      <c r="G11" s="160"/>
      <c r="H11" s="160"/>
      <c r="I11" s="160"/>
      <c r="J11" s="160"/>
      <c r="K11" s="166"/>
      <c r="L11" s="160"/>
      <c r="M11" s="160"/>
      <c r="N11" s="160"/>
      <c r="O11" s="160"/>
      <c r="P11" s="160"/>
      <c r="Q11" s="160"/>
      <c r="R11" s="160"/>
      <c r="S11" s="161"/>
      <c r="T11" s="161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8"/>
      <c r="AM11" s="51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</row>
    <row r="12" spans="1:118" ht="18.5" customHeight="1">
      <c r="A12" s="331">
        <v>4105</v>
      </c>
      <c r="B12" s="331">
        <v>4063.95</v>
      </c>
      <c r="C12" s="331">
        <v>36.1</v>
      </c>
      <c r="D12" s="331">
        <v>35.378</v>
      </c>
      <c r="E12" s="331">
        <v>34.200000000000003</v>
      </c>
      <c r="F12" s="331">
        <v>33.515999999999998</v>
      </c>
      <c r="G12" s="160"/>
      <c r="H12" s="160"/>
      <c r="I12" s="160"/>
      <c r="J12" s="160"/>
      <c r="K12" s="166"/>
      <c r="L12" s="160"/>
      <c r="M12" s="160"/>
      <c r="N12" s="160"/>
      <c r="O12" s="160"/>
      <c r="P12" s="160"/>
      <c r="Q12" s="160"/>
      <c r="R12" s="160"/>
      <c r="S12" s="161"/>
      <c r="T12" s="161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8"/>
      <c r="AM12" s="51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</row>
    <row r="13" spans="1:118" ht="18.5" customHeight="1">
      <c r="A13" s="331">
        <v>3933</v>
      </c>
      <c r="B13" s="331">
        <v>3933</v>
      </c>
      <c r="C13" s="331">
        <v>49.59</v>
      </c>
      <c r="D13" s="331">
        <v>49.42976273</v>
      </c>
      <c r="E13" s="331">
        <v>45.13</v>
      </c>
      <c r="F13" s="331">
        <v>44.984174070000002</v>
      </c>
      <c r="G13" s="160"/>
      <c r="H13" s="160"/>
      <c r="I13" s="160"/>
      <c r="J13" s="160"/>
      <c r="K13" s="166"/>
      <c r="L13" s="160"/>
      <c r="M13" s="160"/>
      <c r="N13" s="160"/>
      <c r="O13" s="160"/>
      <c r="P13" s="160"/>
      <c r="Q13" s="160"/>
      <c r="R13" s="160"/>
      <c r="S13" s="161"/>
      <c r="T13" s="161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8"/>
      <c r="AM13" s="51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</row>
    <row r="14" spans="1:118" ht="18.5" customHeight="1">
      <c r="A14" s="331">
        <v>2933</v>
      </c>
      <c r="B14" s="331">
        <v>2943</v>
      </c>
      <c r="C14" s="331">
        <v>49.59</v>
      </c>
      <c r="D14" s="331">
        <v>49.709493309999999</v>
      </c>
      <c r="E14" s="331">
        <v>45.13</v>
      </c>
      <c r="F14" s="331">
        <v>45.238746390000003</v>
      </c>
      <c r="G14" s="160"/>
      <c r="H14" s="160"/>
      <c r="I14" s="160"/>
      <c r="J14" s="160"/>
      <c r="K14" s="166"/>
      <c r="L14" s="160"/>
      <c r="M14" s="160"/>
      <c r="N14" s="160"/>
      <c r="O14" s="160"/>
      <c r="P14" s="160"/>
      <c r="Q14" s="160"/>
      <c r="R14" s="160"/>
      <c r="S14" s="161"/>
      <c r="T14" s="161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8"/>
      <c r="AM14" s="51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</row>
    <row r="15" spans="1:118" ht="18.5" customHeight="1">
      <c r="A15" s="331">
        <v>1000</v>
      </c>
      <c r="B15" s="331">
        <v>990</v>
      </c>
      <c r="C15" s="331">
        <v>49.59</v>
      </c>
      <c r="D15" s="331">
        <v>48.598199999999999</v>
      </c>
      <c r="E15" s="331">
        <v>45.13</v>
      </c>
      <c r="F15" s="331">
        <v>44.227400000000003</v>
      </c>
      <c r="G15" s="160"/>
      <c r="H15" s="160"/>
      <c r="I15" s="160"/>
      <c r="J15" s="160"/>
      <c r="K15" s="166"/>
      <c r="L15" s="160"/>
      <c r="M15" s="160"/>
      <c r="N15" s="160"/>
      <c r="O15" s="160"/>
      <c r="P15" s="160"/>
      <c r="Q15" s="160"/>
      <c r="R15" s="160"/>
      <c r="S15" s="161"/>
      <c r="T15" s="161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8"/>
      <c r="AM15" s="51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</row>
    <row r="16" spans="1:118" ht="18.5" customHeight="1">
      <c r="A16" s="331">
        <v>750</v>
      </c>
      <c r="B16" s="331">
        <v>750</v>
      </c>
      <c r="C16" s="331">
        <v>42.31</v>
      </c>
      <c r="D16" s="331">
        <v>41.463799999999999</v>
      </c>
      <c r="E16" s="331">
        <v>37.96</v>
      </c>
      <c r="F16" s="331">
        <v>37.200800000000001</v>
      </c>
      <c r="G16" s="160"/>
      <c r="H16" s="160"/>
      <c r="I16" s="160"/>
      <c r="J16" s="160"/>
      <c r="K16" s="166"/>
      <c r="L16" s="160"/>
      <c r="M16" s="160"/>
      <c r="N16" s="160"/>
      <c r="O16" s="160"/>
      <c r="P16" s="160"/>
      <c r="Q16" s="160"/>
      <c r="R16" s="160"/>
      <c r="S16" s="161"/>
      <c r="T16" s="161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8"/>
      <c r="AM16" s="51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</row>
    <row r="17" spans="1:118" ht="18.5" customHeight="1">
      <c r="A17" s="331">
        <v>-250</v>
      </c>
      <c r="B17" s="331">
        <v>-240</v>
      </c>
      <c r="C17" s="331">
        <v>42.31</v>
      </c>
      <c r="D17" s="331">
        <v>41.463799999999999</v>
      </c>
      <c r="E17" s="331">
        <v>37.96</v>
      </c>
      <c r="F17" s="331">
        <v>37.200800000000001</v>
      </c>
      <c r="G17" s="160"/>
      <c r="H17" s="160"/>
      <c r="I17" s="160"/>
      <c r="J17" s="160"/>
      <c r="K17" s="166"/>
      <c r="L17" s="160"/>
      <c r="M17" s="160"/>
      <c r="N17" s="160"/>
      <c r="O17" s="160"/>
      <c r="P17" s="160"/>
      <c r="Q17" s="160"/>
      <c r="R17" s="160"/>
      <c r="S17" s="161"/>
      <c r="T17" s="161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8"/>
      <c r="AM17" s="51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</row>
    <row r="18" spans="1:118" ht="18.5" customHeight="1">
      <c r="A18" s="331">
        <v>1000</v>
      </c>
      <c r="B18" s="331">
        <v>990</v>
      </c>
      <c r="C18" s="331">
        <v>42.31</v>
      </c>
      <c r="D18" s="331">
        <v>41.463799999999999</v>
      </c>
      <c r="E18" s="331">
        <v>37.96</v>
      </c>
      <c r="F18" s="331">
        <v>37.200800000000001</v>
      </c>
      <c r="G18" s="160"/>
      <c r="H18" s="160"/>
      <c r="I18" s="160"/>
      <c r="J18" s="160"/>
      <c r="K18" s="166"/>
      <c r="L18" s="160"/>
      <c r="M18" s="160"/>
      <c r="N18" s="160"/>
      <c r="O18" s="160"/>
      <c r="P18" s="160"/>
      <c r="Q18" s="160"/>
      <c r="R18" s="160"/>
      <c r="S18" s="161"/>
      <c r="T18" s="161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8"/>
      <c r="AM18" s="51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</row>
    <row r="19" spans="1:118" ht="18.5" customHeight="1">
      <c r="A19" s="331">
        <v>0</v>
      </c>
      <c r="B19" s="331">
        <v>0</v>
      </c>
      <c r="C19" s="331">
        <v>0</v>
      </c>
      <c r="D19" s="331">
        <v>0</v>
      </c>
      <c r="E19" s="331">
        <v>0</v>
      </c>
      <c r="F19" s="331">
        <v>0</v>
      </c>
      <c r="G19" s="160"/>
      <c r="H19" s="160"/>
      <c r="I19" s="160"/>
      <c r="J19" s="160"/>
      <c r="K19" s="166"/>
      <c r="L19" s="160"/>
      <c r="M19" s="160"/>
      <c r="N19" s="160"/>
      <c r="O19" s="160"/>
      <c r="P19" s="160"/>
      <c r="Q19" s="160"/>
      <c r="R19" s="160"/>
      <c r="S19" s="161"/>
      <c r="T19" s="161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8"/>
      <c r="AM19" s="51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</row>
    <row r="20" spans="1:118" ht="18.5" customHeight="1">
      <c r="A20" s="331">
        <v>0</v>
      </c>
      <c r="B20" s="331">
        <v>0</v>
      </c>
      <c r="C20" s="331">
        <v>0</v>
      </c>
      <c r="D20" s="331">
        <v>0</v>
      </c>
      <c r="E20" s="331">
        <v>0</v>
      </c>
      <c r="F20" s="331">
        <v>0</v>
      </c>
      <c r="G20" s="160"/>
      <c r="H20" s="160"/>
      <c r="I20" s="160"/>
      <c r="J20" s="160"/>
      <c r="K20" s="166"/>
      <c r="L20" s="160"/>
      <c r="M20" s="160"/>
      <c r="N20" s="160"/>
      <c r="O20" s="160"/>
      <c r="P20" s="160"/>
      <c r="Q20" s="160"/>
      <c r="R20" s="160"/>
      <c r="S20" s="161"/>
      <c r="T20" s="161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8"/>
      <c r="AM20" s="51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</row>
    <row r="21" spans="1:118" ht="18.5" customHeight="1">
      <c r="A21" s="331">
        <v>0</v>
      </c>
      <c r="B21" s="331">
        <v>0</v>
      </c>
      <c r="C21" s="331">
        <v>0</v>
      </c>
      <c r="D21" s="331">
        <v>0</v>
      </c>
      <c r="E21" s="331">
        <v>0</v>
      </c>
      <c r="F21" s="331">
        <v>0</v>
      </c>
      <c r="G21" s="160"/>
      <c r="H21" s="160"/>
      <c r="I21" s="160"/>
      <c r="J21" s="160"/>
      <c r="K21" s="166"/>
      <c r="L21" s="160"/>
      <c r="M21" s="160"/>
      <c r="N21" s="160"/>
      <c r="O21" s="160"/>
      <c r="P21" s="160"/>
      <c r="Q21" s="160"/>
      <c r="R21" s="160"/>
      <c r="S21" s="161"/>
      <c r="T21" s="161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8"/>
      <c r="AM21" s="51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</row>
    <row r="22" spans="1:118" ht="18.5" customHeight="1">
      <c r="A22" s="331">
        <v>2413</v>
      </c>
      <c r="B22" s="331">
        <v>2413</v>
      </c>
      <c r="C22" s="331">
        <v>54.69</v>
      </c>
      <c r="D22" s="331">
        <v>54.69</v>
      </c>
      <c r="E22" s="331">
        <v>52.14</v>
      </c>
      <c r="F22" s="331">
        <v>52.14</v>
      </c>
      <c r="G22" s="160"/>
      <c r="H22" s="160"/>
      <c r="I22" s="160"/>
      <c r="J22" s="160"/>
      <c r="K22" s="166"/>
      <c r="L22" s="160"/>
      <c r="M22" s="160"/>
      <c r="N22" s="160"/>
      <c r="O22" s="160"/>
      <c r="P22" s="160"/>
      <c r="Q22" s="160"/>
      <c r="R22" s="160"/>
      <c r="S22" s="161"/>
      <c r="T22" s="161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8"/>
      <c r="AM22" s="51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</row>
    <row r="23" spans="1:118" ht="18.5" customHeight="1">
      <c r="A23" s="331">
        <v>2413</v>
      </c>
      <c r="B23" s="331">
        <v>2413</v>
      </c>
      <c r="C23" s="331">
        <v>54.69</v>
      </c>
      <c r="D23" s="331">
        <v>54.69</v>
      </c>
      <c r="E23" s="331">
        <v>52.14</v>
      </c>
      <c r="F23" s="331">
        <v>52.14</v>
      </c>
      <c r="G23" s="160"/>
      <c r="H23" s="160"/>
      <c r="I23" s="160"/>
      <c r="J23" s="160"/>
      <c r="K23" s="166"/>
      <c r="L23" s="160"/>
      <c r="M23" s="160"/>
      <c r="N23" s="160"/>
      <c r="O23" s="160"/>
      <c r="P23" s="160"/>
      <c r="Q23" s="160"/>
      <c r="R23" s="160"/>
      <c r="S23" s="161"/>
      <c r="T23" s="161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8"/>
      <c r="AM23" s="52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</row>
    <row r="24" spans="1:118" ht="18.5" customHeight="1">
      <c r="A24" s="331">
        <v>0</v>
      </c>
      <c r="B24" s="331">
        <v>0</v>
      </c>
      <c r="C24" s="331">
        <v>0</v>
      </c>
      <c r="D24" s="331">
        <v>0</v>
      </c>
      <c r="E24" s="331">
        <v>0</v>
      </c>
      <c r="F24" s="331">
        <v>0</v>
      </c>
      <c r="G24" s="160"/>
      <c r="H24" s="160"/>
      <c r="I24" s="160"/>
      <c r="J24" s="160"/>
      <c r="K24" s="166"/>
      <c r="L24" s="160"/>
      <c r="M24" s="160"/>
      <c r="N24" s="160"/>
      <c r="O24" s="160"/>
      <c r="P24" s="160"/>
      <c r="Q24" s="160"/>
      <c r="R24" s="160"/>
      <c r="S24" s="161"/>
      <c r="T24" s="161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8"/>
      <c r="AM24" s="52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</row>
    <row r="25" spans="1:118" ht="18.5" customHeight="1">
      <c r="A25" s="331">
        <v>0</v>
      </c>
      <c r="B25" s="331">
        <v>0</v>
      </c>
      <c r="C25" s="331">
        <v>0</v>
      </c>
      <c r="D25" s="331">
        <v>0</v>
      </c>
      <c r="E25" s="331">
        <v>0</v>
      </c>
      <c r="F25" s="331">
        <v>0</v>
      </c>
      <c r="G25" s="160"/>
      <c r="H25" s="160"/>
      <c r="I25" s="160"/>
      <c r="J25" s="160"/>
      <c r="K25" s="166"/>
      <c r="L25" s="160"/>
      <c r="M25" s="160"/>
      <c r="N25" s="160"/>
      <c r="O25" s="160"/>
      <c r="P25" s="160"/>
      <c r="Q25" s="160"/>
      <c r="R25" s="160"/>
      <c r="S25" s="161"/>
      <c r="T25" s="161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8"/>
      <c r="AM25" s="52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</row>
    <row r="26" spans="1:118" ht="18.5" customHeight="1">
      <c r="A26" s="331">
        <v>0</v>
      </c>
      <c r="B26" s="331">
        <v>0</v>
      </c>
      <c r="C26" s="331">
        <v>0</v>
      </c>
      <c r="D26" s="331">
        <v>0</v>
      </c>
      <c r="E26" s="331">
        <v>0</v>
      </c>
      <c r="F26" s="331">
        <v>0</v>
      </c>
      <c r="G26" s="160"/>
      <c r="H26" s="160"/>
      <c r="I26" s="160"/>
      <c r="J26" s="160"/>
      <c r="K26" s="166"/>
      <c r="L26" s="160"/>
      <c r="M26" s="160"/>
      <c r="N26" s="160"/>
      <c r="O26" s="160"/>
      <c r="P26" s="160"/>
      <c r="Q26" s="160"/>
      <c r="R26" s="160"/>
      <c r="S26" s="161"/>
      <c r="T26" s="161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</row>
    <row r="27" spans="1:118" ht="18.5" customHeight="1">
      <c r="A27" s="331">
        <v>0</v>
      </c>
      <c r="B27" s="331">
        <v>0</v>
      </c>
      <c r="C27" s="331">
        <v>0</v>
      </c>
      <c r="D27" s="331">
        <v>0</v>
      </c>
      <c r="E27" s="331">
        <v>0</v>
      </c>
      <c r="F27" s="331">
        <v>0</v>
      </c>
      <c r="G27" s="160"/>
      <c r="H27" s="160"/>
      <c r="I27" s="160"/>
      <c r="J27" s="160"/>
      <c r="K27" s="166"/>
      <c r="L27" s="160"/>
      <c r="M27" s="160"/>
      <c r="N27" s="160"/>
      <c r="O27" s="160"/>
      <c r="P27" s="160"/>
      <c r="Q27" s="160"/>
      <c r="R27" s="160"/>
      <c r="S27" s="161"/>
      <c r="T27" s="161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</row>
    <row r="28" spans="1:118" ht="18.5" customHeight="1">
      <c r="A28" s="331">
        <v>1834605</v>
      </c>
      <c r="B28" s="331">
        <v>1834605</v>
      </c>
      <c r="C28" s="331">
        <v>15.97</v>
      </c>
      <c r="D28" s="331">
        <v>16.027230540000001</v>
      </c>
      <c r="E28" s="331">
        <v>11.87</v>
      </c>
      <c r="F28" s="331">
        <v>11.5139</v>
      </c>
      <c r="G28" s="160"/>
      <c r="H28" s="160"/>
      <c r="I28" s="160"/>
      <c r="J28" s="160"/>
      <c r="K28" s="166"/>
      <c r="L28" s="160"/>
      <c r="M28" s="160"/>
      <c r="N28" s="160"/>
      <c r="O28" s="160"/>
      <c r="P28" s="160"/>
      <c r="Q28" s="160"/>
      <c r="R28" s="160"/>
      <c r="S28" s="161"/>
      <c r="T28" s="161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</row>
    <row r="29" spans="1:118" ht="18.5" customHeight="1">
      <c r="A29" s="331">
        <v>1061403.523</v>
      </c>
      <c r="B29" s="331">
        <v>1072808.24</v>
      </c>
      <c r="C29" s="331">
        <v>5.2832999999999997</v>
      </c>
      <c r="D29" s="331">
        <v>5.8116300000000001</v>
      </c>
      <c r="E29" s="331">
        <v>0.33329999999999999</v>
      </c>
      <c r="F29" s="331">
        <v>0.29997000000000001</v>
      </c>
      <c r="G29" s="160"/>
      <c r="H29" s="160"/>
      <c r="I29" s="160"/>
      <c r="J29" s="160"/>
      <c r="K29" s="166"/>
      <c r="L29" s="160"/>
      <c r="M29" s="160"/>
      <c r="N29" s="160"/>
      <c r="O29" s="160"/>
      <c r="P29" s="160"/>
      <c r="Q29" s="160"/>
      <c r="R29" s="160"/>
      <c r="S29" s="161"/>
      <c r="T29" s="161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</row>
    <row r="30" spans="1:118" ht="18.5" customHeight="1">
      <c r="A30" s="331">
        <v>773201.47679999995</v>
      </c>
      <c r="B30" s="331">
        <v>761796.75970000005</v>
      </c>
      <c r="C30" s="331">
        <v>30.64</v>
      </c>
      <c r="D30" s="331">
        <v>30.413456650000001</v>
      </c>
      <c r="E30" s="331">
        <v>27.863299999999999</v>
      </c>
      <c r="F30" s="331">
        <v>27.306034</v>
      </c>
      <c r="G30" s="160"/>
      <c r="H30" s="160"/>
      <c r="I30" s="160"/>
      <c r="J30" s="160"/>
      <c r="K30" s="166"/>
      <c r="L30" s="160"/>
      <c r="M30" s="160"/>
      <c r="N30" s="160"/>
      <c r="O30" s="160"/>
      <c r="P30" s="160"/>
      <c r="Q30" s="160"/>
      <c r="R30" s="160"/>
      <c r="S30" s="161"/>
      <c r="T30" s="161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</row>
    <row r="31" spans="1:118" ht="18.5" customHeight="1">
      <c r="A31" s="331">
        <v>211423.47229999999</v>
      </c>
      <c r="B31" s="331">
        <v>203770.97</v>
      </c>
      <c r="C31" s="331">
        <v>5.8282999999999996</v>
      </c>
      <c r="D31" s="331">
        <v>6.41113</v>
      </c>
      <c r="E31" s="331">
        <v>0.28499999999999998</v>
      </c>
      <c r="F31" s="331">
        <v>0.25650000000000001</v>
      </c>
      <c r="G31" s="160"/>
      <c r="H31" s="160"/>
      <c r="I31" s="160"/>
      <c r="J31" s="160"/>
      <c r="K31" s="166"/>
      <c r="L31" s="160"/>
      <c r="M31" s="160"/>
      <c r="N31" s="160"/>
      <c r="O31" s="160"/>
      <c r="P31" s="160"/>
      <c r="Q31" s="160"/>
      <c r="R31" s="160"/>
      <c r="S31" s="161"/>
      <c r="T31" s="161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</row>
    <row r="32" spans="1:118" ht="18.5" customHeight="1">
      <c r="A32" s="331">
        <v>561778.00459999999</v>
      </c>
      <c r="B32" s="331">
        <v>558025.78969999996</v>
      </c>
      <c r="C32" s="331">
        <v>39.977800000000002</v>
      </c>
      <c r="D32" s="331">
        <v>39.178243999999999</v>
      </c>
      <c r="E32" s="331">
        <v>37.942399999999999</v>
      </c>
      <c r="F32" s="331">
        <v>37.183551999999999</v>
      </c>
      <c r="G32" s="160"/>
      <c r="H32" s="160"/>
      <c r="I32" s="160"/>
      <c r="J32" s="160"/>
      <c r="K32" s="166"/>
      <c r="L32" s="160"/>
      <c r="M32" s="160"/>
      <c r="N32" s="160"/>
      <c r="O32" s="160"/>
      <c r="P32" s="160"/>
      <c r="Q32" s="160"/>
      <c r="R32" s="160"/>
      <c r="S32" s="161"/>
      <c r="T32" s="161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</row>
    <row r="33" spans="1:118" ht="18.5" customHeight="1">
      <c r="A33" s="331">
        <v>0</v>
      </c>
      <c r="B33" s="331">
        <v>0</v>
      </c>
      <c r="C33" s="331">
        <v>0</v>
      </c>
      <c r="D33" s="331">
        <v>0</v>
      </c>
      <c r="E33" s="331">
        <v>0</v>
      </c>
      <c r="F33" s="331">
        <v>0</v>
      </c>
      <c r="G33" s="160"/>
      <c r="H33" s="160"/>
      <c r="I33" s="160"/>
      <c r="J33" s="160"/>
      <c r="K33" s="166"/>
      <c r="L33" s="160"/>
      <c r="M33" s="160"/>
      <c r="N33" s="160"/>
      <c r="O33" s="160"/>
      <c r="P33" s="160"/>
      <c r="Q33" s="160"/>
      <c r="R33" s="160"/>
      <c r="S33" s="161"/>
      <c r="T33" s="161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</row>
    <row r="34" spans="1:118" ht="18.5" customHeight="1">
      <c r="A34" s="331">
        <v>18407</v>
      </c>
      <c r="B34" s="331">
        <v>18222.93</v>
      </c>
      <c r="C34" s="331">
        <v>47.082999999999998</v>
      </c>
      <c r="D34" s="331">
        <v>46.141361779999997</v>
      </c>
      <c r="E34" s="331">
        <v>45.084400000000002</v>
      </c>
      <c r="F34" s="331">
        <v>44.182674159999998</v>
      </c>
      <c r="G34" s="160"/>
      <c r="H34" s="160"/>
      <c r="I34" s="160"/>
      <c r="J34" s="160"/>
      <c r="K34" s="166"/>
      <c r="L34" s="160"/>
      <c r="M34" s="160"/>
      <c r="N34" s="160"/>
      <c r="O34" s="160"/>
      <c r="P34" s="160"/>
      <c r="Q34" s="160"/>
      <c r="R34" s="160"/>
      <c r="S34" s="161"/>
      <c r="T34" s="161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71"/>
      <c r="AO34" s="71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</row>
    <row r="35" spans="1:118" ht="18.5" customHeight="1">
      <c r="A35" s="331">
        <v>565914.00459999999</v>
      </c>
      <c r="B35" s="331">
        <v>551992.39969999995</v>
      </c>
      <c r="C35" s="331">
        <v>36.314999999999998</v>
      </c>
      <c r="D35" s="331">
        <v>39.471318529999998</v>
      </c>
      <c r="E35" s="331">
        <v>34.268300000000004</v>
      </c>
      <c r="F35" s="331">
        <v>37.468600610000003</v>
      </c>
      <c r="G35" s="160"/>
      <c r="H35" s="160"/>
      <c r="I35" s="160"/>
      <c r="J35" s="160"/>
      <c r="K35" s="166"/>
      <c r="L35" s="160"/>
      <c r="M35" s="160"/>
      <c r="N35" s="160"/>
      <c r="O35" s="160"/>
      <c r="P35" s="160"/>
      <c r="Q35" s="160"/>
      <c r="R35" s="160"/>
      <c r="S35" s="161"/>
      <c r="T35" s="161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71"/>
      <c r="AO35" s="71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</row>
    <row r="36" spans="1:118" ht="18.5" customHeight="1">
      <c r="A36" s="331">
        <v>139295.21220000001</v>
      </c>
      <c r="B36" s="331">
        <v>86767.938760000005</v>
      </c>
      <c r="C36" s="331">
        <v>5.2949999999999999</v>
      </c>
      <c r="D36" s="331">
        <v>5.2011392799999996</v>
      </c>
      <c r="E36" s="331">
        <v>0.6</v>
      </c>
      <c r="F36" s="331">
        <v>0.66043052570000005</v>
      </c>
      <c r="G36" s="160"/>
      <c r="H36" s="160"/>
      <c r="I36" s="160"/>
      <c r="J36" s="160"/>
      <c r="K36" s="166"/>
      <c r="L36" s="160"/>
      <c r="M36" s="160"/>
      <c r="N36" s="160"/>
      <c r="O36" s="160"/>
      <c r="P36" s="160"/>
      <c r="Q36" s="160"/>
      <c r="R36" s="160"/>
      <c r="S36" s="161"/>
      <c r="T36" s="161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71"/>
      <c r="AO36" s="71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</row>
    <row r="37" spans="1:118" ht="18.5" customHeight="1">
      <c r="A37" s="331">
        <v>426618.79239999998</v>
      </c>
      <c r="B37" s="331">
        <v>471104.78090000001</v>
      </c>
      <c r="C37" s="331">
        <v>46.443300000000001</v>
      </c>
      <c r="D37" s="331">
        <v>45.762670929999999</v>
      </c>
      <c r="E37" s="331">
        <v>44.986699999999999</v>
      </c>
      <c r="F37" s="331">
        <v>44.229025720000003</v>
      </c>
      <c r="G37" s="160"/>
      <c r="H37" s="160"/>
      <c r="I37" s="160"/>
      <c r="J37" s="160"/>
      <c r="K37" s="168"/>
      <c r="L37" s="160"/>
      <c r="M37" s="160"/>
      <c r="N37" s="160"/>
      <c r="O37" s="160"/>
      <c r="P37" s="160"/>
      <c r="Q37" s="160"/>
      <c r="R37" s="160"/>
      <c r="S37" s="161"/>
      <c r="T37" s="161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71"/>
      <c r="AO37" s="71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</row>
    <row r="38" spans="1:118" ht="18.5" customHeight="1">
      <c r="A38" s="331">
        <v>104563.4262</v>
      </c>
      <c r="B38" s="331">
        <v>114636.81630000001</v>
      </c>
      <c r="C38" s="331">
        <v>9.6117000000000008</v>
      </c>
      <c r="D38" s="331">
        <v>10.09313298</v>
      </c>
      <c r="E38" s="331">
        <v>5.9016999999999999</v>
      </c>
      <c r="F38" s="331">
        <v>6.0196352519999996</v>
      </c>
      <c r="G38" s="160"/>
      <c r="H38" s="160"/>
      <c r="I38" s="160"/>
      <c r="J38" s="160"/>
      <c r="K38" s="168"/>
      <c r="L38" s="160"/>
      <c r="M38" s="160"/>
      <c r="N38" s="160"/>
      <c r="O38" s="160"/>
      <c r="P38" s="160"/>
      <c r="Q38" s="160"/>
      <c r="R38" s="160"/>
      <c r="S38" s="161"/>
      <c r="T38" s="161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71"/>
      <c r="AO38" s="71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</row>
    <row r="39" spans="1:118" ht="18.5" customHeight="1">
      <c r="A39" s="331">
        <v>322055.36609999998</v>
      </c>
      <c r="B39" s="331">
        <v>356467.96470000001</v>
      </c>
      <c r="C39" s="331">
        <v>58.401699999999998</v>
      </c>
      <c r="D39" s="331">
        <v>57.233665999999999</v>
      </c>
      <c r="E39" s="331">
        <v>57.541699999999999</v>
      </c>
      <c r="F39" s="331">
        <v>56.516813990000003</v>
      </c>
      <c r="G39" s="160"/>
      <c r="H39" s="160"/>
      <c r="I39" s="160"/>
      <c r="J39" s="160"/>
      <c r="K39" s="166"/>
      <c r="L39" s="160"/>
      <c r="M39" s="160"/>
      <c r="N39" s="160"/>
      <c r="O39" s="160"/>
      <c r="P39" s="160"/>
      <c r="Q39" s="160"/>
      <c r="R39" s="160"/>
      <c r="S39" s="161"/>
      <c r="T39" s="161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71"/>
      <c r="AO39" s="71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</row>
    <row r="40" spans="1:118" ht="18.5" customHeight="1">
      <c r="A40" s="331">
        <v>0</v>
      </c>
      <c r="B40" s="331">
        <v>0</v>
      </c>
      <c r="C40" s="331">
        <v>0</v>
      </c>
      <c r="D40" s="331">
        <v>0</v>
      </c>
      <c r="E40" s="331">
        <v>0</v>
      </c>
      <c r="F40" s="331">
        <v>0</v>
      </c>
      <c r="G40" s="160"/>
      <c r="H40" s="160"/>
      <c r="I40" s="160"/>
      <c r="J40" s="160"/>
      <c r="K40" s="166"/>
      <c r="L40" s="160"/>
      <c r="M40" s="160"/>
      <c r="N40" s="160"/>
      <c r="O40" s="160"/>
      <c r="P40" s="160"/>
      <c r="Q40" s="160"/>
      <c r="R40" s="160"/>
      <c r="S40" s="161"/>
      <c r="T40" s="161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71"/>
      <c r="AO40" s="71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</row>
    <row r="41" spans="1:118" ht="18.5" customHeight="1">
      <c r="A41" s="331">
        <v>322055.36609999998</v>
      </c>
      <c r="B41" s="331">
        <v>356467.96470000001</v>
      </c>
      <c r="C41" s="331">
        <v>58.401699999999998</v>
      </c>
      <c r="D41" s="331">
        <v>57.233665999999999</v>
      </c>
      <c r="E41" s="331">
        <v>57.541699999999999</v>
      </c>
      <c r="F41" s="331">
        <v>56.516813990000003</v>
      </c>
      <c r="G41" s="160"/>
      <c r="H41" s="160"/>
      <c r="I41" s="160"/>
      <c r="J41" s="160"/>
      <c r="K41" s="166"/>
      <c r="L41" s="160"/>
      <c r="M41" s="160"/>
      <c r="N41" s="160"/>
      <c r="O41" s="160"/>
      <c r="P41" s="160"/>
      <c r="Q41" s="160"/>
      <c r="R41" s="160"/>
      <c r="S41" s="161"/>
      <c r="T41" s="161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71"/>
      <c r="AO41" s="71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</row>
    <row r="42" spans="1:118" ht="18.5" customHeight="1">
      <c r="A42" s="331">
        <v>110227.2117</v>
      </c>
      <c r="B42" s="331">
        <v>187340.96470000001</v>
      </c>
      <c r="C42" s="331">
        <v>46.076700000000002</v>
      </c>
      <c r="D42" s="331">
        <v>50.330736190000003</v>
      </c>
      <c r="E42" s="331">
        <v>44.454999999999998</v>
      </c>
      <c r="F42" s="331">
        <v>49.661864919999999</v>
      </c>
      <c r="G42" s="160"/>
      <c r="H42" s="160"/>
      <c r="I42" s="160"/>
      <c r="J42" s="160"/>
      <c r="K42" s="166"/>
      <c r="L42" s="160"/>
      <c r="M42" s="160"/>
      <c r="N42" s="160"/>
      <c r="O42" s="160"/>
      <c r="P42" s="160"/>
      <c r="Q42" s="160"/>
      <c r="R42" s="160"/>
      <c r="S42" s="161"/>
      <c r="T42" s="161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71"/>
      <c r="AO42" s="71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</row>
    <row r="43" spans="1:118" ht="18.5" customHeight="1">
      <c r="A43" s="331">
        <v>211828.1544</v>
      </c>
      <c r="B43" s="331">
        <v>172696.84529999999</v>
      </c>
      <c r="C43" s="331">
        <v>64.815100000000001</v>
      </c>
      <c r="D43" s="331">
        <v>64.497592449999999</v>
      </c>
      <c r="E43" s="331">
        <v>64.045900000000003</v>
      </c>
      <c r="F43" s="331">
        <v>63.706108190000002</v>
      </c>
      <c r="G43" s="160"/>
      <c r="H43" s="160"/>
      <c r="I43" s="160"/>
      <c r="J43" s="160"/>
      <c r="K43" s="166"/>
      <c r="L43" s="160"/>
      <c r="M43" s="160"/>
      <c r="N43" s="160"/>
      <c r="O43" s="160"/>
      <c r="P43" s="160"/>
      <c r="Q43" s="160"/>
      <c r="R43" s="160"/>
      <c r="S43" s="161"/>
      <c r="T43" s="161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71"/>
      <c r="AO43" s="71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</row>
    <row r="44" spans="1:118" ht="18.5" customHeight="1">
      <c r="A44" s="331">
        <v>595.16665030000001</v>
      </c>
      <c r="B44" s="331">
        <v>3569.8452980000002</v>
      </c>
      <c r="C44" s="331">
        <v>46.378300000000003</v>
      </c>
      <c r="D44" s="331">
        <v>46.380437139999998</v>
      </c>
      <c r="E44" s="331">
        <v>44.57</v>
      </c>
      <c r="F44" s="331">
        <v>44.571102250000003</v>
      </c>
      <c r="G44" s="160"/>
      <c r="H44" s="160"/>
      <c r="I44" s="160"/>
      <c r="J44" s="160"/>
      <c r="K44" s="166"/>
      <c r="L44" s="160"/>
      <c r="M44" s="160"/>
      <c r="N44" s="160"/>
      <c r="O44" s="160"/>
      <c r="P44" s="160"/>
      <c r="Q44" s="160"/>
      <c r="R44" s="160"/>
      <c r="S44" s="161"/>
      <c r="T44" s="161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71"/>
      <c r="AO44" s="71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</row>
    <row r="45" spans="1:118" ht="18.5" customHeight="1">
      <c r="A45" s="331">
        <v>0</v>
      </c>
      <c r="B45" s="331">
        <v>0</v>
      </c>
      <c r="C45" s="331">
        <v>0</v>
      </c>
      <c r="D45" s="331">
        <v>0</v>
      </c>
      <c r="E45" s="331">
        <v>0</v>
      </c>
      <c r="F45" s="331">
        <v>0</v>
      </c>
      <c r="G45" s="160"/>
      <c r="H45" s="160"/>
      <c r="I45" s="160"/>
      <c r="J45" s="160"/>
      <c r="K45" s="166"/>
      <c r="L45" s="160"/>
      <c r="M45" s="160"/>
      <c r="N45" s="160"/>
      <c r="O45" s="160"/>
      <c r="P45" s="160"/>
      <c r="Q45" s="160"/>
      <c r="R45" s="160"/>
      <c r="S45" s="161"/>
      <c r="T45" s="161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71"/>
      <c r="AO45" s="71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</row>
    <row r="46" spans="1:118" ht="18.5" customHeight="1">
      <c r="A46" s="331">
        <v>169127</v>
      </c>
      <c r="B46" s="331">
        <v>169127</v>
      </c>
      <c r="C46" s="331">
        <v>64.88</v>
      </c>
      <c r="D46" s="331">
        <v>64.88</v>
      </c>
      <c r="E46" s="331">
        <v>64.11</v>
      </c>
      <c r="F46" s="331">
        <v>64.11</v>
      </c>
      <c r="G46" s="160"/>
      <c r="H46" s="160"/>
      <c r="I46" s="160"/>
      <c r="J46" s="160"/>
      <c r="K46" s="166"/>
      <c r="L46" s="160"/>
      <c r="M46" s="160"/>
      <c r="N46" s="160"/>
      <c r="O46" s="160"/>
      <c r="P46" s="160"/>
      <c r="Q46" s="160"/>
      <c r="R46" s="160"/>
      <c r="S46" s="161"/>
      <c r="T46" s="161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71"/>
      <c r="AO46" s="71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</row>
    <row r="47" spans="1:118" ht="18.5" customHeight="1">
      <c r="A47" s="331">
        <v>1626912.8459999999</v>
      </c>
      <c r="B47" s="331">
        <v>1665324.93</v>
      </c>
      <c r="C47" s="331">
        <v>8.3971999999999998</v>
      </c>
      <c r="D47" s="331">
        <v>11.15608842</v>
      </c>
      <c r="E47" s="331">
        <v>3.6970999999999998</v>
      </c>
      <c r="F47" s="331">
        <v>6.2601328130000002</v>
      </c>
      <c r="G47" s="160"/>
      <c r="H47" s="160"/>
      <c r="I47" s="160"/>
      <c r="J47" s="160"/>
      <c r="K47" s="166"/>
      <c r="L47" s="160"/>
      <c r="M47" s="160"/>
      <c r="N47" s="160"/>
      <c r="O47" s="160"/>
      <c r="P47" s="160"/>
      <c r="Q47" s="160"/>
      <c r="R47" s="160"/>
      <c r="S47" s="161"/>
      <c r="T47" s="161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71"/>
      <c r="AO47" s="71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</row>
    <row r="48" spans="1:118" ht="18.5" customHeight="1">
      <c r="A48" s="331">
        <v>6125.3333329999996</v>
      </c>
      <c r="B48" s="331">
        <v>5880.32</v>
      </c>
      <c r="C48" s="331">
        <v>37</v>
      </c>
      <c r="D48" s="331">
        <v>37.827424290000003</v>
      </c>
      <c r="E48" s="331">
        <v>35.25</v>
      </c>
      <c r="F48" s="331">
        <v>35.954999999999998</v>
      </c>
      <c r="G48" s="160"/>
      <c r="H48" s="160"/>
      <c r="I48" s="160"/>
      <c r="J48" s="160"/>
      <c r="K48" s="166"/>
      <c r="L48" s="160"/>
      <c r="M48" s="160"/>
      <c r="N48" s="160"/>
      <c r="O48" s="160"/>
      <c r="P48" s="160"/>
      <c r="Q48" s="160"/>
      <c r="R48" s="160"/>
      <c r="S48" s="161"/>
      <c r="T48" s="161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71"/>
      <c r="AO48" s="71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</row>
    <row r="49" spans="1:118" ht="18.5" customHeight="1">
      <c r="A49" s="331">
        <v>24501.333330000001</v>
      </c>
      <c r="B49" s="331">
        <v>24256.32</v>
      </c>
      <c r="C49" s="331">
        <v>37</v>
      </c>
      <c r="D49" s="331">
        <v>37.74</v>
      </c>
      <c r="E49" s="331">
        <v>35.25</v>
      </c>
      <c r="F49" s="331">
        <v>35.954999999999998</v>
      </c>
      <c r="G49" s="160"/>
      <c r="H49" s="160"/>
      <c r="I49" s="160"/>
      <c r="J49" s="160"/>
      <c r="K49" s="166"/>
      <c r="L49" s="160"/>
      <c r="M49" s="160"/>
      <c r="N49" s="160"/>
      <c r="O49" s="160"/>
      <c r="P49" s="160"/>
      <c r="Q49" s="160"/>
      <c r="R49" s="160"/>
      <c r="S49" s="161"/>
      <c r="T49" s="161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71"/>
      <c r="AO49" s="71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</row>
    <row r="50" spans="1:118" ht="18.5" customHeight="1">
      <c r="A50" s="331">
        <v>537276.67119999998</v>
      </c>
      <c r="B50" s="331">
        <v>533769.46970000002</v>
      </c>
      <c r="C50" s="331">
        <v>39.977800000000002</v>
      </c>
      <c r="D50" s="331">
        <v>39.243602750000001</v>
      </c>
      <c r="E50" s="331">
        <v>37.942399999999999</v>
      </c>
      <c r="F50" s="331">
        <v>37.239381629999997</v>
      </c>
      <c r="G50" s="160"/>
      <c r="H50" s="160"/>
      <c r="I50" s="160"/>
      <c r="J50" s="160"/>
      <c r="K50" s="166"/>
      <c r="L50" s="160"/>
      <c r="M50" s="160"/>
      <c r="N50" s="160"/>
      <c r="O50" s="160"/>
      <c r="P50" s="160"/>
      <c r="Q50" s="160"/>
      <c r="R50" s="160"/>
      <c r="S50" s="161"/>
      <c r="T50" s="161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71"/>
      <c r="AO50" s="71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</row>
    <row r="51" spans="1:118" ht="18.5" customHeight="1">
      <c r="A51" s="331">
        <v>15448.53333</v>
      </c>
      <c r="B51" s="331">
        <v>49833.848440000002</v>
      </c>
      <c r="C51" s="331">
        <v>1</v>
      </c>
      <c r="D51" s="331">
        <v>0.36240736289999997</v>
      </c>
      <c r="E51" s="331">
        <v>0.38643666669999999</v>
      </c>
      <c r="F51" s="331">
        <v>0.35010337889999998</v>
      </c>
      <c r="G51" s="160"/>
      <c r="H51" s="160"/>
      <c r="I51" s="160"/>
      <c r="J51" s="160"/>
      <c r="K51" s="166"/>
      <c r="L51" s="160"/>
      <c r="M51" s="160"/>
      <c r="N51" s="160"/>
      <c r="O51" s="160"/>
      <c r="P51" s="160"/>
      <c r="Q51" s="160"/>
      <c r="R51" s="160"/>
      <c r="S51" s="161"/>
      <c r="T51" s="161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71"/>
      <c r="AO51" s="71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</row>
    <row r="52" spans="1:118" ht="18.5" customHeight="1">
      <c r="A52" s="331">
        <v>213110.47690000001</v>
      </c>
      <c r="B52" s="331">
        <v>402690.97</v>
      </c>
      <c r="C52" s="331">
        <v>1</v>
      </c>
      <c r="D52" s="331">
        <v>0.35948904679999999</v>
      </c>
      <c r="E52" s="331">
        <v>0.36358098830000002</v>
      </c>
      <c r="F52" s="331">
        <v>0.37742810180000003</v>
      </c>
      <c r="G52" s="160"/>
      <c r="H52" s="160"/>
      <c r="I52" s="160"/>
      <c r="J52" s="160"/>
      <c r="K52" s="166"/>
      <c r="L52" s="160"/>
      <c r="M52" s="160"/>
      <c r="N52" s="160"/>
      <c r="O52" s="160"/>
      <c r="P52" s="160"/>
      <c r="Q52" s="160"/>
      <c r="R52" s="160"/>
      <c r="S52" s="161"/>
      <c r="T52" s="161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71"/>
      <c r="AO52" s="71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</row>
    <row r="53" spans="1:118" ht="18.5" customHeight="1">
      <c r="A53" s="331">
        <v>10687.6495</v>
      </c>
      <c r="B53" s="331">
        <v>24387.435259999998</v>
      </c>
      <c r="C53" s="331">
        <v>1</v>
      </c>
      <c r="D53" s="331">
        <v>0.36144720000000002</v>
      </c>
      <c r="E53" s="331">
        <v>0.32940000000000003</v>
      </c>
      <c r="F53" s="331">
        <v>0.3461843845</v>
      </c>
      <c r="G53" s="160"/>
      <c r="H53" s="160"/>
      <c r="I53" s="160"/>
      <c r="J53" s="160"/>
      <c r="K53" s="166"/>
      <c r="L53" s="160"/>
      <c r="M53" s="160"/>
      <c r="N53" s="160"/>
      <c r="O53" s="160"/>
      <c r="P53" s="160"/>
      <c r="Q53" s="160"/>
      <c r="R53" s="160"/>
      <c r="S53" s="161"/>
      <c r="T53" s="161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71"/>
      <c r="AO53" s="71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</row>
    <row r="54" spans="1:118" ht="18.5" customHeight="1">
      <c r="A54" s="160"/>
      <c r="B54" s="160"/>
      <c r="C54" s="160"/>
      <c r="D54" s="160"/>
      <c r="E54" s="160"/>
      <c r="F54" s="160"/>
      <c r="G54" s="160"/>
      <c r="H54" s="160"/>
      <c r="I54" s="160"/>
      <c r="J54" s="160"/>
      <c r="K54" s="166"/>
      <c r="L54" s="160"/>
      <c r="M54" s="160"/>
      <c r="N54" s="160"/>
      <c r="O54" s="160"/>
      <c r="P54" s="160"/>
      <c r="Q54" s="160"/>
      <c r="R54" s="160"/>
      <c r="S54" s="161"/>
      <c r="T54" s="161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71"/>
      <c r="AO54" s="71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</row>
    <row r="55" spans="1:118" ht="18.5" customHeight="1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6"/>
      <c r="L55" s="160"/>
      <c r="M55" s="160"/>
      <c r="N55" s="160"/>
      <c r="O55" s="160"/>
      <c r="P55" s="160"/>
      <c r="Q55" s="160"/>
      <c r="R55" s="160"/>
      <c r="S55" s="161"/>
      <c r="T55" s="161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71"/>
      <c r="AO55" s="71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</row>
    <row r="56" spans="1:118" ht="18.5" customHeight="1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6"/>
      <c r="L56" s="160"/>
      <c r="M56" s="160"/>
      <c r="N56" s="160"/>
      <c r="O56" s="160"/>
      <c r="P56" s="160"/>
      <c r="Q56" s="160"/>
      <c r="R56" s="160"/>
      <c r="S56" s="161"/>
      <c r="T56" s="161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71"/>
      <c r="AO56" s="71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</row>
    <row r="57" spans="1:118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1"/>
      <c r="T57" s="161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71"/>
      <c r="AO57" s="71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</row>
    <row r="58" spans="1:118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1"/>
      <c r="T58" s="161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71"/>
      <c r="AO58" s="71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</row>
    <row r="59" spans="1:118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1"/>
      <c r="T59" s="161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71"/>
      <c r="AO59" s="71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</row>
    <row r="60" spans="1:118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1"/>
      <c r="T60" s="161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71"/>
      <c r="AO60" s="71"/>
      <c r="AP60" s="64"/>
      <c r="AQ60" s="64"/>
      <c r="AR60" s="64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</row>
    <row r="61" spans="1:118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1"/>
      <c r="T61" s="161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71"/>
      <c r="AO61" s="71"/>
      <c r="AP61" s="64"/>
      <c r="AQ61" s="64"/>
      <c r="AR61" s="64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</row>
    <row r="62" spans="1:118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1"/>
      <c r="T62" s="161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71"/>
      <c r="AO62" s="71"/>
      <c r="AP62" s="64"/>
      <c r="AQ62" s="64"/>
      <c r="AR62" s="64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</row>
    <row r="63" spans="1:118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1"/>
      <c r="T63" s="161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71"/>
      <c r="AO63" s="71"/>
      <c r="AP63" s="64"/>
      <c r="AQ63" s="64"/>
      <c r="AR63" s="64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</row>
    <row r="64" spans="1:118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1"/>
      <c r="T64" s="161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71"/>
      <c r="AO64" s="71"/>
      <c r="AP64" s="64"/>
      <c r="AQ64" s="64"/>
      <c r="AR64" s="64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</row>
    <row r="65" spans="1:118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1"/>
      <c r="T65" s="161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71"/>
      <c r="AO65" s="71"/>
      <c r="AP65" s="64"/>
      <c r="AQ65" s="64"/>
      <c r="AR65" s="64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</row>
    <row r="66" spans="1:118" ht="24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224"/>
      <c r="M66" s="224"/>
      <c r="N66" s="160"/>
      <c r="O66" s="225" t="s">
        <v>35</v>
      </c>
      <c r="P66" s="225"/>
      <c r="Q66" s="225"/>
      <c r="R66" s="160"/>
      <c r="S66" s="226"/>
      <c r="T66" s="226"/>
      <c r="U66" s="64"/>
      <c r="V66" s="64"/>
      <c r="W66" s="65"/>
      <c r="X66" s="64"/>
      <c r="Y66" s="64"/>
      <c r="Z66" s="64"/>
      <c r="AA66" s="64"/>
      <c r="AB66" s="220"/>
      <c r="AC66" s="220"/>
      <c r="AD66" s="220"/>
      <c r="AE66" s="220"/>
      <c r="AF66" s="64"/>
      <c r="AG66" s="64"/>
      <c r="AH66" s="64"/>
      <c r="AI66" s="64"/>
      <c r="AJ66" s="64"/>
      <c r="AK66" s="64"/>
      <c r="AL66" s="64"/>
      <c r="AM66" s="64"/>
      <c r="AN66" s="71"/>
      <c r="AO66" s="71"/>
      <c r="AP66" s="64"/>
      <c r="AQ66" s="64"/>
      <c r="AR66" s="64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</row>
    <row r="67" spans="1:118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9"/>
      <c r="M67" s="169"/>
      <c r="N67" s="160"/>
      <c r="O67" s="169" t="s">
        <v>28</v>
      </c>
      <c r="P67" s="169" t="s">
        <v>29</v>
      </c>
      <c r="Q67" s="169" t="s">
        <v>30</v>
      </c>
      <c r="R67" s="160"/>
      <c r="S67" s="170"/>
      <c r="T67" s="170"/>
      <c r="U67" s="54"/>
      <c r="V67" s="64"/>
      <c r="W67" s="5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71"/>
      <c r="AO67" s="71"/>
      <c r="AP67" s="64"/>
      <c r="AQ67" s="64"/>
      <c r="AR67" s="64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</row>
    <row r="68" spans="1:118" ht="15.5" customHeight="1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71"/>
      <c r="M68" s="172"/>
      <c r="N68" s="160" t="s">
        <v>0</v>
      </c>
      <c r="O68" s="171">
        <f>B1</f>
        <v>7094</v>
      </c>
      <c r="P68" s="172">
        <f>IF(D$1&gt;1,D1/100,D1)</f>
        <v>0.58686003720000002</v>
      </c>
      <c r="Q68" s="172">
        <f>IF(F$1&gt;1,F1/100,F1)</f>
        <v>0.57769188950000006</v>
      </c>
      <c r="R68" s="173">
        <f>P68*O68</f>
        <v>4163.1851038967998</v>
      </c>
      <c r="S68" s="174"/>
      <c r="T68" s="174"/>
      <c r="U68" s="66"/>
      <c r="V68" s="67"/>
      <c r="W68" s="66"/>
      <c r="X68" s="67"/>
      <c r="Y68" s="64"/>
      <c r="Z68" s="64"/>
      <c r="AA68" s="64"/>
      <c r="AB68" s="51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71"/>
      <c r="AO68" s="71"/>
      <c r="AP68" s="64"/>
      <c r="AQ68" s="64"/>
      <c r="AR68" s="64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</row>
    <row r="69" spans="1:118" ht="15.5" customHeight="1">
      <c r="A69" s="160"/>
      <c r="B69" s="160"/>
      <c r="C69" s="160"/>
      <c r="D69" s="160"/>
      <c r="E69" s="160"/>
      <c r="F69" s="160"/>
      <c r="G69" s="160"/>
      <c r="H69" s="160"/>
      <c r="I69" s="171"/>
      <c r="J69" s="160"/>
      <c r="K69" s="160"/>
      <c r="L69" s="171"/>
      <c r="M69" s="172"/>
      <c r="N69" s="160" t="s">
        <v>3</v>
      </c>
      <c r="O69" s="171">
        <f t="shared" ref="O69:O117" si="1">B2</f>
        <v>1763.84</v>
      </c>
      <c r="P69" s="172">
        <f t="shared" ref="P69:P117" si="2">IF(D$1&gt;1,D2/100,D2)</f>
        <v>0.59733407839999997</v>
      </c>
      <c r="Q69" s="172">
        <f t="shared" ref="Q69:Q117" si="3">IF(F$1&gt;1,F2/100,F2)</f>
        <v>0.58800230149999999</v>
      </c>
      <c r="R69" s="173">
        <f t="shared" ref="R69:R117" si="4">P69*O69</f>
        <v>1053.6017408450559</v>
      </c>
      <c r="S69" s="174"/>
      <c r="T69" s="174"/>
      <c r="U69" s="66"/>
      <c r="V69" s="67"/>
      <c r="W69" s="66"/>
      <c r="X69" s="67"/>
      <c r="Y69" s="64"/>
      <c r="Z69" s="64"/>
      <c r="AA69" s="64"/>
      <c r="AB69" s="51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71"/>
      <c r="AO69" s="71"/>
      <c r="AP69" s="64"/>
      <c r="AQ69" s="64"/>
      <c r="AR69" s="64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</row>
    <row r="70" spans="1:118" ht="15.5" customHeight="1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71"/>
      <c r="M70" s="172"/>
      <c r="N70" s="160" t="s">
        <v>1</v>
      </c>
      <c r="O70" s="171">
        <f t="shared" si="1"/>
        <v>5330.16</v>
      </c>
      <c r="P70" s="172">
        <f t="shared" si="2"/>
        <v>0.58339399999999997</v>
      </c>
      <c r="Q70" s="172">
        <f t="shared" si="3"/>
        <v>0.57428000000000001</v>
      </c>
      <c r="R70" s="173">
        <f t="shared" si="4"/>
        <v>3109.5833630399998</v>
      </c>
      <c r="S70" s="174"/>
      <c r="T70" s="174"/>
      <c r="U70" s="66"/>
      <c r="V70" s="67"/>
      <c r="W70" s="66"/>
      <c r="X70" s="67"/>
      <c r="Y70" s="64"/>
      <c r="Z70" s="64"/>
      <c r="AA70" s="64"/>
      <c r="AB70" s="51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71"/>
      <c r="AO70" s="71"/>
      <c r="AP70" s="64"/>
      <c r="AQ70" s="64"/>
      <c r="AR70" s="64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</row>
    <row r="71" spans="1:118" ht="15.5" customHeight="1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71"/>
      <c r="M71" s="172"/>
      <c r="N71" s="160" t="s">
        <v>2</v>
      </c>
      <c r="O71" s="171">
        <f t="shared" si="1"/>
        <v>8329</v>
      </c>
      <c r="P71" s="172">
        <f t="shared" si="2"/>
        <v>0.42611354509999999</v>
      </c>
      <c r="Q71" s="172">
        <f t="shared" si="3"/>
        <v>0.40319905360000002</v>
      </c>
      <c r="R71" s="173">
        <f t="shared" si="4"/>
        <v>3549.0997171378999</v>
      </c>
      <c r="S71" s="174"/>
      <c r="T71" s="174"/>
      <c r="U71" s="66"/>
      <c r="V71" s="67"/>
      <c r="W71" s="66"/>
      <c r="X71" s="67"/>
      <c r="Y71" s="64"/>
      <c r="Z71" s="64"/>
      <c r="AA71" s="64"/>
      <c r="AB71" s="51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71"/>
      <c r="AO71" s="71"/>
      <c r="AP71" s="64"/>
      <c r="AQ71" s="64"/>
      <c r="AR71" s="64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</row>
    <row r="72" spans="1:118" ht="15.5" customHeight="1">
      <c r="A72" s="160"/>
      <c r="B72" s="160"/>
      <c r="C72" s="160"/>
      <c r="D72" s="160"/>
      <c r="E72" s="160"/>
      <c r="F72" s="160"/>
      <c r="G72" s="160"/>
      <c r="H72" s="160"/>
      <c r="I72" s="171"/>
      <c r="J72" s="160"/>
      <c r="K72" s="160"/>
      <c r="L72" s="171"/>
      <c r="M72" s="172"/>
      <c r="N72" s="160" t="s">
        <v>4</v>
      </c>
      <c r="O72" s="171">
        <f t="shared" si="1"/>
        <v>2776.09</v>
      </c>
      <c r="P72" s="172">
        <f t="shared" si="2"/>
        <v>0.4329935399</v>
      </c>
      <c r="Q72" s="172">
        <f t="shared" si="3"/>
        <v>0.40972201839999994</v>
      </c>
      <c r="R72" s="173">
        <f t="shared" si="4"/>
        <v>1202.0290361809912</v>
      </c>
      <c r="S72" s="174"/>
      <c r="T72" s="174"/>
      <c r="U72" s="66"/>
      <c r="V72" s="67"/>
      <c r="W72" s="66"/>
      <c r="X72" s="67"/>
      <c r="Y72" s="64"/>
      <c r="Z72" s="64"/>
      <c r="AA72" s="64"/>
      <c r="AB72" s="51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71"/>
      <c r="AO72" s="71"/>
      <c r="AP72" s="64"/>
      <c r="AQ72" s="64"/>
      <c r="AR72" s="64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</row>
    <row r="73" spans="1:118" ht="15.5" customHeight="1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71"/>
      <c r="M73" s="172"/>
      <c r="N73" s="160" t="s">
        <v>5</v>
      </c>
      <c r="O73" s="171">
        <f t="shared" si="1"/>
        <v>5552.91</v>
      </c>
      <c r="P73" s="172">
        <f t="shared" si="2"/>
        <v>0.42267399999999999</v>
      </c>
      <c r="Q73" s="172">
        <f t="shared" si="3"/>
        <v>0.39993800000000002</v>
      </c>
      <c r="R73" s="173">
        <f t="shared" si="4"/>
        <v>2347.0706813399997</v>
      </c>
      <c r="S73" s="174"/>
      <c r="T73" s="174"/>
      <c r="U73" s="66"/>
      <c r="V73" s="67"/>
      <c r="W73" s="66"/>
      <c r="X73" s="67"/>
      <c r="Y73" s="64"/>
      <c r="Z73" s="64"/>
      <c r="AA73" s="64"/>
      <c r="AB73" s="51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71"/>
      <c r="AO73" s="71"/>
      <c r="AP73" s="64"/>
      <c r="AQ73" s="64"/>
      <c r="AR73" s="64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</row>
    <row r="74" spans="1:118" ht="15.5" customHeight="1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71"/>
      <c r="M74" s="172"/>
      <c r="N74" s="160" t="s">
        <v>6</v>
      </c>
      <c r="O74" s="171">
        <f t="shared" si="1"/>
        <v>9517</v>
      </c>
      <c r="P74" s="172">
        <f t="shared" si="2"/>
        <v>0.48923527989999999</v>
      </c>
      <c r="Q74" s="172">
        <f t="shared" si="3"/>
        <v>0.47276103059999997</v>
      </c>
      <c r="R74" s="173">
        <f t="shared" si="4"/>
        <v>4656.0521588083002</v>
      </c>
      <c r="S74" s="174"/>
      <c r="T74" s="174"/>
      <c r="U74" s="66"/>
      <c r="V74" s="67"/>
      <c r="W74" s="66"/>
      <c r="X74" s="67"/>
      <c r="Y74" s="64"/>
      <c r="Z74" s="64"/>
      <c r="AA74" s="64"/>
      <c r="AB74" s="51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71"/>
      <c r="AO74" s="71"/>
      <c r="AP74" s="64"/>
      <c r="AQ74" s="64"/>
      <c r="AR74" s="64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</row>
    <row r="75" spans="1:118" ht="15.5" customHeight="1">
      <c r="A75" s="160"/>
      <c r="B75" s="160"/>
      <c r="C75" s="160"/>
      <c r="D75" s="160"/>
      <c r="E75" s="160"/>
      <c r="F75" s="160"/>
      <c r="G75" s="160"/>
      <c r="H75" s="160"/>
      <c r="I75" s="171"/>
      <c r="J75" s="160"/>
      <c r="K75" s="160"/>
      <c r="L75" s="171"/>
      <c r="M75" s="172"/>
      <c r="N75" s="160" t="s">
        <v>7</v>
      </c>
      <c r="O75" s="171">
        <f t="shared" si="1"/>
        <v>8221.09</v>
      </c>
      <c r="P75" s="172">
        <f t="shared" si="2"/>
        <v>0.4906595325</v>
      </c>
      <c r="Q75" s="172">
        <f t="shared" si="3"/>
        <v>0.47413732380000001</v>
      </c>
      <c r="R75" s="173">
        <f t="shared" si="4"/>
        <v>4033.7561760404251</v>
      </c>
      <c r="S75" s="174"/>
      <c r="T75" s="174"/>
      <c r="U75" s="66"/>
      <c r="V75" s="67"/>
      <c r="W75" s="66"/>
      <c r="X75" s="67"/>
      <c r="Y75" s="64"/>
      <c r="Z75" s="64"/>
      <c r="AA75" s="64"/>
      <c r="AB75" s="51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71"/>
      <c r="AO75" s="71"/>
      <c r="AP75" s="64"/>
      <c r="AQ75" s="64"/>
      <c r="AR75" s="64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</row>
    <row r="76" spans="1:118" ht="15.5" customHeight="1">
      <c r="A76" s="160"/>
      <c r="B76" s="160"/>
      <c r="C76" s="160"/>
      <c r="D76" s="169"/>
      <c r="E76" s="169"/>
      <c r="F76" s="169"/>
      <c r="G76" s="169"/>
      <c r="H76" s="169"/>
      <c r="I76" s="160"/>
      <c r="J76" s="160"/>
      <c r="K76" s="160"/>
      <c r="L76" s="171"/>
      <c r="M76" s="172"/>
      <c r="N76" s="160" t="s">
        <v>8</v>
      </c>
      <c r="O76" s="171">
        <f t="shared" si="1"/>
        <v>1295.9100000000001</v>
      </c>
      <c r="P76" s="172">
        <f t="shared" si="2"/>
        <v>0.48020000000000002</v>
      </c>
      <c r="Q76" s="172">
        <f t="shared" si="3"/>
        <v>0.46403</v>
      </c>
      <c r="R76" s="173">
        <f t="shared" si="4"/>
        <v>622.29598200000009</v>
      </c>
      <c r="S76" s="174"/>
      <c r="T76" s="174"/>
      <c r="U76" s="66"/>
      <c r="V76" s="67"/>
      <c r="W76" s="66"/>
      <c r="X76" s="67"/>
      <c r="Y76" s="64"/>
      <c r="Z76" s="64"/>
      <c r="AA76" s="64"/>
      <c r="AB76" s="51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71"/>
      <c r="AO76" s="71"/>
      <c r="AP76" s="64"/>
      <c r="AQ76" s="64"/>
      <c r="AR76" s="64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</row>
    <row r="77" spans="1:118" ht="15.5" customHeight="1">
      <c r="A77" s="160"/>
      <c r="B77" s="160"/>
      <c r="C77" s="160"/>
      <c r="D77" s="175"/>
      <c r="E77" s="175"/>
      <c r="F77" s="175"/>
      <c r="G77" s="175"/>
      <c r="H77" s="175"/>
      <c r="I77" s="160"/>
      <c r="J77" s="160"/>
      <c r="K77" s="160"/>
      <c r="L77" s="171"/>
      <c r="M77" s="172"/>
      <c r="N77" s="160" t="s">
        <v>9</v>
      </c>
      <c r="O77" s="171">
        <f t="shared" si="1"/>
        <v>18376</v>
      </c>
      <c r="P77" s="172">
        <f t="shared" si="2"/>
        <v>0.37712024229999996</v>
      </c>
      <c r="Q77" s="172">
        <f t="shared" si="3"/>
        <v>0.35954999999999998</v>
      </c>
      <c r="R77" s="173">
        <f t="shared" si="4"/>
        <v>6929.9615725047997</v>
      </c>
      <c r="S77" s="174"/>
      <c r="T77" s="174"/>
      <c r="U77" s="66"/>
      <c r="V77" s="67"/>
      <c r="W77" s="66"/>
      <c r="X77" s="67"/>
      <c r="Y77" s="64"/>
      <c r="Z77" s="64"/>
      <c r="AA77" s="64"/>
      <c r="AB77" s="51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71"/>
      <c r="AO77" s="71"/>
      <c r="AP77" s="64"/>
      <c r="AQ77" s="64"/>
      <c r="AR77" s="64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</row>
    <row r="78" spans="1:118" ht="15.5" customHeight="1">
      <c r="A78" s="160"/>
      <c r="B78" s="160"/>
      <c r="C78" s="160"/>
      <c r="D78" s="175"/>
      <c r="E78" s="175"/>
      <c r="F78" s="175"/>
      <c r="G78" s="175"/>
      <c r="H78" s="175"/>
      <c r="I78" s="171"/>
      <c r="J78" s="160"/>
      <c r="K78" s="160"/>
      <c r="L78" s="171"/>
      <c r="M78" s="172"/>
      <c r="N78" s="160" t="s">
        <v>10</v>
      </c>
      <c r="O78" s="171">
        <f t="shared" si="1"/>
        <v>14312.05</v>
      </c>
      <c r="P78" s="172">
        <f t="shared" si="2"/>
        <v>0.3837477749</v>
      </c>
      <c r="Q78" s="172">
        <f t="shared" si="3"/>
        <v>0.36647561449999999</v>
      </c>
      <c r="R78" s="173">
        <f t="shared" si="4"/>
        <v>5492.217341757545</v>
      </c>
      <c r="S78" s="174"/>
      <c r="T78" s="174"/>
      <c r="U78" s="66"/>
      <c r="V78" s="67"/>
      <c r="W78" s="66"/>
      <c r="X78" s="67"/>
      <c r="Y78" s="64"/>
      <c r="Z78" s="64"/>
      <c r="AA78" s="64"/>
      <c r="AB78" s="51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71"/>
      <c r="AO78" s="71"/>
      <c r="AP78" s="64"/>
      <c r="AQ78" s="64"/>
      <c r="AR78" s="64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</row>
    <row r="79" spans="1:118" ht="15.5" customHeight="1">
      <c r="A79" s="160"/>
      <c r="B79" s="160"/>
      <c r="C79" s="160"/>
      <c r="D79" s="175"/>
      <c r="E79" s="175"/>
      <c r="F79" s="175"/>
      <c r="G79" s="175"/>
      <c r="H79" s="175"/>
      <c r="I79" s="160"/>
      <c r="J79" s="160"/>
      <c r="K79" s="160"/>
      <c r="L79" s="171"/>
      <c r="M79" s="172"/>
      <c r="N79" s="160" t="s">
        <v>11</v>
      </c>
      <c r="O79" s="171">
        <f t="shared" si="1"/>
        <v>4063.95</v>
      </c>
      <c r="P79" s="172">
        <f t="shared" si="2"/>
        <v>0.35377999999999998</v>
      </c>
      <c r="Q79" s="172">
        <f t="shared" si="3"/>
        <v>0.33515999999999996</v>
      </c>
      <c r="R79" s="173">
        <f t="shared" si="4"/>
        <v>1437.7442309999999</v>
      </c>
      <c r="S79" s="174"/>
      <c r="T79" s="174"/>
      <c r="U79" s="66"/>
      <c r="V79" s="67"/>
      <c r="W79" s="66"/>
      <c r="X79" s="67"/>
      <c r="Y79" s="64"/>
      <c r="Z79" s="64"/>
      <c r="AA79" s="64"/>
      <c r="AB79" s="51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71"/>
      <c r="AO79" s="71"/>
      <c r="AP79" s="64"/>
      <c r="AQ79" s="64"/>
      <c r="AR79" s="64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</row>
    <row r="80" spans="1:118" ht="15.5" customHeight="1">
      <c r="A80" s="160"/>
      <c r="B80" s="175"/>
      <c r="C80" s="175"/>
      <c r="D80" s="175"/>
      <c r="E80" s="175"/>
      <c r="F80" s="175"/>
      <c r="G80" s="175"/>
      <c r="H80" s="175"/>
      <c r="I80" s="160"/>
      <c r="J80" s="160"/>
      <c r="K80" s="160"/>
      <c r="L80" s="171"/>
      <c r="M80" s="172"/>
      <c r="N80" s="160" t="s">
        <v>12</v>
      </c>
      <c r="O80" s="171">
        <f t="shared" si="1"/>
        <v>3933</v>
      </c>
      <c r="P80" s="172">
        <f t="shared" si="2"/>
        <v>0.49429762729999999</v>
      </c>
      <c r="Q80" s="172">
        <f t="shared" si="3"/>
        <v>0.44984174069999999</v>
      </c>
      <c r="R80" s="173">
        <f t="shared" si="4"/>
        <v>1944.0725681709</v>
      </c>
      <c r="S80" s="174"/>
      <c r="T80" s="174"/>
      <c r="U80" s="66"/>
      <c r="V80" s="67"/>
      <c r="W80" s="66"/>
      <c r="X80" s="67"/>
      <c r="Y80" s="64"/>
      <c r="Z80" s="64"/>
      <c r="AA80" s="64"/>
      <c r="AB80" s="51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71"/>
      <c r="AO80" s="71"/>
      <c r="AP80" s="64"/>
      <c r="AQ80" s="64"/>
      <c r="AR80" s="64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</row>
    <row r="81" spans="1:118" ht="15.5" customHeight="1">
      <c r="A81" s="160"/>
      <c r="B81" s="160"/>
      <c r="C81" s="160"/>
      <c r="D81" s="160"/>
      <c r="E81" s="160"/>
      <c r="F81" s="160"/>
      <c r="G81" s="160"/>
      <c r="H81" s="160"/>
      <c r="I81" s="171"/>
      <c r="J81" s="160"/>
      <c r="K81" s="160"/>
      <c r="L81" s="171"/>
      <c r="M81" s="172"/>
      <c r="N81" s="160" t="s">
        <v>13</v>
      </c>
      <c r="O81" s="171">
        <f t="shared" si="1"/>
        <v>2943</v>
      </c>
      <c r="P81" s="172">
        <f t="shared" si="2"/>
        <v>0.49709493309999997</v>
      </c>
      <c r="Q81" s="172">
        <f t="shared" si="3"/>
        <v>0.45238746390000001</v>
      </c>
      <c r="R81" s="173">
        <f t="shared" si="4"/>
        <v>1462.9503881132998</v>
      </c>
      <c r="S81" s="174"/>
      <c r="T81" s="174"/>
      <c r="U81" s="66"/>
      <c r="V81" s="67"/>
      <c r="W81" s="66"/>
      <c r="X81" s="67"/>
      <c r="Y81" s="64"/>
      <c r="Z81" s="64"/>
      <c r="AA81" s="64"/>
      <c r="AB81" s="51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71"/>
      <c r="AO81" s="71"/>
      <c r="AP81" s="64"/>
      <c r="AQ81" s="64"/>
      <c r="AR81" s="64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</row>
    <row r="82" spans="1:118" ht="15.5" customHeight="1">
      <c r="A82" s="169"/>
      <c r="B82" s="175"/>
      <c r="C82" s="175"/>
      <c r="D82" s="175"/>
      <c r="E82" s="175"/>
      <c r="F82" s="175"/>
      <c r="G82" s="175"/>
      <c r="H82" s="175"/>
      <c r="I82" s="176"/>
      <c r="J82" s="160"/>
      <c r="K82" s="160"/>
      <c r="L82" s="171"/>
      <c r="M82" s="172"/>
      <c r="N82" s="160" t="s">
        <v>14</v>
      </c>
      <c r="O82" s="171">
        <f t="shared" si="1"/>
        <v>990</v>
      </c>
      <c r="P82" s="172">
        <f t="shared" si="2"/>
        <v>0.48598199999999997</v>
      </c>
      <c r="Q82" s="172">
        <f t="shared" si="3"/>
        <v>0.44227400000000006</v>
      </c>
      <c r="R82" s="173">
        <f t="shared" si="4"/>
        <v>481.12217999999996</v>
      </c>
      <c r="S82" s="174"/>
      <c r="T82" s="174"/>
      <c r="U82" s="66"/>
      <c r="V82" s="67"/>
      <c r="W82" s="66"/>
      <c r="X82" s="67"/>
      <c r="Y82" s="64"/>
      <c r="Z82" s="64"/>
      <c r="AA82" s="64"/>
      <c r="AB82" s="51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71"/>
      <c r="AO82" s="71"/>
      <c r="AP82" s="64"/>
      <c r="AQ82" s="64"/>
      <c r="AR82" s="64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</row>
    <row r="83" spans="1:118" ht="15.5" customHeight="1">
      <c r="A83" s="169"/>
      <c r="B83" s="176"/>
      <c r="C83" s="176"/>
      <c r="D83" s="176"/>
      <c r="E83" s="176"/>
      <c r="F83" s="176"/>
      <c r="G83" s="176"/>
      <c r="H83" s="176"/>
      <c r="I83" s="176"/>
      <c r="J83" s="160"/>
      <c r="K83" s="160"/>
      <c r="L83" s="171"/>
      <c r="M83" s="172"/>
      <c r="N83" s="160" t="s">
        <v>47</v>
      </c>
      <c r="O83" s="171">
        <f t="shared" si="1"/>
        <v>750</v>
      </c>
      <c r="P83" s="172">
        <f t="shared" si="2"/>
        <v>0.41463800000000001</v>
      </c>
      <c r="Q83" s="172">
        <f t="shared" si="3"/>
        <v>0.37200800000000001</v>
      </c>
      <c r="R83" s="173">
        <f t="shared" si="4"/>
        <v>310.9785</v>
      </c>
      <c r="S83" s="174"/>
      <c r="T83" s="174"/>
      <c r="U83" s="66"/>
      <c r="V83" s="67"/>
      <c r="W83" s="66"/>
      <c r="X83" s="67"/>
      <c r="Y83" s="64"/>
      <c r="Z83" s="64"/>
      <c r="AA83" s="64"/>
      <c r="AB83" s="51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71"/>
      <c r="AO83" s="71"/>
      <c r="AP83" s="64"/>
      <c r="AQ83" s="64"/>
      <c r="AR83" s="64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</row>
    <row r="84" spans="1:118" ht="15.5" customHeight="1">
      <c r="A84" s="160"/>
      <c r="B84" s="160"/>
      <c r="C84" s="160"/>
      <c r="D84" s="160"/>
      <c r="E84" s="160"/>
      <c r="F84" s="160"/>
      <c r="G84" s="160"/>
      <c r="H84" s="160"/>
      <c r="I84" s="171"/>
      <c r="J84" s="160"/>
      <c r="K84" s="160"/>
      <c r="L84" s="171"/>
      <c r="M84" s="172"/>
      <c r="N84" s="160" t="s">
        <v>48</v>
      </c>
      <c r="O84" s="171">
        <f t="shared" si="1"/>
        <v>-240</v>
      </c>
      <c r="P84" s="172">
        <f t="shared" si="2"/>
        <v>0.41463800000000001</v>
      </c>
      <c r="Q84" s="172">
        <f t="shared" si="3"/>
        <v>0.37200800000000001</v>
      </c>
      <c r="R84" s="173">
        <f t="shared" si="4"/>
        <v>-99.513120000000001</v>
      </c>
      <c r="S84" s="174"/>
      <c r="T84" s="174"/>
      <c r="U84" s="66"/>
      <c r="V84" s="67"/>
      <c r="W84" s="66"/>
      <c r="X84" s="67"/>
      <c r="Y84" s="64"/>
      <c r="Z84" s="64"/>
      <c r="AA84" s="64"/>
      <c r="AB84" s="51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71"/>
      <c r="AO84" s="71"/>
      <c r="AP84" s="64"/>
      <c r="AQ84" s="64"/>
      <c r="AR84" s="64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</row>
    <row r="85" spans="1:118" ht="15.5" customHeight="1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71"/>
      <c r="M85" s="172"/>
      <c r="N85" s="160" t="s">
        <v>49</v>
      </c>
      <c r="O85" s="171">
        <f t="shared" si="1"/>
        <v>990</v>
      </c>
      <c r="P85" s="172">
        <f t="shared" si="2"/>
        <v>0.41463800000000001</v>
      </c>
      <c r="Q85" s="172">
        <f t="shared" si="3"/>
        <v>0.37200800000000001</v>
      </c>
      <c r="R85" s="173">
        <f t="shared" si="4"/>
        <v>410.49162000000001</v>
      </c>
      <c r="S85" s="174"/>
      <c r="T85" s="174"/>
      <c r="U85" s="66"/>
      <c r="V85" s="67"/>
      <c r="W85" s="66"/>
      <c r="X85" s="67"/>
      <c r="Y85" s="64"/>
      <c r="Z85" s="64"/>
      <c r="AA85" s="64"/>
      <c r="AB85" s="51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71"/>
      <c r="AO85" s="71"/>
      <c r="AP85" s="64"/>
      <c r="AQ85" s="64"/>
      <c r="AR85" s="64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</row>
    <row r="86" spans="1:118" ht="15.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71"/>
      <c r="M86" s="172"/>
      <c r="N86" s="160" t="s">
        <v>52</v>
      </c>
      <c r="O86" s="171">
        <f t="shared" si="1"/>
        <v>0</v>
      </c>
      <c r="P86" s="172">
        <f t="shared" si="2"/>
        <v>0</v>
      </c>
      <c r="Q86" s="172">
        <f t="shared" si="3"/>
        <v>0</v>
      </c>
      <c r="R86" s="173">
        <f t="shared" si="4"/>
        <v>0</v>
      </c>
      <c r="S86" s="174"/>
      <c r="T86" s="174"/>
      <c r="U86" s="66"/>
      <c r="V86" s="67"/>
      <c r="W86" s="66"/>
      <c r="X86" s="67"/>
      <c r="Y86" s="64"/>
      <c r="Z86" s="64"/>
      <c r="AA86" s="64"/>
      <c r="AB86" s="51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</row>
    <row r="87" spans="1:118" ht="15.5" customHeight="1">
      <c r="A87" s="160"/>
      <c r="B87" s="160"/>
      <c r="C87" s="160"/>
      <c r="D87" s="160"/>
      <c r="E87" s="160"/>
      <c r="F87" s="160"/>
      <c r="G87" s="160"/>
      <c r="H87" s="160"/>
      <c r="I87" s="171"/>
      <c r="J87" s="160"/>
      <c r="K87" s="160"/>
      <c r="L87" s="171"/>
      <c r="M87" s="172"/>
      <c r="N87" s="160" t="s">
        <v>53</v>
      </c>
      <c r="O87" s="171">
        <f t="shared" si="1"/>
        <v>0</v>
      </c>
      <c r="P87" s="172">
        <f t="shared" si="2"/>
        <v>0</v>
      </c>
      <c r="Q87" s="172">
        <f t="shared" si="3"/>
        <v>0</v>
      </c>
      <c r="R87" s="173">
        <f t="shared" si="4"/>
        <v>0</v>
      </c>
      <c r="S87" s="174"/>
      <c r="T87" s="174"/>
      <c r="U87" s="66"/>
      <c r="V87" s="67"/>
      <c r="W87" s="66"/>
      <c r="X87" s="67"/>
      <c r="Y87" s="64"/>
      <c r="Z87" s="64"/>
      <c r="AA87" s="64"/>
      <c r="AB87" s="52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</row>
    <row r="88" spans="1:118" ht="15.5" customHeight="1">
      <c r="A88" s="218" t="s">
        <v>29</v>
      </c>
      <c r="B88" s="169" t="str">
        <f>+'[1]Informacion Planta'!B41</f>
        <v>R1</v>
      </c>
      <c r="C88" s="169" t="str">
        <f>+'[1]Informacion Planta'!C41</f>
        <v>R2</v>
      </c>
      <c r="D88" s="169" t="str">
        <f>+'[1]Informacion Planta'!D41</f>
        <v>Hidro</v>
      </c>
      <c r="E88" s="169" t="str">
        <f>+'[1]Informacion Planta'!E41</f>
        <v>Finisher</v>
      </c>
      <c r="F88" s="169" t="str">
        <f>+'[1]Informacion Planta'!F41</f>
        <v>Flot Magn</v>
      </c>
      <c r="G88" s="169" t="str">
        <f>+'[1]Informacion Planta'!G41</f>
        <v>Flot Neum</v>
      </c>
      <c r="H88" s="169" t="str">
        <f>+'[1]Informacion Planta'!H41</f>
        <v>Esp. Conc</v>
      </c>
      <c r="I88" s="160"/>
      <c r="J88" s="160"/>
      <c r="K88" s="160"/>
      <c r="L88" s="171"/>
      <c r="M88" s="172"/>
      <c r="N88" s="160" t="s">
        <v>54</v>
      </c>
      <c r="O88" s="171">
        <f t="shared" si="1"/>
        <v>0</v>
      </c>
      <c r="P88" s="172">
        <f t="shared" si="2"/>
        <v>0</v>
      </c>
      <c r="Q88" s="172">
        <f t="shared" si="3"/>
        <v>0</v>
      </c>
      <c r="R88" s="173">
        <f t="shared" si="4"/>
        <v>0</v>
      </c>
      <c r="S88" s="174"/>
      <c r="T88" s="174"/>
      <c r="U88" s="66"/>
      <c r="V88" s="67"/>
      <c r="W88" s="66"/>
      <c r="X88" s="67"/>
      <c r="Y88" s="64"/>
      <c r="Z88" s="64"/>
      <c r="AA88" s="64"/>
      <c r="AB88" s="52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</row>
    <row r="89" spans="1:118" ht="15.5" customHeight="1">
      <c r="A89" s="177" t="s">
        <v>92</v>
      </c>
      <c r="B89" s="178">
        <f>+P95</f>
        <v>0.16027230540000001</v>
      </c>
      <c r="C89" s="178">
        <f>+P97</f>
        <v>0.30413456649999998</v>
      </c>
      <c r="D89" s="178">
        <f>+P102</f>
        <v>0.39471318529999999</v>
      </c>
      <c r="E89" s="178">
        <f>+P104</f>
        <v>0.45762670929999999</v>
      </c>
      <c r="F89" s="178">
        <f>+P106</f>
        <v>0.57233665999999994</v>
      </c>
      <c r="G89" s="178">
        <f>+P108</f>
        <v>0.57233665999999994</v>
      </c>
      <c r="H89" s="178">
        <f>+P110</f>
        <v>0.64497592449999996</v>
      </c>
      <c r="I89" s="179"/>
      <c r="J89" s="160"/>
      <c r="K89" s="160"/>
      <c r="L89" s="171"/>
      <c r="M89" s="172"/>
      <c r="N89" s="160" t="s">
        <v>55</v>
      </c>
      <c r="O89" s="171">
        <f t="shared" si="1"/>
        <v>2413</v>
      </c>
      <c r="P89" s="172">
        <f t="shared" si="2"/>
        <v>0.54689999999999994</v>
      </c>
      <c r="Q89" s="172">
        <f t="shared" si="3"/>
        <v>0.52139999999999997</v>
      </c>
      <c r="R89" s="173">
        <f t="shared" si="4"/>
        <v>1319.6696999999999</v>
      </c>
      <c r="S89" s="174"/>
      <c r="T89" s="174"/>
      <c r="U89" s="66"/>
      <c r="V89" s="67"/>
      <c r="W89" s="66"/>
      <c r="X89" s="67"/>
      <c r="Y89" s="64"/>
      <c r="Z89" s="64"/>
      <c r="AA89" s="64"/>
      <c r="AB89" s="52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</row>
    <row r="90" spans="1:118" ht="15.5" customHeight="1">
      <c r="A90" s="177" t="s">
        <v>93</v>
      </c>
      <c r="B90" s="178">
        <f>+P97</f>
        <v>0.30413456649999998</v>
      </c>
      <c r="C90" s="178">
        <f>+P99</f>
        <v>0.39178244000000001</v>
      </c>
      <c r="D90" s="178">
        <f>+P104</f>
        <v>0.45762670929999999</v>
      </c>
      <c r="E90" s="178">
        <f>+P106</f>
        <v>0.57233665999999994</v>
      </c>
      <c r="F90" s="178">
        <f>+P108</f>
        <v>0.57233665999999994</v>
      </c>
      <c r="G90" s="178">
        <f>+P110</f>
        <v>0.64497592449999996</v>
      </c>
      <c r="H90" s="178">
        <f>+P113</f>
        <v>0.64879999999999993</v>
      </c>
      <c r="I90" s="180">
        <f>+'[1]Calc Nodos Stock'!E12</f>
        <v>2097.3996419743307</v>
      </c>
      <c r="J90" s="160"/>
      <c r="K90" s="160"/>
      <c r="L90" s="171"/>
      <c r="M90" s="172"/>
      <c r="N90" s="160" t="s">
        <v>56</v>
      </c>
      <c r="O90" s="171">
        <f t="shared" si="1"/>
        <v>2413</v>
      </c>
      <c r="P90" s="172">
        <f t="shared" si="2"/>
        <v>0.54689999999999994</v>
      </c>
      <c r="Q90" s="172">
        <f t="shared" si="3"/>
        <v>0.52139999999999997</v>
      </c>
      <c r="R90" s="173">
        <f t="shared" si="4"/>
        <v>1319.6696999999999</v>
      </c>
      <c r="S90" s="174"/>
      <c r="T90" s="174"/>
      <c r="U90" s="66"/>
      <c r="V90" s="67"/>
      <c r="W90" s="66"/>
      <c r="X90" s="67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</row>
    <row r="91" spans="1:118" ht="15.5" customHeight="1">
      <c r="A91" s="177" t="s">
        <v>94</v>
      </c>
      <c r="B91" s="178">
        <f>+P96</f>
        <v>5.8116300000000003E-2</v>
      </c>
      <c r="C91" s="178">
        <f>+P98</f>
        <v>6.4111299999999996E-2</v>
      </c>
      <c r="D91" s="178">
        <f>+P103</f>
        <v>5.2011392799999993E-2</v>
      </c>
      <c r="E91" s="178">
        <f>+P105</f>
        <v>0.1009313298</v>
      </c>
      <c r="F91" s="178">
        <f>+P107</f>
        <v>0</v>
      </c>
      <c r="G91" s="178">
        <f>+P109</f>
        <v>0.50330736190000003</v>
      </c>
      <c r="H91" s="178">
        <f>+P111</f>
        <v>0.46380437139999997</v>
      </c>
      <c r="I91" s="179"/>
      <c r="J91" s="160"/>
      <c r="K91" s="160"/>
      <c r="L91" s="171"/>
      <c r="M91" s="172"/>
      <c r="N91" s="160" t="s">
        <v>57</v>
      </c>
      <c r="O91" s="171">
        <f t="shared" si="1"/>
        <v>0</v>
      </c>
      <c r="P91" s="172">
        <f t="shared" si="2"/>
        <v>0</v>
      </c>
      <c r="Q91" s="172">
        <f t="shared" si="3"/>
        <v>0</v>
      </c>
      <c r="R91" s="173">
        <f t="shared" si="4"/>
        <v>0</v>
      </c>
      <c r="S91" s="174"/>
      <c r="T91" s="174"/>
      <c r="U91" s="66"/>
      <c r="V91" s="67"/>
      <c r="W91" s="66"/>
      <c r="X91" s="67"/>
      <c r="Y91" s="64"/>
      <c r="Z91" s="64"/>
      <c r="AA91" s="64"/>
      <c r="AB91" s="55"/>
      <c r="AC91" s="55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</row>
    <row r="92" spans="1:118" ht="15.5" customHeight="1">
      <c r="A92" s="179"/>
      <c r="B92" s="181"/>
      <c r="C92" s="181"/>
      <c r="D92" s="181"/>
      <c r="E92" s="181"/>
      <c r="F92" s="181"/>
      <c r="G92" s="181"/>
      <c r="H92" s="181"/>
      <c r="I92" s="179"/>
      <c r="J92" s="160"/>
      <c r="K92" s="160"/>
      <c r="L92" s="171"/>
      <c r="M92" s="171"/>
      <c r="N92" s="160" t="s">
        <v>34</v>
      </c>
      <c r="O92" s="171">
        <f t="shared" si="1"/>
        <v>0</v>
      </c>
      <c r="P92" s="172">
        <f t="shared" si="2"/>
        <v>0</v>
      </c>
      <c r="Q92" s="172">
        <f t="shared" si="3"/>
        <v>0</v>
      </c>
      <c r="R92" s="173">
        <f t="shared" si="4"/>
        <v>0</v>
      </c>
      <c r="S92" s="174"/>
      <c r="T92" s="174"/>
      <c r="U92" s="66"/>
      <c r="V92" s="67"/>
      <c r="W92" s="66"/>
      <c r="X92" s="67"/>
      <c r="Y92" s="64"/>
      <c r="Z92" s="64"/>
      <c r="AA92" s="64"/>
      <c r="AB92" s="55"/>
      <c r="AC92" s="55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</row>
    <row r="93" spans="1:118" ht="15.5" customHeight="1">
      <c r="A93" s="179"/>
      <c r="B93" s="179"/>
      <c r="C93" s="179"/>
      <c r="D93" s="179"/>
      <c r="E93" s="179"/>
      <c r="F93" s="179"/>
      <c r="G93" s="179"/>
      <c r="H93" s="179"/>
      <c r="I93" s="180">
        <f>+L92-L94</f>
        <v>0</v>
      </c>
      <c r="J93" s="160"/>
      <c r="K93" s="160"/>
      <c r="L93" s="171"/>
      <c r="M93" s="171"/>
      <c r="N93" s="160" t="s">
        <v>15</v>
      </c>
      <c r="O93" s="171">
        <f t="shared" si="1"/>
        <v>0</v>
      </c>
      <c r="P93" s="172">
        <f t="shared" si="2"/>
        <v>0</v>
      </c>
      <c r="Q93" s="172">
        <f t="shared" si="3"/>
        <v>0</v>
      </c>
      <c r="R93" s="173">
        <f t="shared" si="4"/>
        <v>0</v>
      </c>
      <c r="S93" s="174"/>
      <c r="T93" s="174"/>
      <c r="U93" s="66"/>
      <c r="V93" s="67"/>
      <c r="W93" s="66"/>
      <c r="X93" s="67"/>
      <c r="Y93" s="64"/>
      <c r="Z93" s="64"/>
      <c r="AA93" s="64"/>
      <c r="AB93" s="55"/>
      <c r="AC93" s="55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</row>
    <row r="94" spans="1:118" ht="15.5" customHeight="1">
      <c r="A94" s="182" t="s">
        <v>90</v>
      </c>
      <c r="B94" s="181">
        <f>+IF((B90-B91)&lt;&gt;0,(B90/B89)*(B89-B91)/(B90-B91),0)</f>
        <v>0.78795941154391369</v>
      </c>
      <c r="C94" s="181">
        <f t="shared" ref="C94:H94" si="5">+IF((C90-C91)&lt;&gt;0,(C90/C89)*(C89-C91)/(C90-C91),0)</f>
        <v>0.94361390845197468</v>
      </c>
      <c r="D94" s="181">
        <f t="shared" si="5"/>
        <v>0.9795616178241805</v>
      </c>
      <c r="E94" s="181">
        <f t="shared" si="5"/>
        <v>0.94633128024269442</v>
      </c>
      <c r="F94" s="181">
        <f t="shared" si="5"/>
        <v>1</v>
      </c>
      <c r="G94" s="181">
        <f t="shared" si="5"/>
        <v>0.54910058817372476</v>
      </c>
      <c r="H94" s="181">
        <f t="shared" si="5"/>
        <v>0.98513529393971533</v>
      </c>
      <c r="I94" s="183">
        <f>+B94*C94*D94*E94*F94*G94*H94</f>
        <v>0.37283864733346977</v>
      </c>
      <c r="J94" s="160"/>
      <c r="K94" s="160"/>
      <c r="L94" s="171"/>
      <c r="M94" s="171"/>
      <c r="N94" s="160" t="s">
        <v>16</v>
      </c>
      <c r="O94" s="171">
        <f t="shared" si="1"/>
        <v>0</v>
      </c>
      <c r="P94" s="172">
        <f t="shared" si="2"/>
        <v>0</v>
      </c>
      <c r="Q94" s="172">
        <f t="shared" si="3"/>
        <v>0</v>
      </c>
      <c r="R94" s="173">
        <f t="shared" si="4"/>
        <v>0</v>
      </c>
      <c r="S94" s="174"/>
      <c r="T94" s="174"/>
      <c r="U94" s="66"/>
      <c r="V94" s="67"/>
      <c r="W94" s="66"/>
      <c r="X94" s="67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</row>
    <row r="95" spans="1:118" ht="22.5" customHeight="1">
      <c r="A95" s="160"/>
      <c r="B95" s="172"/>
      <c r="C95" s="172"/>
      <c r="D95" s="172"/>
      <c r="E95" s="172"/>
      <c r="F95" s="172"/>
      <c r="G95" s="172"/>
      <c r="H95" s="172"/>
      <c r="I95" s="172"/>
      <c r="J95" s="160"/>
      <c r="K95" s="166"/>
      <c r="L95" s="184"/>
      <c r="M95" s="185"/>
      <c r="N95" s="166" t="s">
        <v>17</v>
      </c>
      <c r="O95" s="171">
        <f t="shared" si="1"/>
        <v>1834605</v>
      </c>
      <c r="P95" s="172">
        <f t="shared" si="2"/>
        <v>0.16027230540000001</v>
      </c>
      <c r="Q95" s="172">
        <f t="shared" si="3"/>
        <v>0.11513899999999999</v>
      </c>
      <c r="R95" s="173">
        <f t="shared" si="4"/>
        <v>294036.37284836703</v>
      </c>
      <c r="S95" s="174"/>
      <c r="T95" s="174"/>
      <c r="U95" s="66"/>
      <c r="V95" s="67"/>
      <c r="W95" s="66"/>
      <c r="X95" s="67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</row>
    <row r="96" spans="1:118" ht="15.5" customHeight="1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71"/>
      <c r="M96" s="172"/>
      <c r="N96" s="160" t="s">
        <v>18</v>
      </c>
      <c r="O96" s="171">
        <f t="shared" si="1"/>
        <v>1072808.24</v>
      </c>
      <c r="P96" s="172">
        <f t="shared" si="2"/>
        <v>5.8116300000000003E-2</v>
      </c>
      <c r="Q96" s="172">
        <f t="shared" si="3"/>
        <v>2.9997000000000001E-3</v>
      </c>
      <c r="R96" s="173">
        <f t="shared" si="4"/>
        <v>62347.645518312005</v>
      </c>
      <c r="S96" s="174"/>
      <c r="T96" s="174"/>
      <c r="U96" s="66"/>
      <c r="V96" s="67"/>
      <c r="W96" s="66"/>
      <c r="X96" s="67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</row>
    <row r="97" spans="1:118" ht="15.5" customHeight="1">
      <c r="A97" s="160"/>
      <c r="B97" s="175"/>
      <c r="C97" s="160"/>
      <c r="D97" s="160"/>
      <c r="E97" s="160"/>
      <c r="F97" s="160"/>
      <c r="G97" s="160"/>
      <c r="H97" s="186"/>
      <c r="I97" s="172"/>
      <c r="J97" s="160"/>
      <c r="K97" s="160"/>
      <c r="L97" s="171"/>
      <c r="M97" s="172"/>
      <c r="N97" s="160" t="s">
        <v>19</v>
      </c>
      <c r="O97" s="171">
        <f t="shared" si="1"/>
        <v>761796.75970000005</v>
      </c>
      <c r="P97" s="172">
        <f t="shared" si="2"/>
        <v>0.30413456649999998</v>
      </c>
      <c r="Q97" s="172">
        <f t="shared" si="3"/>
        <v>0.27306034000000001</v>
      </c>
      <c r="R97" s="173">
        <f t="shared" si="4"/>
        <v>231688.72727246417</v>
      </c>
      <c r="S97" s="174"/>
      <c r="T97" s="174"/>
      <c r="U97" s="66"/>
      <c r="V97" s="67"/>
      <c r="W97" s="66"/>
      <c r="X97" s="67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</row>
    <row r="98" spans="1:118" ht="15.5" customHeight="1">
      <c r="A98" s="187" t="s">
        <v>30</v>
      </c>
      <c r="B98" s="177"/>
      <c r="C98" s="177"/>
      <c r="D98" s="177"/>
      <c r="E98" s="177"/>
      <c r="F98" s="177"/>
      <c r="G98" s="177"/>
      <c r="H98" s="177"/>
      <c r="I98" s="179"/>
      <c r="J98" s="160"/>
      <c r="K98" s="160"/>
      <c r="L98" s="171"/>
      <c r="M98" s="172"/>
      <c r="N98" s="160" t="s">
        <v>32</v>
      </c>
      <c r="O98" s="171">
        <f t="shared" si="1"/>
        <v>203770.97</v>
      </c>
      <c r="P98" s="172">
        <f t="shared" si="2"/>
        <v>6.4111299999999996E-2</v>
      </c>
      <c r="Q98" s="172">
        <f t="shared" si="3"/>
        <v>2.565E-3</v>
      </c>
      <c r="R98" s="173">
        <f t="shared" si="4"/>
        <v>13064.021788960999</v>
      </c>
      <c r="S98" s="174"/>
      <c r="T98" s="174"/>
      <c r="U98" s="66"/>
      <c r="V98" s="67"/>
      <c r="W98" s="66"/>
      <c r="X98" s="67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</row>
    <row r="99" spans="1:118" ht="15.5" customHeight="1">
      <c r="A99" s="177" t="s">
        <v>92</v>
      </c>
      <c r="B99" s="178">
        <f>+Q95</f>
        <v>0.11513899999999999</v>
      </c>
      <c r="C99" s="178">
        <f>+Q97</f>
        <v>0.27306034000000001</v>
      </c>
      <c r="D99" s="178">
        <f>+Q102</f>
        <v>0.37468600610000002</v>
      </c>
      <c r="E99" s="178">
        <f>+Q104</f>
        <v>0.44229025720000004</v>
      </c>
      <c r="F99" s="178">
        <f>+Q106</f>
        <v>0.56516813990000003</v>
      </c>
      <c r="G99" s="178">
        <f>+Q108</f>
        <v>0.56516813990000003</v>
      </c>
      <c r="H99" s="178">
        <f>+Q110</f>
        <v>0.63706108189999999</v>
      </c>
      <c r="I99" s="179"/>
      <c r="J99" s="160"/>
      <c r="K99" s="160"/>
      <c r="L99" s="171"/>
      <c r="M99" s="172"/>
      <c r="N99" s="160" t="s">
        <v>33</v>
      </c>
      <c r="O99" s="171">
        <f t="shared" si="1"/>
        <v>558025.78969999996</v>
      </c>
      <c r="P99" s="172">
        <f t="shared" si="2"/>
        <v>0.39178244000000001</v>
      </c>
      <c r="Q99" s="172">
        <f t="shared" si="3"/>
        <v>0.37183551999999997</v>
      </c>
      <c r="R99" s="173">
        <f t="shared" si="4"/>
        <v>218624.70547159287</v>
      </c>
      <c r="S99" s="174"/>
      <c r="T99" s="174"/>
      <c r="U99" s="66"/>
      <c r="V99" s="67"/>
      <c r="W99" s="66"/>
      <c r="X99" s="67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</row>
    <row r="100" spans="1:118" ht="19">
      <c r="A100" s="177" t="s">
        <v>93</v>
      </c>
      <c r="B100" s="178">
        <f>+Q97</f>
        <v>0.27306034000000001</v>
      </c>
      <c r="C100" s="178">
        <f>+Q99</f>
        <v>0.37183551999999997</v>
      </c>
      <c r="D100" s="178">
        <f>+Q104</f>
        <v>0.44229025720000004</v>
      </c>
      <c r="E100" s="178">
        <f>+Q106</f>
        <v>0.56516813990000003</v>
      </c>
      <c r="F100" s="178">
        <f>+Q108</f>
        <v>0.56516813990000003</v>
      </c>
      <c r="G100" s="178">
        <f>+Q110</f>
        <v>0.63706108189999999</v>
      </c>
      <c r="H100" s="178">
        <f>+Q113</f>
        <v>0.6411</v>
      </c>
      <c r="I100" s="180">
        <f>+'[1]Calc Nodos Stock'!E22</f>
        <v>0</v>
      </c>
      <c r="J100" s="160"/>
      <c r="K100" s="160"/>
      <c r="L100" s="171"/>
      <c r="M100" s="172"/>
      <c r="N100" s="160" t="s">
        <v>44</v>
      </c>
      <c r="O100" s="171">
        <f t="shared" si="1"/>
        <v>0</v>
      </c>
      <c r="P100" s="172">
        <f t="shared" si="2"/>
        <v>0</v>
      </c>
      <c r="Q100" s="172">
        <f t="shared" si="3"/>
        <v>0</v>
      </c>
      <c r="R100" s="173">
        <f t="shared" si="4"/>
        <v>0</v>
      </c>
      <c r="S100" s="174"/>
      <c r="T100" s="174"/>
      <c r="U100" s="66"/>
      <c r="V100" s="67"/>
      <c r="W100" s="66"/>
      <c r="X100" s="67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</row>
    <row r="101" spans="1:118" ht="28.5" customHeight="1">
      <c r="A101" s="177" t="s">
        <v>94</v>
      </c>
      <c r="B101" s="178">
        <f>+Q96</f>
        <v>2.9997000000000001E-3</v>
      </c>
      <c r="C101" s="178">
        <f>+Q98</f>
        <v>2.565E-3</v>
      </c>
      <c r="D101" s="178">
        <f>+Q103</f>
        <v>6.6043052570000007E-3</v>
      </c>
      <c r="E101" s="178">
        <f>+Q105</f>
        <v>6.0196352519999996E-2</v>
      </c>
      <c r="F101" s="178">
        <f>+Q107</f>
        <v>0</v>
      </c>
      <c r="G101" s="178">
        <f>+Q109</f>
        <v>0.49661864919999998</v>
      </c>
      <c r="H101" s="178">
        <f>+Q111</f>
        <v>0.44571102250000005</v>
      </c>
      <c r="I101" s="179"/>
      <c r="J101" s="160"/>
      <c r="K101" s="188"/>
      <c r="L101" s="171"/>
      <c r="M101" s="172"/>
      <c r="N101" s="160" t="s">
        <v>20</v>
      </c>
      <c r="O101" s="171">
        <f t="shared" si="1"/>
        <v>18222.93</v>
      </c>
      <c r="P101" s="172">
        <f t="shared" si="2"/>
        <v>0.46141361779999995</v>
      </c>
      <c r="Q101" s="172">
        <f t="shared" si="3"/>
        <v>0.44182674159999996</v>
      </c>
      <c r="R101" s="173">
        <f t="shared" si="4"/>
        <v>8408.3080582161529</v>
      </c>
      <c r="S101" s="174"/>
      <c r="T101" s="174"/>
      <c r="U101" s="66"/>
      <c r="V101" s="67"/>
      <c r="W101" s="66"/>
      <c r="X101" s="67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</row>
    <row r="102" spans="1:118" ht="19">
      <c r="A102" s="179"/>
      <c r="B102" s="181"/>
      <c r="C102" s="181"/>
      <c r="D102" s="181"/>
      <c r="E102" s="181"/>
      <c r="F102" s="181"/>
      <c r="G102" s="181"/>
      <c r="H102" s="181"/>
      <c r="I102" s="179"/>
      <c r="J102" s="160"/>
      <c r="K102" s="188"/>
      <c r="L102" s="171"/>
      <c r="M102" s="172"/>
      <c r="N102" s="160" t="s">
        <v>45</v>
      </c>
      <c r="O102" s="171">
        <f t="shared" si="1"/>
        <v>551992.39969999995</v>
      </c>
      <c r="P102" s="172">
        <f t="shared" si="2"/>
        <v>0.39471318529999999</v>
      </c>
      <c r="Q102" s="172">
        <f t="shared" si="3"/>
        <v>0.37468600610000002</v>
      </c>
      <c r="R102" s="173">
        <f t="shared" si="4"/>
        <v>217878.67834697774</v>
      </c>
      <c r="S102" s="174"/>
      <c r="T102" s="174"/>
      <c r="U102" s="66"/>
      <c r="V102" s="67"/>
      <c r="W102" s="66"/>
      <c r="X102" s="67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</row>
    <row r="103" spans="1:118" ht="19">
      <c r="A103" s="179"/>
      <c r="B103" s="179"/>
      <c r="C103" s="179"/>
      <c r="D103" s="179"/>
      <c r="E103" s="179"/>
      <c r="F103" s="179"/>
      <c r="G103" s="179"/>
      <c r="H103" s="179"/>
      <c r="I103" s="180">
        <f>+L102-L104</f>
        <v>0</v>
      </c>
      <c r="J103" s="160"/>
      <c r="K103" s="160"/>
      <c r="L103" s="171"/>
      <c r="M103" s="172"/>
      <c r="N103" s="160" t="s">
        <v>21</v>
      </c>
      <c r="O103" s="171">
        <f t="shared" si="1"/>
        <v>86767.938760000005</v>
      </c>
      <c r="P103" s="172">
        <f t="shared" si="2"/>
        <v>5.2011392799999993E-2</v>
      </c>
      <c r="Q103" s="172">
        <f t="shared" si="3"/>
        <v>6.6043052570000007E-3</v>
      </c>
      <c r="R103" s="173">
        <f t="shared" si="4"/>
        <v>4512.9213452927042</v>
      </c>
      <c r="S103" s="174"/>
      <c r="T103" s="174"/>
      <c r="U103" s="66"/>
      <c r="V103" s="67"/>
      <c r="W103" s="66"/>
      <c r="X103" s="67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</row>
    <row r="104" spans="1:118" ht="20" thickBot="1">
      <c r="A104" s="182" t="s">
        <v>90</v>
      </c>
      <c r="B104" s="181">
        <f>+IF((B100-B101)&lt;&gt;0,(B100/B99)*(B99-B101)/(B100-B101),0)</f>
        <v>0.98476526522889962</v>
      </c>
      <c r="C104" s="181">
        <f t="shared" ref="C104:H104" si="6">+IF((C100-C101)&lt;&gt;0,(C100/C99)*(C99-C101)/(C100-C101),0)</f>
        <v>0.99748735036495739</v>
      </c>
      <c r="D104" s="181">
        <f t="shared" si="6"/>
        <v>0.99726498246846096</v>
      </c>
      <c r="E104" s="181">
        <f t="shared" si="6"/>
        <v>0.96688159531866569</v>
      </c>
      <c r="F104" s="181">
        <f t="shared" si="6"/>
        <v>1</v>
      </c>
      <c r="G104" s="181">
        <f t="shared" si="6"/>
        <v>0.55018569225196923</v>
      </c>
      <c r="H104" s="181">
        <f t="shared" si="6"/>
        <v>0.98553770266257845</v>
      </c>
      <c r="I104" s="183">
        <f>+B104*C104*D104*E104*F104*G104*H104</f>
        <v>0.51357812481886356</v>
      </c>
      <c r="J104" s="160"/>
      <c r="K104" s="160"/>
      <c r="L104" s="171"/>
      <c r="M104" s="172"/>
      <c r="N104" s="160" t="s">
        <v>22</v>
      </c>
      <c r="O104" s="171">
        <f t="shared" si="1"/>
        <v>471104.78090000001</v>
      </c>
      <c r="P104" s="172">
        <f t="shared" si="2"/>
        <v>0.45762670929999999</v>
      </c>
      <c r="Q104" s="172">
        <f t="shared" si="3"/>
        <v>0.44229025720000004</v>
      </c>
      <c r="R104" s="173">
        <f t="shared" si="4"/>
        <v>215590.1306187645</v>
      </c>
      <c r="S104" s="174"/>
      <c r="T104" s="174"/>
      <c r="U104" s="66"/>
      <c r="V104" s="67"/>
      <c r="W104" s="66"/>
      <c r="X104" s="67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</row>
    <row r="105" spans="1:118" ht="20" thickBot="1">
      <c r="A105" s="189" t="s">
        <v>91</v>
      </c>
      <c r="B105" s="190">
        <f>O97/O95</f>
        <v>0.4152374814742138</v>
      </c>
      <c r="C105" s="190">
        <f>+O99/O97</f>
        <v>0.7325126847740252</v>
      </c>
      <c r="D105" s="190">
        <f>+O104/O102</f>
        <v>0.85346244106991109</v>
      </c>
      <c r="E105" s="190">
        <f>+O106/O104</f>
        <v>0.75666386577313549</v>
      </c>
      <c r="F105" s="190">
        <f>+O108/O106</f>
        <v>1</v>
      </c>
      <c r="G105" s="190">
        <f>+O110/O108</f>
        <v>0.48446666293095925</v>
      </c>
      <c r="H105" s="190">
        <f>+O113/O110</f>
        <v>0.97932883317122188</v>
      </c>
      <c r="I105" s="190">
        <f>+B105*C105*D105*E105*F105*G105*H105</f>
        <v>9.3194770947603894E-2</v>
      </c>
      <c r="J105" s="160"/>
      <c r="K105" s="160"/>
      <c r="L105" s="171"/>
      <c r="M105" s="172"/>
      <c r="N105" s="160" t="s">
        <v>23</v>
      </c>
      <c r="O105" s="171">
        <f t="shared" si="1"/>
        <v>114636.81630000001</v>
      </c>
      <c r="P105" s="172">
        <f t="shared" si="2"/>
        <v>0.1009313298</v>
      </c>
      <c r="Q105" s="172">
        <f t="shared" si="3"/>
        <v>6.0196352519999996E-2</v>
      </c>
      <c r="R105" s="173">
        <f t="shared" si="4"/>
        <v>11570.446313197315</v>
      </c>
      <c r="S105" s="174"/>
      <c r="T105" s="174"/>
      <c r="U105" s="66"/>
      <c r="V105" s="67"/>
      <c r="W105" s="66"/>
      <c r="X105" s="67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</row>
    <row r="106" spans="1:118" ht="19">
      <c r="A106" s="160"/>
      <c r="B106" s="160"/>
      <c r="C106" s="160"/>
      <c r="D106" s="160"/>
      <c r="E106" s="160"/>
      <c r="F106" s="160"/>
      <c r="G106" s="160"/>
      <c r="H106" s="160"/>
      <c r="I106" s="172"/>
      <c r="J106" s="160"/>
      <c r="K106" s="160"/>
      <c r="L106" s="171"/>
      <c r="M106" s="172"/>
      <c r="N106" s="160" t="s">
        <v>24</v>
      </c>
      <c r="O106" s="171">
        <f t="shared" si="1"/>
        <v>356467.96470000001</v>
      </c>
      <c r="P106" s="172">
        <f t="shared" si="2"/>
        <v>0.57233665999999994</v>
      </c>
      <c r="Q106" s="172">
        <f t="shared" si="3"/>
        <v>0.56516813990000003</v>
      </c>
      <c r="R106" s="173">
        <f t="shared" si="4"/>
        <v>204019.68431339588</v>
      </c>
      <c r="S106" s="174"/>
      <c r="T106" s="174"/>
      <c r="U106" s="66"/>
      <c r="V106" s="67"/>
      <c r="W106" s="66"/>
      <c r="X106" s="67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</row>
    <row r="107" spans="1:118" ht="19">
      <c r="A107" s="160"/>
      <c r="B107" s="160"/>
      <c r="C107" s="160"/>
      <c r="D107" s="160"/>
      <c r="E107" s="160"/>
      <c r="F107" s="160"/>
      <c r="G107" s="160"/>
      <c r="H107" s="160"/>
      <c r="I107" s="172"/>
      <c r="J107" s="160"/>
      <c r="K107" s="160"/>
      <c r="L107" s="171"/>
      <c r="M107" s="172"/>
      <c r="N107" s="160" t="s">
        <v>62</v>
      </c>
      <c r="O107" s="171">
        <f t="shared" si="1"/>
        <v>0</v>
      </c>
      <c r="P107" s="172">
        <f t="shared" si="2"/>
        <v>0</v>
      </c>
      <c r="Q107" s="172">
        <f t="shared" si="3"/>
        <v>0</v>
      </c>
      <c r="R107" s="173">
        <f t="shared" si="4"/>
        <v>0</v>
      </c>
      <c r="S107" s="174"/>
      <c r="T107" s="174"/>
      <c r="U107" s="66"/>
      <c r="V107" s="67"/>
      <c r="W107" s="66"/>
      <c r="X107" s="67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</row>
    <row r="108" spans="1:118" ht="19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71"/>
      <c r="M108" s="172"/>
      <c r="N108" s="160" t="s">
        <v>63</v>
      </c>
      <c r="O108" s="171">
        <f t="shared" si="1"/>
        <v>356467.96470000001</v>
      </c>
      <c r="P108" s="172">
        <f t="shared" si="2"/>
        <v>0.57233665999999994</v>
      </c>
      <c r="Q108" s="172">
        <f t="shared" si="3"/>
        <v>0.56516813990000003</v>
      </c>
      <c r="R108" s="173">
        <f t="shared" si="4"/>
        <v>204019.68431339588</v>
      </c>
      <c r="S108" s="174"/>
      <c r="T108" s="174"/>
      <c r="U108" s="66"/>
      <c r="V108" s="67"/>
      <c r="W108" s="66"/>
      <c r="X108" s="67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</row>
    <row r="109" spans="1:118" ht="19">
      <c r="A109" s="160"/>
      <c r="B109" s="160"/>
      <c r="C109" s="160"/>
      <c r="D109" s="160"/>
      <c r="E109" s="160"/>
      <c r="F109" s="160"/>
      <c r="G109" s="160"/>
      <c r="H109" s="160"/>
      <c r="I109" s="172"/>
      <c r="J109" s="160"/>
      <c r="K109" s="160"/>
      <c r="L109" s="171"/>
      <c r="M109" s="172"/>
      <c r="N109" s="160" t="s">
        <v>64</v>
      </c>
      <c r="O109" s="171">
        <f t="shared" si="1"/>
        <v>187340.96470000001</v>
      </c>
      <c r="P109" s="172">
        <f t="shared" si="2"/>
        <v>0.50330736190000003</v>
      </c>
      <c r="Q109" s="172">
        <f t="shared" si="3"/>
        <v>0.49661864919999998</v>
      </c>
      <c r="R109" s="173">
        <f t="shared" si="4"/>
        <v>94290.086718958031</v>
      </c>
      <c r="S109" s="174"/>
      <c r="T109" s="174"/>
      <c r="U109" s="66"/>
      <c r="V109" s="67"/>
      <c r="W109" s="66"/>
      <c r="X109" s="67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</row>
    <row r="110" spans="1:118" ht="19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71"/>
      <c r="M110" s="172"/>
      <c r="N110" s="160" t="s">
        <v>65</v>
      </c>
      <c r="O110" s="171">
        <f t="shared" si="1"/>
        <v>172696.84529999999</v>
      </c>
      <c r="P110" s="172">
        <f t="shared" si="2"/>
        <v>0.64497592449999996</v>
      </c>
      <c r="Q110" s="172">
        <f t="shared" si="3"/>
        <v>0.63706108189999999</v>
      </c>
      <c r="R110" s="173">
        <f t="shared" si="4"/>
        <v>111385.30745560097</v>
      </c>
      <c r="S110" s="174"/>
      <c r="T110" s="174"/>
      <c r="U110" s="66"/>
      <c r="V110" s="67"/>
      <c r="W110" s="66"/>
      <c r="X110" s="67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</row>
    <row r="111" spans="1:118" s="6" customFormat="1" ht="19">
      <c r="A111" s="160"/>
      <c r="B111" s="160"/>
      <c r="C111" s="160"/>
      <c r="D111" s="160"/>
      <c r="E111" s="160"/>
      <c r="F111" s="160"/>
      <c r="G111" s="160"/>
      <c r="H111" s="160"/>
      <c r="I111" s="160"/>
      <c r="J111" s="191"/>
      <c r="K111" s="166"/>
      <c r="L111" s="171"/>
      <c r="M111" s="172"/>
      <c r="N111" s="166" t="s">
        <v>25</v>
      </c>
      <c r="O111" s="171">
        <f t="shared" si="1"/>
        <v>3569.8452980000002</v>
      </c>
      <c r="P111" s="172">
        <f t="shared" si="2"/>
        <v>0.46380437139999997</v>
      </c>
      <c r="Q111" s="172">
        <f t="shared" si="3"/>
        <v>0.44571102250000005</v>
      </c>
      <c r="R111" s="173">
        <f t="shared" si="4"/>
        <v>1655.7098544341357</v>
      </c>
      <c r="S111" s="174"/>
      <c r="T111" s="174"/>
      <c r="U111" s="66"/>
      <c r="V111" s="55"/>
      <c r="W111" s="66"/>
      <c r="X111" s="67"/>
      <c r="Y111" s="64"/>
      <c r="Z111" s="64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</row>
    <row r="112" spans="1:118" ht="19">
      <c r="A112" s="191"/>
      <c r="B112" s="191"/>
      <c r="C112" s="191"/>
      <c r="D112" s="191"/>
      <c r="E112" s="191"/>
      <c r="F112" s="191"/>
      <c r="G112" s="191"/>
      <c r="H112" s="191"/>
      <c r="I112" s="171"/>
      <c r="J112" s="160"/>
      <c r="K112" s="160"/>
      <c r="L112" s="171"/>
      <c r="M112" s="160"/>
      <c r="N112" s="160" t="s">
        <v>31</v>
      </c>
      <c r="O112" s="171">
        <f t="shared" si="1"/>
        <v>0</v>
      </c>
      <c r="P112" s="172">
        <f t="shared" si="2"/>
        <v>0</v>
      </c>
      <c r="Q112" s="172">
        <f t="shared" si="3"/>
        <v>0</v>
      </c>
      <c r="R112" s="173">
        <f t="shared" si="4"/>
        <v>0</v>
      </c>
      <c r="S112" s="174"/>
      <c r="T112" s="174"/>
      <c r="U112" s="66"/>
      <c r="V112" s="67"/>
      <c r="W112" s="66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</row>
    <row r="113" spans="1:118" ht="19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84"/>
      <c r="M113" s="185"/>
      <c r="N113" s="160" t="s">
        <v>26</v>
      </c>
      <c r="O113" s="171">
        <f t="shared" si="1"/>
        <v>169127</v>
      </c>
      <c r="P113" s="172">
        <f t="shared" si="2"/>
        <v>0.64879999999999993</v>
      </c>
      <c r="Q113" s="172">
        <f t="shared" si="3"/>
        <v>0.6411</v>
      </c>
      <c r="R113" s="173">
        <f t="shared" si="4"/>
        <v>109729.59759999999</v>
      </c>
      <c r="S113" s="174"/>
      <c r="T113" s="174"/>
      <c r="U113" s="66"/>
      <c r="V113" s="67"/>
      <c r="W113" s="66"/>
      <c r="X113" s="67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</row>
    <row r="114" spans="1:118" ht="19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92"/>
      <c r="M114" s="172"/>
      <c r="N114" s="160" t="s">
        <v>46</v>
      </c>
      <c r="O114" s="171">
        <f t="shared" si="1"/>
        <v>1665324.93</v>
      </c>
      <c r="P114" s="172">
        <f t="shared" si="2"/>
        <v>0.1115608842</v>
      </c>
      <c r="Q114" s="172">
        <f t="shared" si="3"/>
        <v>6.2601328130000009E-2</v>
      </c>
      <c r="R114" s="173">
        <f t="shared" si="4"/>
        <v>185785.12167110312</v>
      </c>
      <c r="S114" s="174"/>
      <c r="T114" s="174"/>
      <c r="U114" s="66"/>
      <c r="V114" s="67"/>
      <c r="W114" s="66"/>
      <c r="X114" s="67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</row>
    <row r="115" spans="1:118" ht="19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92"/>
      <c r="M115" s="172"/>
      <c r="N115" s="160" t="s">
        <v>61</v>
      </c>
      <c r="O115" s="171">
        <f t="shared" si="1"/>
        <v>5880.32</v>
      </c>
      <c r="P115" s="172">
        <f t="shared" si="2"/>
        <v>0.37827424290000006</v>
      </c>
      <c r="Q115" s="172">
        <f t="shared" si="3"/>
        <v>0.35954999999999998</v>
      </c>
      <c r="R115" s="173">
        <f t="shared" si="4"/>
        <v>2224.3735960097283</v>
      </c>
      <c r="S115" s="174"/>
      <c r="T115" s="174"/>
      <c r="U115" s="66"/>
      <c r="V115" s="64"/>
      <c r="W115" s="66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</row>
    <row r="116" spans="1:118" ht="19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92"/>
      <c r="M116" s="172"/>
      <c r="N116" s="160" t="s">
        <v>59</v>
      </c>
      <c r="O116" s="171">
        <f t="shared" si="1"/>
        <v>24256.32</v>
      </c>
      <c r="P116" s="172">
        <f t="shared" si="2"/>
        <v>0.37740000000000001</v>
      </c>
      <c r="Q116" s="172">
        <f t="shared" si="3"/>
        <v>0.35954999999999998</v>
      </c>
      <c r="R116" s="173">
        <f t="shared" si="4"/>
        <v>9154.3351679999996</v>
      </c>
      <c r="S116" s="174"/>
      <c r="T116" s="174"/>
      <c r="U116" s="66"/>
      <c r="V116" s="64"/>
      <c r="W116" s="66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</row>
    <row r="117" spans="1:118" ht="19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92"/>
      <c r="M117" s="172"/>
      <c r="N117" s="160" t="s">
        <v>60</v>
      </c>
      <c r="O117" s="171">
        <f t="shared" si="1"/>
        <v>533769.46970000002</v>
      </c>
      <c r="P117" s="172">
        <f t="shared" si="2"/>
        <v>0.39243602750000001</v>
      </c>
      <c r="Q117" s="172">
        <f t="shared" si="3"/>
        <v>0.37239381629999996</v>
      </c>
      <c r="R117" s="173">
        <f t="shared" si="4"/>
        <v>209470.37028984961</v>
      </c>
      <c r="S117" s="174"/>
      <c r="T117" s="174"/>
      <c r="U117" s="66"/>
      <c r="V117" s="64"/>
      <c r="W117" s="66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</row>
    <row r="118" spans="1:118" ht="19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92"/>
      <c r="M118" s="172"/>
      <c r="N118" s="160"/>
      <c r="O118" s="171"/>
      <c r="P118" s="172"/>
      <c r="Q118" s="172"/>
      <c r="R118" s="173"/>
      <c r="S118" s="174"/>
      <c r="T118" s="174"/>
      <c r="U118" s="66"/>
      <c r="V118" s="64"/>
      <c r="W118" s="66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</row>
    <row r="119" spans="1:118" ht="19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92"/>
      <c r="M119" s="172"/>
      <c r="N119" s="160"/>
      <c r="O119" s="171"/>
      <c r="P119" s="172"/>
      <c r="Q119" s="172"/>
      <c r="R119" s="173"/>
      <c r="S119" s="174"/>
      <c r="T119" s="174"/>
      <c r="U119" s="66"/>
      <c r="V119" s="64"/>
      <c r="W119" s="66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</row>
    <row r="120" spans="1:118" ht="19">
      <c r="A120" s="160"/>
      <c r="B120" s="160"/>
      <c r="C120" s="160"/>
      <c r="D120" s="160"/>
      <c r="E120" s="160"/>
      <c r="F120" s="160"/>
      <c r="G120" s="160"/>
      <c r="H120" s="160"/>
      <c r="I120" s="171"/>
      <c r="J120" s="160"/>
      <c r="K120" s="160"/>
      <c r="L120" s="192"/>
      <c r="M120" s="172"/>
      <c r="N120" s="160"/>
      <c r="O120" s="171"/>
      <c r="P120" s="172"/>
      <c r="Q120" s="172"/>
      <c r="R120" s="173"/>
      <c r="S120" s="174"/>
      <c r="T120" s="174"/>
      <c r="U120" s="66"/>
      <c r="V120" s="67"/>
      <c r="W120" s="66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</row>
    <row r="121" spans="1:118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72"/>
      <c r="Q121" s="160"/>
      <c r="R121" s="160"/>
      <c r="S121" s="161"/>
      <c r="T121" s="161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</row>
    <row r="122" spans="1:118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1"/>
      <c r="T122" s="161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</row>
    <row r="123" spans="1:118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1"/>
      <c r="T123" s="161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</row>
    <row r="124" spans="1:118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1"/>
      <c r="T124" s="161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</row>
    <row r="125" spans="1:118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1"/>
      <c r="T125" s="161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</row>
    <row r="126" spans="1:1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72"/>
      <c r="L126" s="221"/>
      <c r="M126" s="221"/>
      <c r="N126" s="63"/>
      <c r="O126" s="221"/>
      <c r="P126" s="221"/>
      <c r="Q126" s="63"/>
      <c r="R126" s="63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</row>
    <row r="127" spans="1:118" ht="19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73"/>
      <c r="L127" s="74"/>
      <c r="M127" s="74"/>
      <c r="N127" s="75"/>
      <c r="O127" s="74"/>
      <c r="P127" s="74"/>
      <c r="Q127" s="75"/>
      <c r="R127" s="75"/>
      <c r="S127" s="222"/>
      <c r="T127" s="222"/>
      <c r="U127" s="222"/>
      <c r="V127" s="64"/>
      <c r="W127" s="64"/>
      <c r="X127" s="64"/>
      <c r="Y127" s="55"/>
      <c r="Z127" s="55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</row>
    <row r="128" spans="1:11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75"/>
      <c r="L128" s="75"/>
      <c r="M128" s="75"/>
      <c r="N128" s="75"/>
      <c r="O128" s="76"/>
      <c r="P128" s="77"/>
      <c r="Q128" s="75"/>
      <c r="R128" s="75"/>
      <c r="S128" s="78"/>
      <c r="T128" s="78"/>
      <c r="U128" s="78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</row>
    <row r="129" spans="1:118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75"/>
      <c r="L129" s="75"/>
      <c r="M129" s="75"/>
      <c r="N129" s="75"/>
      <c r="O129" s="76"/>
      <c r="P129" s="77"/>
      <c r="Q129" s="75"/>
      <c r="R129" s="75"/>
      <c r="S129" s="79"/>
      <c r="T129" s="80"/>
      <c r="U129" s="79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</row>
    <row r="130" spans="1:118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75"/>
      <c r="L130" s="75"/>
      <c r="M130" s="75"/>
      <c r="N130" s="75"/>
      <c r="O130" s="76"/>
      <c r="P130" s="77"/>
      <c r="Q130" s="75"/>
      <c r="R130" s="75"/>
      <c r="S130" s="64"/>
      <c r="T130" s="64"/>
      <c r="U130" s="78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</row>
    <row r="131" spans="1:118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75"/>
      <c r="L131" s="75"/>
      <c r="M131" s="75"/>
      <c r="N131" s="75"/>
      <c r="O131" s="76"/>
      <c r="P131" s="77"/>
      <c r="Q131" s="75"/>
      <c r="R131" s="75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</row>
    <row r="132" spans="1:118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75"/>
      <c r="L132" s="75"/>
      <c r="M132" s="75"/>
      <c r="N132" s="75"/>
      <c r="O132" s="76"/>
      <c r="P132" s="77"/>
      <c r="Q132" s="75"/>
      <c r="R132" s="75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</row>
    <row r="133" spans="1:118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75"/>
      <c r="L133" s="75"/>
      <c r="M133" s="75"/>
      <c r="N133" s="75"/>
      <c r="O133" s="76"/>
      <c r="P133" s="77"/>
      <c r="Q133" s="75"/>
      <c r="R133" s="75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</row>
    <row r="134" spans="1:118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75"/>
      <c r="L134" s="75"/>
      <c r="M134" s="75"/>
      <c r="N134" s="75"/>
      <c r="O134" s="76"/>
      <c r="P134" s="77"/>
      <c r="Q134" s="75"/>
      <c r="R134" s="75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</row>
    <row r="135" spans="1:118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75"/>
      <c r="L135" s="75"/>
      <c r="M135" s="75"/>
      <c r="N135" s="75"/>
      <c r="O135" s="76"/>
      <c r="P135" s="77"/>
      <c r="Q135" s="75"/>
      <c r="R135" s="75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</row>
    <row r="136" spans="1:118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75"/>
      <c r="L136" s="75"/>
      <c r="M136" s="75"/>
      <c r="N136" s="75"/>
      <c r="O136" s="76"/>
      <c r="P136" s="77"/>
      <c r="Q136" s="75"/>
      <c r="R136" s="75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</row>
    <row r="137" spans="1:118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75"/>
      <c r="L137" s="75"/>
      <c r="M137" s="75"/>
      <c r="N137" s="75"/>
      <c r="O137" s="76"/>
      <c r="P137" s="77"/>
      <c r="Q137" s="75"/>
      <c r="R137" s="75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</row>
    <row r="138" spans="1:11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75"/>
      <c r="L138" s="75"/>
      <c r="M138" s="75"/>
      <c r="N138" s="75"/>
      <c r="O138" s="76"/>
      <c r="P138" s="77"/>
      <c r="Q138" s="75"/>
      <c r="R138" s="75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</row>
    <row r="139" spans="1:118" ht="1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56"/>
      <c r="L139" s="56"/>
      <c r="M139" s="56"/>
      <c r="N139" s="75"/>
      <c r="O139" s="76"/>
      <c r="P139" s="77"/>
      <c r="Q139" s="57"/>
      <c r="R139" s="57"/>
      <c r="S139" s="55"/>
      <c r="T139" s="55"/>
      <c r="U139" s="55"/>
      <c r="V139" s="55"/>
      <c r="W139" s="55"/>
      <c r="X139" s="55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</row>
    <row r="140" spans="1:118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75"/>
      <c r="L140" s="75"/>
      <c r="M140" s="75"/>
      <c r="N140" s="75"/>
      <c r="O140" s="76"/>
      <c r="P140" s="77"/>
      <c r="Q140" s="75"/>
      <c r="R140" s="75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</row>
    <row r="141" spans="1:118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75"/>
      <c r="L141" s="75"/>
      <c r="M141" s="75"/>
      <c r="N141" s="75"/>
      <c r="O141" s="76"/>
      <c r="P141" s="77"/>
      <c r="Q141" s="75"/>
      <c r="R141" s="75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</row>
    <row r="142" spans="1:118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75"/>
      <c r="L142" s="75"/>
      <c r="M142" s="75"/>
      <c r="N142" s="75"/>
      <c r="O142" s="76"/>
      <c r="P142" s="77"/>
      <c r="Q142" s="75"/>
      <c r="R142" s="75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</row>
    <row r="143" spans="1:118" s="5" customFormat="1" ht="16">
      <c r="A143" s="61"/>
      <c r="B143" s="61"/>
      <c r="C143" s="61"/>
      <c r="D143" s="61"/>
      <c r="E143" s="61"/>
      <c r="F143" s="61"/>
      <c r="G143" s="61"/>
      <c r="H143" s="61"/>
      <c r="I143" s="81"/>
      <c r="J143" s="81"/>
      <c r="K143" s="75"/>
      <c r="L143" s="75"/>
      <c r="M143" s="75"/>
      <c r="N143" s="75"/>
      <c r="O143" s="76"/>
      <c r="P143" s="77"/>
      <c r="Q143" s="75"/>
      <c r="R143" s="75"/>
      <c r="S143" s="64"/>
      <c r="T143" s="64"/>
      <c r="U143" s="64"/>
      <c r="V143" s="64"/>
      <c r="W143" s="64"/>
      <c r="X143" s="64"/>
      <c r="Y143" s="64"/>
      <c r="Z143" s="64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</row>
    <row r="144" spans="1:118" ht="16">
      <c r="A144" s="81"/>
      <c r="B144" s="81"/>
      <c r="C144" s="81"/>
      <c r="D144" s="81"/>
      <c r="E144" s="81"/>
      <c r="F144" s="81"/>
      <c r="G144" s="81"/>
      <c r="H144" s="81"/>
      <c r="I144" s="61"/>
      <c r="J144" s="61"/>
      <c r="K144" s="75"/>
      <c r="L144" s="75"/>
      <c r="M144" s="75"/>
      <c r="N144" s="75"/>
      <c r="O144" s="76"/>
      <c r="P144" s="77"/>
      <c r="Q144" s="75"/>
      <c r="R144" s="75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</row>
    <row r="145" spans="1:118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75"/>
      <c r="L145" s="75"/>
      <c r="M145" s="75"/>
      <c r="N145" s="75"/>
      <c r="O145" s="76"/>
      <c r="P145" s="77"/>
      <c r="Q145" s="75"/>
      <c r="R145" s="75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</row>
    <row r="146" spans="1:118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75"/>
      <c r="L146" s="75"/>
      <c r="M146" s="75"/>
      <c r="N146" s="75"/>
      <c r="O146" s="76"/>
      <c r="P146" s="77"/>
      <c r="Q146" s="75"/>
      <c r="R146" s="75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</row>
    <row r="147" spans="1:118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75"/>
      <c r="L147" s="75"/>
      <c r="M147" s="75"/>
      <c r="N147" s="75"/>
      <c r="O147" s="76"/>
      <c r="P147" s="77"/>
      <c r="Q147" s="75"/>
      <c r="R147" s="75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</row>
    <row r="148" spans="1:11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75"/>
      <c r="L148" s="75"/>
      <c r="M148" s="75"/>
      <c r="N148" s="75"/>
      <c r="O148" s="76"/>
      <c r="P148" s="77"/>
      <c r="Q148" s="75"/>
      <c r="R148" s="75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</row>
    <row r="149" spans="1:118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75"/>
      <c r="L149" s="75"/>
      <c r="M149" s="75"/>
      <c r="N149" s="75"/>
      <c r="O149" s="76"/>
      <c r="P149" s="77"/>
      <c r="Q149" s="75"/>
      <c r="R149" s="75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</row>
    <row r="150" spans="1:118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75"/>
      <c r="L150" s="75"/>
      <c r="M150" s="75"/>
      <c r="N150" s="75"/>
      <c r="O150" s="76"/>
      <c r="P150" s="77"/>
      <c r="Q150" s="75"/>
      <c r="R150" s="75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</row>
    <row r="151" spans="1:118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75"/>
      <c r="L151" s="75"/>
      <c r="M151" s="75"/>
      <c r="N151" s="75"/>
      <c r="O151" s="76"/>
      <c r="P151" s="77"/>
      <c r="Q151" s="75"/>
      <c r="R151" s="75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</row>
    <row r="152" spans="1:118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75"/>
      <c r="L152" s="75"/>
      <c r="M152" s="75"/>
      <c r="N152" s="75"/>
      <c r="O152" s="76"/>
      <c r="P152" s="77"/>
      <c r="Q152" s="75"/>
      <c r="R152" s="75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</row>
    <row r="153" spans="1:118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75"/>
      <c r="L153" s="75"/>
      <c r="M153" s="75"/>
      <c r="N153" s="75"/>
      <c r="O153" s="76"/>
      <c r="P153" s="77"/>
      <c r="Q153" s="75"/>
      <c r="R153" s="75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</row>
    <row r="154" spans="1:118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75"/>
      <c r="L154" s="75"/>
      <c r="M154" s="75"/>
      <c r="N154" s="75"/>
      <c r="O154" s="76"/>
      <c r="P154" s="77"/>
      <c r="Q154" s="75"/>
      <c r="R154" s="75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</row>
    <row r="155" spans="1:118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75"/>
      <c r="L155" s="75"/>
      <c r="M155" s="75"/>
      <c r="N155" s="75"/>
      <c r="O155" s="76"/>
      <c r="P155" s="77"/>
      <c r="Q155" s="75"/>
      <c r="R155" s="75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</row>
    <row r="156" spans="1:118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75"/>
      <c r="L156" s="75"/>
      <c r="M156" s="75"/>
      <c r="N156" s="75"/>
      <c r="O156" s="76"/>
      <c r="P156" s="77"/>
      <c r="Q156" s="75"/>
      <c r="R156" s="75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</row>
    <row r="157" spans="1:118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75"/>
      <c r="L157" s="75"/>
      <c r="M157" s="75"/>
      <c r="N157" s="75"/>
      <c r="O157" s="76"/>
      <c r="P157" s="77"/>
      <c r="Q157" s="75"/>
      <c r="R157" s="75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</row>
    <row r="158" spans="1:11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75"/>
      <c r="L158" s="75"/>
      <c r="M158" s="75"/>
      <c r="N158" s="75"/>
      <c r="O158" s="76"/>
      <c r="P158" s="77"/>
      <c r="Q158" s="75"/>
      <c r="R158" s="75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</row>
    <row r="159" spans="1:118" ht="16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75"/>
      <c r="L159" s="75"/>
      <c r="M159" s="75"/>
      <c r="N159" s="75"/>
      <c r="O159" s="76"/>
      <c r="P159" s="77"/>
      <c r="Q159" s="75"/>
      <c r="R159" s="75"/>
      <c r="S159" s="64"/>
      <c r="T159" s="64"/>
      <c r="U159" s="64"/>
      <c r="V159" s="64"/>
      <c r="W159" s="64"/>
      <c r="X159" s="64"/>
      <c r="Y159" s="82"/>
      <c r="Z159" s="82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</row>
    <row r="160" spans="1:118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75"/>
      <c r="L160" s="75"/>
      <c r="M160" s="75"/>
      <c r="N160" s="75"/>
      <c r="O160" s="76"/>
      <c r="P160" s="77"/>
      <c r="Q160" s="75"/>
      <c r="R160" s="75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</row>
    <row r="161" spans="1:118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75"/>
      <c r="L161" s="75"/>
      <c r="M161" s="75"/>
      <c r="N161" s="75"/>
      <c r="O161" s="76"/>
      <c r="P161" s="77"/>
      <c r="Q161" s="75"/>
      <c r="R161" s="75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</row>
    <row r="162" spans="1:118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75"/>
      <c r="L162" s="75"/>
      <c r="M162" s="75"/>
      <c r="N162" s="75"/>
      <c r="O162" s="76"/>
      <c r="P162" s="77"/>
      <c r="Q162" s="75"/>
      <c r="R162" s="75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</row>
    <row r="163" spans="1:118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75"/>
      <c r="L163" s="75"/>
      <c r="M163" s="75"/>
      <c r="N163" s="75"/>
      <c r="O163" s="76"/>
      <c r="P163" s="77"/>
      <c r="Q163" s="75"/>
      <c r="R163" s="75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</row>
    <row r="164" spans="1:118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75"/>
      <c r="L164" s="75"/>
      <c r="M164" s="75"/>
      <c r="N164" s="75"/>
      <c r="O164" s="76"/>
      <c r="P164" s="77"/>
      <c r="Q164" s="75"/>
      <c r="R164" s="75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</row>
    <row r="165" spans="1:118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75"/>
      <c r="L165" s="75"/>
      <c r="M165" s="75"/>
      <c r="N165" s="75"/>
      <c r="O165" s="76"/>
      <c r="P165" s="77"/>
      <c r="Q165" s="75"/>
      <c r="R165" s="75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</row>
    <row r="166" spans="1:118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75"/>
      <c r="L166" s="75"/>
      <c r="M166" s="75"/>
      <c r="N166" s="75"/>
      <c r="O166" s="76"/>
      <c r="P166" s="77"/>
      <c r="Q166" s="75"/>
      <c r="R166" s="75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</row>
    <row r="167" spans="1:118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75"/>
      <c r="L167" s="75"/>
      <c r="M167" s="75"/>
      <c r="N167" s="75"/>
      <c r="O167" s="76"/>
      <c r="P167" s="77"/>
      <c r="Q167" s="75"/>
      <c r="R167" s="75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</row>
    <row r="168" spans="1:11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75"/>
      <c r="L168" s="75"/>
      <c r="M168" s="75"/>
      <c r="N168" s="75"/>
      <c r="O168" s="76"/>
      <c r="P168" s="77"/>
      <c r="Q168" s="75"/>
      <c r="R168" s="75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</row>
    <row r="169" spans="1:118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75"/>
      <c r="L169" s="75"/>
      <c r="M169" s="75"/>
      <c r="N169" s="75"/>
      <c r="O169" s="76"/>
      <c r="P169" s="77"/>
      <c r="Q169" s="75"/>
      <c r="R169" s="75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</row>
    <row r="170" spans="1:118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75"/>
      <c r="L170" s="75"/>
      <c r="M170" s="75"/>
      <c r="N170" s="75"/>
      <c r="O170" s="76"/>
      <c r="P170" s="77"/>
      <c r="Q170" s="75"/>
      <c r="R170" s="75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</row>
    <row r="171" spans="1:118" ht="16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58"/>
      <c r="L171" s="58"/>
      <c r="M171" s="58"/>
      <c r="N171" s="75"/>
      <c r="O171" s="59"/>
      <c r="P171" s="60"/>
      <c r="Q171" s="83"/>
      <c r="R171" s="83"/>
      <c r="S171" s="83"/>
      <c r="T171" s="83"/>
      <c r="U171" s="83"/>
      <c r="V171" s="81"/>
      <c r="W171" s="81"/>
      <c r="X171" s="8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</row>
    <row r="172" spans="1:118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75"/>
      <c r="L172" s="75"/>
      <c r="M172" s="75"/>
      <c r="N172" s="75"/>
      <c r="O172" s="76"/>
      <c r="P172" s="77"/>
      <c r="Q172" s="75"/>
      <c r="R172" s="75"/>
      <c r="S172" s="75"/>
      <c r="T172" s="75"/>
      <c r="U172" s="75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</row>
    <row r="173" spans="1:118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</row>
    <row r="174" spans="1:118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</row>
    <row r="175" spans="1:118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</row>
    <row r="176" spans="1:118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</row>
    <row r="177" spans="1:118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73"/>
      <c r="L177" s="223"/>
      <c r="M177" s="223"/>
      <c r="N177" s="75"/>
      <c r="O177" s="75"/>
      <c r="P177" s="75"/>
      <c r="Q177" s="75"/>
      <c r="R177" s="75"/>
      <c r="S177" s="75"/>
      <c r="T177" s="75"/>
      <c r="U177" s="75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</row>
    <row r="178" spans="1:11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73"/>
      <c r="L178" s="74"/>
      <c r="M178" s="74"/>
      <c r="N178" s="75"/>
      <c r="O178" s="75"/>
      <c r="P178" s="75"/>
      <c r="Q178" s="75"/>
      <c r="R178" s="75"/>
      <c r="S178" s="75"/>
      <c r="T178" s="75"/>
      <c r="U178" s="75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</row>
    <row r="179" spans="1:118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</row>
    <row r="180" spans="1:118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</row>
    <row r="181" spans="1:118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</row>
    <row r="182" spans="1:118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</row>
    <row r="183" spans="1:118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</row>
    <row r="184" spans="1:118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</row>
    <row r="185" spans="1:118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</row>
    <row r="186" spans="1:118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</row>
    <row r="187" spans="1:118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</row>
    <row r="188" spans="1:11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</row>
    <row r="189" spans="1:118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</row>
    <row r="190" spans="1:118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</row>
    <row r="191" spans="1:118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</row>
    <row r="192" spans="1:118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</row>
    <row r="193" spans="1:118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</row>
    <row r="194" spans="1:118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</row>
    <row r="195" spans="1:118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</row>
    <row r="196" spans="1:118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</row>
    <row r="197" spans="1:118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</row>
    <row r="198" spans="1:11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</row>
    <row r="199" spans="1:118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</row>
    <row r="200" spans="1:118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</row>
    <row r="201" spans="1:118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</row>
    <row r="202" spans="1:118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</row>
    <row r="203" spans="1:118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</row>
    <row r="204" spans="1:118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</row>
    <row r="205" spans="1:118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</row>
    <row r="206" spans="1:118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</row>
    <row r="207" spans="1:118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</row>
    <row r="208" spans="1:11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</row>
    <row r="209" spans="1:118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</row>
    <row r="210" spans="1:118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</row>
    <row r="211" spans="1:118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</row>
    <row r="212" spans="1:118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</row>
    <row r="213" spans="1:118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</row>
    <row r="214" spans="1:118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</row>
    <row r="215" spans="1:118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</row>
    <row r="216" spans="1:118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</row>
    <row r="217" spans="1:118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</row>
    <row r="218" spans="1:1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</row>
    <row r="219" spans="1:118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</row>
    <row r="220" spans="1:118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</row>
    <row r="221" spans="1:118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</row>
    <row r="222" spans="1:118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</row>
    <row r="223" spans="1:118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</row>
    <row r="224" spans="1:118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</row>
    <row r="225" spans="1:118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</row>
    <row r="226" spans="1:118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</row>
    <row r="227" spans="1:118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</row>
    <row r="228" spans="1:11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</row>
    <row r="229" spans="1:118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</row>
    <row r="230" spans="1:118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</row>
    <row r="231" spans="1:118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</row>
    <row r="232" spans="1:118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</row>
    <row r="233" spans="1:118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</row>
    <row r="234" spans="1:118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</row>
    <row r="235" spans="1:118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</row>
    <row r="236" spans="1:118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</row>
    <row r="237" spans="1:118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</row>
    <row r="238" spans="1:11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</row>
    <row r="239" spans="1:118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</row>
    <row r="240" spans="1:118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</row>
    <row r="241" spans="1:118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</row>
    <row r="242" spans="1:118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</row>
    <row r="243" spans="1:118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</row>
    <row r="244" spans="1:118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</row>
    <row r="245" spans="1:118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</row>
    <row r="246" spans="1:118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</row>
    <row r="247" spans="1:118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</row>
    <row r="248" spans="1:11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</row>
    <row r="249" spans="1:118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</row>
    <row r="250" spans="1:118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</row>
    <row r="251" spans="1:118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</row>
    <row r="252" spans="1:118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</row>
    <row r="253" spans="1:118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</row>
    <row r="254" spans="1:118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</row>
    <row r="255" spans="1:118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</row>
    <row r="256" spans="1:118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</row>
    <row r="257" spans="1:118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</row>
    <row r="258" spans="1:11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</row>
    <row r="259" spans="1:118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</row>
    <row r="260" spans="1:118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</row>
    <row r="261" spans="1:118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</row>
    <row r="262" spans="1:118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</row>
    <row r="263" spans="1:118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</row>
    <row r="264" spans="1:118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</row>
    <row r="265" spans="1:118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</row>
    <row r="266" spans="1:118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</row>
    <row r="267" spans="1:118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</row>
    <row r="268" spans="1:11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</row>
    <row r="269" spans="1:118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</row>
    <row r="270" spans="1:118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</row>
    <row r="271" spans="1:118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</row>
    <row r="272" spans="1:118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</row>
    <row r="273" spans="1:118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</row>
    <row r="274" spans="1:118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</row>
    <row r="275" spans="1:118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</row>
    <row r="276" spans="1:118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</row>
    <row r="277" spans="1:118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</row>
    <row r="278" spans="1:11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</row>
    <row r="279" spans="1:118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</row>
    <row r="280" spans="1:118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</row>
    <row r="281" spans="1:118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</row>
    <row r="282" spans="1:118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</row>
    <row r="283" spans="1:118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</row>
    <row r="284" spans="1:118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</row>
    <row r="285" spans="1:118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</row>
    <row r="286" spans="1:118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</row>
    <row r="287" spans="1:118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</row>
    <row r="288" spans="1:11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</row>
    <row r="289" spans="1:118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</row>
    <row r="290" spans="1:118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</row>
    <row r="291" spans="1:118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</row>
    <row r="292" spans="1:118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</row>
    <row r="293" spans="1:118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</row>
    <row r="294" spans="1:118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</row>
    <row r="295" spans="1:118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</row>
    <row r="296" spans="1:118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</row>
    <row r="297" spans="1:118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</row>
    <row r="298" spans="1:11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</row>
    <row r="299" spans="1:118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</row>
    <row r="300" spans="1:118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</row>
    <row r="301" spans="1:118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</row>
    <row r="302" spans="1:118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</row>
    <row r="303" spans="1:118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</row>
    <row r="304" spans="1:118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</row>
    <row r="305" spans="1:118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</row>
    <row r="306" spans="1:118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</row>
  </sheetData>
  <sheetProtection selectLockedCells="1" selectUnlockedCells="1"/>
  <mergeCells count="8">
    <mergeCell ref="AB66:AE66"/>
    <mergeCell ref="L126:M126"/>
    <mergeCell ref="O126:P126"/>
    <mergeCell ref="S127:U127"/>
    <mergeCell ref="L177:M177"/>
    <mergeCell ref="L66:M66"/>
    <mergeCell ref="O66:Q66"/>
    <mergeCell ref="S66:T66"/>
  </mergeCells>
  <conditionalFormatting sqref="S68:T120">
    <cfRule type="expression" dxfId="5" priority="1">
      <formula>ABS(S68)&gt;=10%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95"/>
  <sheetViews>
    <sheetView showGridLines="0" topLeftCell="E31" zoomScale="114" zoomScaleNormal="50" workbookViewId="0">
      <selection activeCell="W58" sqref="W58"/>
    </sheetView>
  </sheetViews>
  <sheetFormatPr baseColWidth="10" defaultRowHeight="15"/>
  <cols>
    <col min="2" max="2" width="3.83203125" customWidth="1"/>
    <col min="6" max="6" width="12.5" customWidth="1"/>
    <col min="8" max="8" width="12.5" customWidth="1"/>
    <col min="9" max="9" width="13" bestFit="1" customWidth="1"/>
    <col min="11" max="12" width="13" bestFit="1" customWidth="1"/>
    <col min="13" max="13" width="13.5" customWidth="1"/>
    <col min="18" max="18" width="12" bestFit="1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</cols>
  <sheetData>
    <row r="1" spans="2:18" ht="16" thickBot="1"/>
    <row r="2" spans="2:18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spans="2:18">
      <c r="B3" s="11"/>
      <c r="R3" s="12"/>
    </row>
    <row r="4" spans="2:18">
      <c r="B4" s="11"/>
      <c r="R4" s="12"/>
    </row>
    <row r="5" spans="2:18">
      <c r="B5" s="11"/>
      <c r="K5" s="13">
        <f>+Utilidad!O95</f>
        <v>1834605</v>
      </c>
      <c r="R5" s="12"/>
    </row>
    <row r="6" spans="2:18">
      <c r="B6" s="11"/>
      <c r="K6" s="14">
        <f>+Utilidad!P95</f>
        <v>0.16027230540000001</v>
      </c>
      <c r="R6" s="12"/>
    </row>
    <row r="7" spans="2:18">
      <c r="B7" s="11"/>
      <c r="F7" s="62"/>
      <c r="H7" s="61" t="s">
        <v>95</v>
      </c>
      <c r="K7" s="15">
        <f>+Utilidad!R95</f>
        <v>294036.37284836703</v>
      </c>
      <c r="R7" s="12"/>
    </row>
    <row r="8" spans="2:18">
      <c r="B8" s="11"/>
      <c r="H8" s="19">
        <f>Utilidad!O78</f>
        <v>14312.05</v>
      </c>
      <c r="R8" s="12"/>
    </row>
    <row r="9" spans="2:18">
      <c r="B9" s="11"/>
      <c r="C9" s="16">
        <f>Utilidad!O68</f>
        <v>7094</v>
      </c>
      <c r="H9" s="15">
        <f>Utilidad!R78</f>
        <v>5492.217341757545</v>
      </c>
      <c r="N9" s="13">
        <f>+Utilidad!O96</f>
        <v>1072808.24</v>
      </c>
      <c r="R9" s="12"/>
    </row>
    <row r="10" spans="2:18">
      <c r="B10" s="11"/>
      <c r="C10" s="17">
        <f>Utilidad!P68</f>
        <v>0.58686003720000002</v>
      </c>
      <c r="N10" s="14">
        <f>+Utilidad!P96</f>
        <v>5.8116300000000003E-2</v>
      </c>
      <c r="R10" s="12"/>
    </row>
    <row r="11" spans="2:18">
      <c r="B11" s="11"/>
      <c r="C11" s="18">
        <f>Utilidad!R68</f>
        <v>4163.1851038967998</v>
      </c>
      <c r="F11" s="13">
        <f>Utilidad!O70</f>
        <v>5330.16</v>
      </c>
      <c r="K11" s="13">
        <f>+Utilidad!O97</f>
        <v>761796.75970000005</v>
      </c>
      <c r="N11" s="15">
        <f>+Utilidad!R96</f>
        <v>62347.645518312005</v>
      </c>
      <c r="R11" s="12"/>
    </row>
    <row r="12" spans="2:18">
      <c r="B12" s="11"/>
      <c r="E12" s="19">
        <f>+Utilidad!O69</f>
        <v>1763.84</v>
      </c>
      <c r="F12" s="14">
        <f>Utilidad!P70</f>
        <v>0.58339399999999997</v>
      </c>
      <c r="I12" s="2"/>
      <c r="K12" s="14">
        <f>+Utilidad!P97</f>
        <v>0.30413456649999998</v>
      </c>
      <c r="R12" s="12"/>
    </row>
    <row r="13" spans="2:18">
      <c r="B13" s="11"/>
      <c r="E13" s="15">
        <f>+Utilidad!R69</f>
        <v>1053.6017408450559</v>
      </c>
      <c r="F13" s="15">
        <f>Utilidad!R70</f>
        <v>3109.5833630399998</v>
      </c>
      <c r="H13" s="23">
        <f>Flujos!C13</f>
        <v>18376</v>
      </c>
      <c r="K13" s="15">
        <f>+Utilidad!R97</f>
        <v>231688.72727246417</v>
      </c>
      <c r="R13" s="12"/>
    </row>
    <row r="14" spans="2:18">
      <c r="B14" s="11"/>
      <c r="H14" s="7">
        <f>Flujos!D13</f>
        <v>0.37</v>
      </c>
      <c r="L14" s="13">
        <f>+Utilidad!O98</f>
        <v>203770.97</v>
      </c>
      <c r="R14" s="12"/>
    </row>
    <row r="15" spans="2:18">
      <c r="B15" s="11"/>
      <c r="H15" s="24">
        <f>H13*H14</f>
        <v>6799.12</v>
      </c>
      <c r="L15" s="14">
        <f>+Utilidad!P98</f>
        <v>6.4111299999999996E-2</v>
      </c>
      <c r="R15" s="20">
        <f>+N9+L14+L29+L36+L41+N45+L22</f>
        <v>1665324.9297600002</v>
      </c>
    </row>
    <row r="16" spans="2:18">
      <c r="B16" s="11"/>
      <c r="H16" s="24"/>
      <c r="L16" s="15">
        <f>+Utilidad!R98</f>
        <v>13064.021788960999</v>
      </c>
      <c r="R16" s="21">
        <f>+IF(R15&lt;&gt;0,(N9*N10+L14*L15+L29*L30+L36*L37+L41*L42+N45*N46+L22*L23)/R15,0)</f>
        <v>0.11156088422425506</v>
      </c>
    </row>
    <row r="17" spans="2:18">
      <c r="B17" s="11"/>
      <c r="C17" s="2"/>
      <c r="G17" s="24"/>
      <c r="K17" s="13">
        <f>+Utilidad!O99</f>
        <v>558025.78969999996</v>
      </c>
      <c r="R17" s="22">
        <f>R15*R16</f>
        <v>185785.12168472106</v>
      </c>
    </row>
    <row r="18" spans="2:18">
      <c r="B18" s="11"/>
      <c r="G18" s="23">
        <f>Flujos!C15</f>
        <v>4105</v>
      </c>
      <c r="I18" s="23">
        <f>Utilidad!O116</f>
        <v>24256.32</v>
      </c>
      <c r="K18" s="14">
        <f>+Utilidad!P99</f>
        <v>0.39178244000000001</v>
      </c>
      <c r="R18" s="12"/>
    </row>
    <row r="19" spans="2:18">
      <c r="B19" s="11"/>
      <c r="G19" s="7">
        <f>Flujos!D15</f>
        <v>0.36099999999999999</v>
      </c>
      <c r="I19" s="7">
        <f>Utilidad!P116</f>
        <v>0.37740000000000001</v>
      </c>
      <c r="K19" s="15"/>
      <c r="R19" s="12"/>
    </row>
    <row r="20" spans="2:18">
      <c r="B20" s="11"/>
      <c r="G20" s="24">
        <f>G18*G19</f>
        <v>1481.905</v>
      </c>
      <c r="I20" s="24"/>
      <c r="K20" s="13">
        <f>Utilidad!O117</f>
        <v>533769.46970000002</v>
      </c>
      <c r="R20" s="12"/>
    </row>
    <row r="21" spans="2:18">
      <c r="B21" s="11"/>
      <c r="C21" s="16">
        <f>+Utilidad!O71</f>
        <v>8329</v>
      </c>
      <c r="K21" s="14">
        <f>Utilidad!P117</f>
        <v>0.39243602750000001</v>
      </c>
      <c r="R21" s="12"/>
    </row>
    <row r="22" spans="2:18">
      <c r="B22" s="11"/>
      <c r="C22" s="17">
        <f>+Utilidad!P71</f>
        <v>0.42611354509999999</v>
      </c>
      <c r="L22" s="13">
        <f>+Utilidad!O100</f>
        <v>0</v>
      </c>
      <c r="R22" s="12"/>
    </row>
    <row r="23" spans="2:18">
      <c r="B23" s="11"/>
      <c r="C23" s="18">
        <f>+Utilidad!R71</f>
        <v>3549.0997171378999</v>
      </c>
      <c r="F23" s="13">
        <f>Utilidad!O73</f>
        <v>5552.91</v>
      </c>
      <c r="L23" s="14">
        <f>+Utilidad!P100</f>
        <v>0</v>
      </c>
      <c r="R23" s="12">
        <f>R16*R17</f>
        <v>20726.352450858303</v>
      </c>
    </row>
    <row r="24" spans="2:18">
      <c r="B24" s="11"/>
      <c r="E24" s="19">
        <f>+Utilidad!O72</f>
        <v>2776.09</v>
      </c>
      <c r="F24" s="14">
        <f>Utilidad!P73</f>
        <v>0.42267399999999999</v>
      </c>
      <c r="G24" s="23">
        <f>+Utilidad!O101</f>
        <v>18222.93</v>
      </c>
      <c r="I24" s="23"/>
      <c r="K24" s="13">
        <f>Utilidad!O102</f>
        <v>551992.39969999995</v>
      </c>
      <c r="L24" s="15">
        <f>+Utilidad!R100</f>
        <v>0</v>
      </c>
      <c r="R24" s="12"/>
    </row>
    <row r="25" spans="2:18">
      <c r="B25" s="11"/>
      <c r="E25" s="15">
        <f>+Utilidad!R72</f>
        <v>1202.0290361809912</v>
      </c>
      <c r="F25" s="15">
        <f>Utilidad!R73</f>
        <v>2347.0706813399997</v>
      </c>
      <c r="G25" s="7">
        <f>+Utilidad!P101</f>
        <v>0.46141361779999995</v>
      </c>
      <c r="I25" s="7"/>
      <c r="K25" s="14">
        <f>Utilidad!P102</f>
        <v>0.39471318529999999</v>
      </c>
      <c r="R25" s="12"/>
    </row>
    <row r="26" spans="2:18">
      <c r="B26" s="11"/>
      <c r="C26" s="2"/>
      <c r="G26" s="24">
        <f>+Utilidad!R101</f>
        <v>8408.3080582161529</v>
      </c>
      <c r="I26" s="24"/>
      <c r="K26" s="15">
        <f>Utilidad!R102</f>
        <v>217878.67834697774</v>
      </c>
      <c r="R26" s="12"/>
    </row>
    <row r="27" spans="2:18">
      <c r="B27" s="11"/>
      <c r="R27" s="12"/>
    </row>
    <row r="28" spans="2:18">
      <c r="B28" s="11"/>
      <c r="N28" s="2"/>
      <c r="R28" s="12"/>
    </row>
    <row r="29" spans="2:18">
      <c r="B29" s="11"/>
      <c r="H29" s="23">
        <f>Flujos!C51</f>
        <v>6125.3333329999996</v>
      </c>
      <c r="L29" s="13">
        <f>+Utilidad!O103</f>
        <v>86767.938760000005</v>
      </c>
      <c r="N29" s="2"/>
      <c r="R29" s="12"/>
    </row>
    <row r="30" spans="2:18">
      <c r="B30" s="11"/>
      <c r="H30" s="7">
        <f>Flujos!D51</f>
        <v>0.37</v>
      </c>
      <c r="L30" s="14">
        <f>+Utilidad!P103</f>
        <v>5.2011392799999993E-2</v>
      </c>
      <c r="R30" s="12"/>
    </row>
    <row r="31" spans="2:18">
      <c r="B31" s="11"/>
      <c r="C31" s="16">
        <f>+Utilidad!O74</f>
        <v>9517</v>
      </c>
      <c r="H31" s="23"/>
      <c r="K31" s="13">
        <f>+Utilidad!O104</f>
        <v>471104.78090000001</v>
      </c>
      <c r="L31" s="15">
        <f>+Utilidad!R103</f>
        <v>4512.9213452927042</v>
      </c>
      <c r="R31" s="12"/>
    </row>
    <row r="32" spans="2:18">
      <c r="B32" s="11"/>
      <c r="C32" s="17">
        <f>+Utilidad!P74</f>
        <v>0.48923527989999999</v>
      </c>
      <c r="K32" s="14">
        <f>+Utilidad!P104</f>
        <v>0.45762670929999999</v>
      </c>
      <c r="R32" s="12"/>
    </row>
    <row r="33" spans="2:18">
      <c r="B33" s="11"/>
      <c r="C33" s="18">
        <f>+Utilidad!R74</f>
        <v>4656.0521588083002</v>
      </c>
      <c r="F33" s="13">
        <f>+Utilidad!O76</f>
        <v>1295.9100000000001</v>
      </c>
      <c r="H33" s="2"/>
      <c r="K33" s="15">
        <f>+Utilidad!R104</f>
        <v>215590.1306187645</v>
      </c>
      <c r="R33" s="12"/>
    </row>
    <row r="34" spans="2:18">
      <c r="B34" s="11"/>
      <c r="E34" s="19">
        <f>+Utilidad!O75</f>
        <v>8221.09</v>
      </c>
      <c r="F34" s="14">
        <f>+Utilidad!P76</f>
        <v>0.48020000000000002</v>
      </c>
      <c r="R34" s="12"/>
    </row>
    <row r="35" spans="2:18">
      <c r="B35" s="11"/>
      <c r="C35" s="2"/>
      <c r="E35" s="15">
        <f>+Utilidad!R75</f>
        <v>4033.7561760404251</v>
      </c>
      <c r="F35" s="15">
        <f>+Utilidad!R76</f>
        <v>622.29598200000009</v>
      </c>
      <c r="R35" s="12"/>
    </row>
    <row r="36" spans="2:18">
      <c r="B36" s="11"/>
      <c r="H36" s="2"/>
      <c r="L36" s="13">
        <f>+Utilidad!O105</f>
        <v>114636.81630000001</v>
      </c>
      <c r="R36" s="12"/>
    </row>
    <row r="37" spans="2:18">
      <c r="B37" s="11"/>
      <c r="L37" s="14">
        <f>+Utilidad!P105</f>
        <v>0.1009313298</v>
      </c>
      <c r="R37" s="12"/>
    </row>
    <row r="38" spans="2:18">
      <c r="B38" s="11"/>
      <c r="K38" s="13">
        <f>+Utilidad!O106</f>
        <v>356467.96470000001</v>
      </c>
      <c r="L38" s="15">
        <f>+Utilidad!R105</f>
        <v>11570.446313197315</v>
      </c>
      <c r="R38" s="12"/>
    </row>
    <row r="39" spans="2:18">
      <c r="B39" s="11"/>
      <c r="K39" s="14">
        <f>+Utilidad!P106</f>
        <v>0.57233665999999994</v>
      </c>
      <c r="R39" s="12"/>
    </row>
    <row r="40" spans="2:18">
      <c r="B40" s="11"/>
      <c r="K40" s="15">
        <f>+Utilidad!R106</f>
        <v>204019.68431339588</v>
      </c>
      <c r="R40" s="12"/>
    </row>
    <row r="41" spans="2:18">
      <c r="B41" s="11"/>
      <c r="C41" s="16"/>
      <c r="L41" s="13">
        <f>+Utilidad!O107</f>
        <v>0</v>
      </c>
      <c r="R41" s="12"/>
    </row>
    <row r="42" spans="2:18">
      <c r="B42" s="11"/>
      <c r="C42" s="17"/>
      <c r="L42" s="14">
        <f>+Utilidad!P107</f>
        <v>0</v>
      </c>
      <c r="R42" s="12"/>
    </row>
    <row r="43" spans="2:18">
      <c r="B43" s="11"/>
      <c r="C43" s="18"/>
      <c r="F43" s="13"/>
      <c r="L43" s="15">
        <f>+Utilidad!R107</f>
        <v>0</v>
      </c>
      <c r="R43" s="12"/>
    </row>
    <row r="44" spans="2:18">
      <c r="B44" s="11"/>
      <c r="E44" s="19"/>
      <c r="F44" s="14"/>
      <c r="K44" s="50">
        <f>K38-L41</f>
        <v>356467.96470000001</v>
      </c>
      <c r="R44" s="12"/>
    </row>
    <row r="45" spans="2:18">
      <c r="B45" s="11"/>
      <c r="E45" s="15"/>
      <c r="F45" s="15"/>
      <c r="I45" s="13">
        <f>Utilidad!O111</f>
        <v>3569.8452980000002</v>
      </c>
      <c r="K45" s="3">
        <f>Utilidad!P108</f>
        <v>0.57233665999999994</v>
      </c>
      <c r="L45" s="15">
        <f>K44*K45</f>
        <v>204019.68431339588</v>
      </c>
      <c r="N45" s="13">
        <f>Utilidad!O109</f>
        <v>187340.96470000001</v>
      </c>
      <c r="R45" s="12"/>
    </row>
    <row r="46" spans="2:18">
      <c r="B46" s="11"/>
      <c r="I46" s="14">
        <f>Utilidad!P111</f>
        <v>0.46380437139999997</v>
      </c>
      <c r="N46" s="14">
        <f>Utilidad!P109</f>
        <v>0.50330736190000003</v>
      </c>
      <c r="R46" s="12"/>
    </row>
    <row r="47" spans="2:18">
      <c r="B47" s="11"/>
      <c r="I47" s="15">
        <f>Utilidad!R111</f>
        <v>1655.7098544341357</v>
      </c>
      <c r="N47" s="15">
        <f>Utilidad!R109</f>
        <v>94290.086718958031</v>
      </c>
      <c r="R47" s="12"/>
    </row>
    <row r="48" spans="2:18">
      <c r="B48" s="11"/>
      <c r="R48" s="12"/>
    </row>
    <row r="49" spans="2:25">
      <c r="B49" s="11"/>
      <c r="K49" s="13">
        <f>Utilidad!O110</f>
        <v>172696.84529999999</v>
      </c>
      <c r="L49" s="14">
        <f>Utilidad!P110</f>
        <v>0.64497592449999996</v>
      </c>
      <c r="M49" s="15">
        <f>K49*L49</f>
        <v>111385.30745560097</v>
      </c>
      <c r="R49" s="12"/>
    </row>
    <row r="50" spans="2:25">
      <c r="B50" s="11"/>
      <c r="M50" s="2"/>
      <c r="R50" s="12"/>
    </row>
    <row r="51" spans="2:25">
      <c r="B51" s="11"/>
      <c r="C51" s="16">
        <f>+Utilidad!O80</f>
        <v>3933</v>
      </c>
      <c r="R51" s="12"/>
    </row>
    <row r="52" spans="2:25">
      <c r="B52" s="11"/>
      <c r="C52" s="17">
        <f>+Utilidad!P80</f>
        <v>0.49429762729999999</v>
      </c>
      <c r="R52" s="12"/>
    </row>
    <row r="53" spans="2:25">
      <c r="B53" s="11"/>
      <c r="C53" s="18">
        <f>+Utilidad!R80</f>
        <v>1944.0725681709</v>
      </c>
      <c r="F53" s="13">
        <f>+Utilidad!O82</f>
        <v>990</v>
      </c>
      <c r="R53" s="12"/>
    </row>
    <row r="54" spans="2:25">
      <c r="B54" s="11"/>
      <c r="E54" s="19">
        <f>+Utilidad!O81</f>
        <v>2943</v>
      </c>
      <c r="F54" s="14">
        <f>+Utilidad!P82</f>
        <v>0.48598199999999997</v>
      </c>
      <c r="H54" s="13">
        <f>+Utilidad!O94</f>
        <v>0</v>
      </c>
      <c r="J54" s="13">
        <f>+Utilidad!O92</f>
        <v>0</v>
      </c>
      <c r="R54" s="12"/>
    </row>
    <row r="55" spans="2:25" ht="16">
      <c r="B55" s="11"/>
      <c r="C55" s="2">
        <f>C53-E55</f>
        <v>481.12218005760019</v>
      </c>
      <c r="E55" s="15">
        <f>+Utilidad!R81</f>
        <v>1462.9503881132998</v>
      </c>
      <c r="F55" s="15">
        <f>+Utilidad!R82</f>
        <v>481.12217999999996</v>
      </c>
      <c r="H55" s="14">
        <f>+Utilidad!P94</f>
        <v>0</v>
      </c>
      <c r="J55" s="14">
        <f>+Utilidad!P92</f>
        <v>0</v>
      </c>
      <c r="R55" s="12"/>
      <c r="T55" s="4" t="s">
        <v>36</v>
      </c>
    </row>
    <row r="56" spans="2:25" ht="19">
      <c r="B56" s="11"/>
      <c r="H56" s="15">
        <f>+Utilidad!R94</f>
        <v>0</v>
      </c>
      <c r="J56" s="15">
        <f>+Utilidad!R92</f>
        <v>0</v>
      </c>
      <c r="R56" s="12"/>
      <c r="T56" s="41" t="s">
        <v>37</v>
      </c>
      <c r="U56" s="44"/>
      <c r="V56" s="40" t="s">
        <v>38</v>
      </c>
      <c r="W56" s="40"/>
      <c r="X56" s="41" t="s">
        <v>39</v>
      </c>
      <c r="Y56" s="41"/>
    </row>
    <row r="57" spans="2:25" ht="14.5" customHeight="1">
      <c r="B57" s="11"/>
      <c r="R57" s="12"/>
      <c r="T57" s="43" t="s">
        <v>17</v>
      </c>
      <c r="U57" s="28">
        <f>+K5</f>
        <v>1834605</v>
      </c>
      <c r="V57" s="43" t="s">
        <v>3</v>
      </c>
      <c r="W57" s="29">
        <f>+E12</f>
        <v>1763.84</v>
      </c>
      <c r="X57" s="37" t="s">
        <v>26</v>
      </c>
      <c r="Y57" s="29">
        <f>+L60</f>
        <v>169127</v>
      </c>
    </row>
    <row r="58" spans="2:25" ht="16">
      <c r="B58" s="11"/>
      <c r="D58" t="s">
        <v>27</v>
      </c>
      <c r="R58" s="12"/>
      <c r="T58" s="43" t="s">
        <v>0</v>
      </c>
      <c r="U58" s="28">
        <f>+C9</f>
        <v>7094</v>
      </c>
      <c r="V58" s="43" t="s">
        <v>4</v>
      </c>
      <c r="W58" s="29">
        <f>+E24</f>
        <v>2776.09</v>
      </c>
      <c r="X58" s="37" t="s">
        <v>43</v>
      </c>
      <c r="Y58" s="29">
        <f>+R15</f>
        <v>1665324.9297600002</v>
      </c>
    </row>
    <row r="59" spans="2:25" ht="14.5" customHeight="1">
      <c r="B59" s="11"/>
      <c r="C59" s="16">
        <f>+Utilidad!O83</f>
        <v>750</v>
      </c>
      <c r="L59" t="s">
        <v>101</v>
      </c>
      <c r="R59" s="12"/>
      <c r="T59" s="43" t="s">
        <v>2</v>
      </c>
      <c r="U59" s="28">
        <f>+C21</f>
        <v>8329</v>
      </c>
      <c r="V59" t="s">
        <v>7</v>
      </c>
      <c r="W59" s="29">
        <f>+E34</f>
        <v>8221.09</v>
      </c>
      <c r="X59" s="38"/>
      <c r="Y59" s="29"/>
    </row>
    <row r="60" spans="2:25" ht="14.5" customHeight="1">
      <c r="B60" s="11"/>
      <c r="C60" s="17">
        <f>+Utilidad!P83</f>
        <v>0.41463800000000001</v>
      </c>
      <c r="F60" s="13">
        <f>+Utilidad!O85</f>
        <v>990</v>
      </c>
      <c r="L60" s="13">
        <f>Utilidad!O113</f>
        <v>169127</v>
      </c>
      <c r="R60" s="12"/>
      <c r="T60" s="43" t="s">
        <v>6</v>
      </c>
      <c r="U60" s="28">
        <f>+C31</f>
        <v>9517</v>
      </c>
      <c r="V60" s="43" t="s">
        <v>98</v>
      </c>
      <c r="W60" s="29">
        <f>H8</f>
        <v>14312.05</v>
      </c>
      <c r="X60" s="38"/>
      <c r="Y60" s="29"/>
    </row>
    <row r="61" spans="2:25" ht="18" customHeight="1">
      <c r="B61" s="11"/>
      <c r="C61" s="18">
        <f>+Utilidad!R83</f>
        <v>310.9785</v>
      </c>
      <c r="E61" s="19">
        <f>+Utilidad!O84</f>
        <v>-240</v>
      </c>
      <c r="F61" s="14">
        <f>+Utilidad!P85</f>
        <v>0.41463800000000001</v>
      </c>
      <c r="H61" s="19">
        <f>+Utilidad!O93</f>
        <v>0</v>
      </c>
      <c r="L61" s="14">
        <f>Utilidad!P113</f>
        <v>0.64879999999999993</v>
      </c>
      <c r="R61" s="12"/>
      <c r="T61" s="193" t="s">
        <v>96</v>
      </c>
      <c r="U61" s="28"/>
      <c r="V61" s="43" t="s">
        <v>99</v>
      </c>
      <c r="W61" s="29">
        <f>+E54</f>
        <v>2943</v>
      </c>
      <c r="X61" s="36"/>
      <c r="Y61" s="29"/>
    </row>
    <row r="62" spans="2:25" ht="14.5" customHeight="1">
      <c r="B62" s="11"/>
      <c r="E62" s="15">
        <f>+Utilidad!R84</f>
        <v>-99.513120000000001</v>
      </c>
      <c r="F62" s="15">
        <f>+Utilidad!R85</f>
        <v>410.49162000000001</v>
      </c>
      <c r="H62" s="15">
        <f>+Utilidad!R93</f>
        <v>0</v>
      </c>
      <c r="L62" s="15">
        <f>Utilidad!R113</f>
        <v>109729.59759999999</v>
      </c>
      <c r="R62" s="12"/>
      <c r="T62" s="43" t="s">
        <v>97</v>
      </c>
      <c r="U62" s="28">
        <f>+C51</f>
        <v>3933</v>
      </c>
      <c r="V62" s="43" t="s">
        <v>48</v>
      </c>
      <c r="W62" s="29">
        <f>+E61</f>
        <v>-240</v>
      </c>
      <c r="X62" s="37"/>
      <c r="Y62" s="29"/>
    </row>
    <row r="63" spans="2:25" ht="14.5" customHeight="1">
      <c r="B63" s="11"/>
      <c r="C63" s="2">
        <f>C61-E62</f>
        <v>410.49162000000001</v>
      </c>
      <c r="L63" s="15"/>
      <c r="R63" s="12"/>
      <c r="T63" s="43" t="s">
        <v>47</v>
      </c>
      <c r="U63" s="28">
        <f>+C59</f>
        <v>750</v>
      </c>
      <c r="V63" s="43" t="s">
        <v>53</v>
      </c>
      <c r="W63" s="29">
        <f>+E69</f>
        <v>0</v>
      </c>
      <c r="X63" s="37"/>
      <c r="Y63" s="29"/>
    </row>
    <row r="64" spans="2:25" ht="14.5" customHeight="1">
      <c r="B64" s="11"/>
      <c r="L64" s="15"/>
      <c r="R64" s="12"/>
      <c r="T64" s="43" t="s">
        <v>52</v>
      </c>
      <c r="U64" s="28">
        <f>+C66</f>
        <v>0</v>
      </c>
      <c r="V64" s="43" t="s">
        <v>56</v>
      </c>
      <c r="W64" s="29">
        <f>+E76</f>
        <v>2413</v>
      </c>
      <c r="X64" s="37"/>
      <c r="Y64" s="29"/>
    </row>
    <row r="65" spans="2:27" ht="16">
      <c r="B65" s="11"/>
      <c r="D65" t="s">
        <v>50</v>
      </c>
      <c r="L65" s="15"/>
      <c r="R65" s="12"/>
      <c r="T65" s="43" t="s">
        <v>55</v>
      </c>
      <c r="U65" s="28">
        <f>+C73</f>
        <v>2413</v>
      </c>
      <c r="V65" s="194" t="s">
        <v>100</v>
      </c>
      <c r="W65" s="29"/>
      <c r="X65" s="38"/>
      <c r="Y65" s="29"/>
    </row>
    <row r="66" spans="2:27" ht="19">
      <c r="B66" s="11"/>
      <c r="C66" s="16">
        <f>+Utilidad!O86</f>
        <v>0</v>
      </c>
      <c r="F66" s="13">
        <f>+Utilidad!O88</f>
        <v>0</v>
      </c>
      <c r="L66" s="15"/>
      <c r="R66" s="12"/>
      <c r="T66" s="34" t="s">
        <v>40</v>
      </c>
      <c r="U66" s="30">
        <f>+SUM(U57:U65)</f>
        <v>1866641</v>
      </c>
      <c r="V66" s="39" t="s">
        <v>41</v>
      </c>
      <c r="W66" s="31">
        <f>+SUM(W57:W65)</f>
        <v>32189.07</v>
      </c>
      <c r="X66" s="42"/>
      <c r="Y66" s="30">
        <f>+SUM(Y57:Y64)</f>
        <v>1834451.9297600002</v>
      </c>
    </row>
    <row r="67" spans="2:27">
      <c r="B67" s="11"/>
      <c r="C67" s="17">
        <f>+Utilidad!P86</f>
        <v>0</v>
      </c>
      <c r="F67" s="14">
        <f>+Utilidad!P88</f>
        <v>0</v>
      </c>
      <c r="L67" s="15"/>
      <c r="R67" s="12"/>
    </row>
    <row r="68" spans="2:27" ht="19">
      <c r="B68" s="11"/>
      <c r="C68" s="18">
        <f>+Utilidad!R86</f>
        <v>0</v>
      </c>
      <c r="F68" s="15">
        <f>+Utilidad!R88</f>
        <v>0</v>
      </c>
      <c r="L68" s="15"/>
      <c r="R68" s="12"/>
      <c r="T68" s="32" t="s">
        <v>42</v>
      </c>
      <c r="U68" s="33"/>
      <c r="V68" s="34"/>
      <c r="W68" s="33"/>
      <c r="X68" s="35">
        <f>+U66-W66-Y66</f>
        <v>2.3999973200261593E-4</v>
      </c>
    </row>
    <row r="69" spans="2:27">
      <c r="B69" s="11"/>
      <c r="E69" s="19">
        <f>+Utilidad!O87</f>
        <v>0</v>
      </c>
      <c r="L69" s="15"/>
      <c r="R69" s="12"/>
    </row>
    <row r="70" spans="2:27">
      <c r="B70" s="11"/>
      <c r="E70" s="15">
        <f>+Utilidad!R87</f>
        <v>0</v>
      </c>
      <c r="L70" s="15"/>
      <c r="R70" s="12"/>
      <c r="AA70" s="2"/>
    </row>
    <row r="71" spans="2:27" ht="16">
      <c r="B71" s="11"/>
      <c r="L71" s="15"/>
      <c r="R71" s="12"/>
      <c r="T71" s="4" t="s">
        <v>58</v>
      </c>
      <c r="AA71" s="2"/>
    </row>
    <row r="72" spans="2:27" ht="19">
      <c r="B72" s="11"/>
      <c r="D72" t="s">
        <v>51</v>
      </c>
      <c r="L72" s="15"/>
      <c r="R72" s="12"/>
      <c r="T72" s="45" t="s">
        <v>37</v>
      </c>
      <c r="U72" s="46"/>
      <c r="V72" s="47" t="s">
        <v>38</v>
      </c>
      <c r="W72" s="47"/>
      <c r="X72" s="45" t="s">
        <v>39</v>
      </c>
      <c r="Y72" s="45"/>
    </row>
    <row r="73" spans="2:27" ht="16">
      <c r="B73" s="11"/>
      <c r="C73" s="16">
        <f>+Utilidad!O89</f>
        <v>2413</v>
      </c>
      <c r="F73" s="13">
        <f>+Utilidad!O91</f>
        <v>0</v>
      </c>
      <c r="L73" s="15"/>
      <c r="R73" s="12"/>
      <c r="T73" s="43" t="s">
        <v>17</v>
      </c>
      <c r="U73" s="28">
        <f>+K7</f>
        <v>294036.37284836703</v>
      </c>
      <c r="V73" s="43" t="s">
        <v>3</v>
      </c>
      <c r="W73" s="29">
        <f>+E13</f>
        <v>1053.6017408450559</v>
      </c>
      <c r="X73" s="37" t="s">
        <v>26</v>
      </c>
      <c r="Y73" s="29">
        <f>+L62</f>
        <v>109729.59759999999</v>
      </c>
    </row>
    <row r="74" spans="2:27" ht="16">
      <c r="B74" s="11"/>
      <c r="C74" s="17">
        <f>+Utilidad!P89</f>
        <v>0.54689999999999994</v>
      </c>
      <c r="F74" s="14">
        <f>+Utilidad!P91</f>
        <v>0</v>
      </c>
      <c r="L74" s="15"/>
      <c r="R74" s="12"/>
      <c r="T74" s="43" t="s">
        <v>0</v>
      </c>
      <c r="U74" s="28">
        <f>+C11</f>
        <v>4163.1851038967998</v>
      </c>
      <c r="V74" s="43" t="s">
        <v>4</v>
      </c>
      <c r="W74" s="29">
        <f>+E25</f>
        <v>1202.0290361809912</v>
      </c>
      <c r="X74" s="37" t="s">
        <v>43</v>
      </c>
      <c r="Y74" s="29">
        <f>+R17</f>
        <v>185785.12168472106</v>
      </c>
    </row>
    <row r="75" spans="2:27" ht="16">
      <c r="B75" s="11"/>
      <c r="C75" s="18">
        <f>+Utilidad!R89</f>
        <v>1319.6696999999999</v>
      </c>
      <c r="F75" s="15">
        <f>+Utilidad!R91</f>
        <v>0</v>
      </c>
      <c r="L75" s="15"/>
      <c r="R75" s="12"/>
      <c r="T75" s="43" t="s">
        <v>2</v>
      </c>
      <c r="U75" s="28">
        <f>+C23</f>
        <v>3549.0997171378999</v>
      </c>
      <c r="V75" s="43" t="s">
        <v>7</v>
      </c>
      <c r="W75" s="29">
        <f>+E35</f>
        <v>4033.7561760404251</v>
      </c>
      <c r="X75" s="38"/>
      <c r="Y75" s="29"/>
    </row>
    <row r="76" spans="2:27" ht="16">
      <c r="B76" s="11"/>
      <c r="E76" s="19">
        <f>+Utilidad!O90</f>
        <v>2413</v>
      </c>
      <c r="L76" s="15"/>
      <c r="R76" s="12"/>
      <c r="T76" s="43" t="s">
        <v>6</v>
      </c>
      <c r="U76" s="28">
        <f>+C33</f>
        <v>4656.0521588083002</v>
      </c>
      <c r="V76" s="43" t="s">
        <v>98</v>
      </c>
      <c r="W76" s="29">
        <f>+H9</f>
        <v>5492.217341757545</v>
      </c>
      <c r="X76" s="38"/>
      <c r="Y76" s="29"/>
    </row>
    <row r="77" spans="2:27" ht="16">
      <c r="B77" s="11"/>
      <c r="E77" s="15">
        <f>+Utilidad!R90</f>
        <v>1319.6696999999999</v>
      </c>
      <c r="L77" s="15"/>
      <c r="R77" s="12"/>
      <c r="T77" s="193" t="s">
        <v>96</v>
      </c>
      <c r="U77" s="28"/>
      <c r="V77" s="43" t="s">
        <v>99</v>
      </c>
      <c r="W77" s="29">
        <f>+E55</f>
        <v>1462.9503881132998</v>
      </c>
      <c r="X77" s="36"/>
      <c r="Y77" s="29"/>
    </row>
    <row r="78" spans="2:27" ht="16">
      <c r="B78" s="11"/>
      <c r="L78" s="15"/>
      <c r="R78" s="12"/>
      <c r="T78" s="43" t="s">
        <v>97</v>
      </c>
      <c r="U78" s="28">
        <f>+C53</f>
        <v>1944.0725681709</v>
      </c>
      <c r="V78" s="43" t="s">
        <v>48</v>
      </c>
      <c r="W78" s="29">
        <f>+E62</f>
        <v>-99.513120000000001</v>
      </c>
      <c r="X78" s="37"/>
      <c r="Y78" s="29"/>
    </row>
    <row r="79" spans="2:27" ht="16">
      <c r="B79" s="11"/>
      <c r="C79" s="2"/>
      <c r="L79" s="15"/>
      <c r="R79" s="12"/>
      <c r="T79" s="43" t="s">
        <v>47</v>
      </c>
      <c r="U79" s="28">
        <f>+C61</f>
        <v>310.9785</v>
      </c>
      <c r="V79" s="43" t="s">
        <v>53</v>
      </c>
      <c r="W79" s="29">
        <f>+E70</f>
        <v>0</v>
      </c>
      <c r="X79" s="37"/>
      <c r="Y79" s="29"/>
    </row>
    <row r="80" spans="2:27" ht="16">
      <c r="B80" s="11"/>
      <c r="L80" s="15"/>
      <c r="R80" s="12"/>
      <c r="T80" s="43" t="s">
        <v>52</v>
      </c>
      <c r="U80" s="28">
        <f>+C68</f>
        <v>0</v>
      </c>
      <c r="V80" s="43" t="s">
        <v>56</v>
      </c>
      <c r="W80" s="29">
        <f>+E77</f>
        <v>1319.6696999999999</v>
      </c>
      <c r="X80" s="37"/>
      <c r="Y80" s="29"/>
    </row>
    <row r="81" spans="2:25" ht="16">
      <c r="B81" s="11"/>
      <c r="L81" s="15"/>
      <c r="R81" s="12"/>
      <c r="T81" s="43" t="s">
        <v>55</v>
      </c>
      <c r="U81" s="28">
        <f>+C75</f>
        <v>1319.6696999999999</v>
      </c>
      <c r="V81" s="194" t="s">
        <v>100</v>
      </c>
      <c r="W81" s="29"/>
      <c r="X81" s="38"/>
      <c r="Y81" s="29"/>
    </row>
    <row r="82" spans="2:25" ht="19">
      <c r="B82" s="11"/>
      <c r="L82" s="15"/>
      <c r="R82" s="12"/>
      <c r="T82" s="34" t="s">
        <v>40</v>
      </c>
      <c r="U82" s="30">
        <f>+SUM(U73:U81)</f>
        <v>309979.43059638096</v>
      </c>
      <c r="V82" s="39" t="s">
        <v>41</v>
      </c>
      <c r="W82" s="31">
        <f>+SUM(W73:W81)</f>
        <v>14464.711262937319</v>
      </c>
      <c r="X82" s="42"/>
      <c r="Y82" s="30">
        <f>+SUM(Y73:Y80)</f>
        <v>295514.71928472107</v>
      </c>
    </row>
    <row r="83" spans="2:25" ht="16" thickBot="1"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7"/>
    </row>
    <row r="84" spans="2:25" ht="19">
      <c r="T84" s="32" t="s">
        <v>42</v>
      </c>
      <c r="U84" s="33"/>
      <c r="V84" s="34"/>
      <c r="W84" s="33"/>
      <c r="X84" s="35">
        <f>+U82-W82-Y82</f>
        <v>4.8722547944635153E-5</v>
      </c>
    </row>
    <row r="89" spans="2:25" ht="16" customHeight="1">
      <c r="X89" s="195"/>
    </row>
    <row r="91" spans="2:25" ht="17" customHeight="1"/>
    <row r="93" spans="2:25" ht="14.5" customHeight="1"/>
    <row r="95" spans="2:25" ht="14.5" customHeight="1"/>
  </sheetData>
  <phoneticPr fontId="10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CCE685B1-CC99-49D6-AE3E-2B2E7FA394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E12</xm:sqref>
        </x14:conditionalFormatting>
        <x14:conditionalFormatting xmlns:xm="http://schemas.microsoft.com/office/excel/2006/main">
          <x14:cfRule type="iconSet" priority="26" id="{DBAE93ED-C62C-4609-ADAF-77F039033A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E24</xm:sqref>
        </x14:conditionalFormatting>
        <x14:conditionalFormatting xmlns:xm="http://schemas.microsoft.com/office/excel/2006/main">
          <x14:cfRule type="iconSet" priority="25" id="{621FEFB6-D441-4D6A-9585-242BB88861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E34</xm:sqref>
        </x14:conditionalFormatting>
        <x14:conditionalFormatting xmlns:xm="http://schemas.microsoft.com/office/excel/2006/main">
          <x14:cfRule type="iconSet" priority="23" id="{31DA6A7A-9226-4EEF-8423-2EFAACB35E9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E44</xm:sqref>
        </x14:conditionalFormatting>
        <x14:conditionalFormatting xmlns:xm="http://schemas.microsoft.com/office/excel/2006/main">
          <x14:cfRule type="iconSet" priority="22" id="{699EFC76-7DF0-4F01-BA86-7A866F05B7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E54</xm:sqref>
        </x14:conditionalFormatting>
        <x14:conditionalFormatting xmlns:xm="http://schemas.microsoft.com/office/excel/2006/main">
          <x14:cfRule type="iconSet" priority="21" id="{F1F64CAE-1DBF-4E05-B6E9-77F0BE3D4C5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W66</xm:sqref>
        </x14:conditionalFormatting>
        <x14:conditionalFormatting xmlns:xm="http://schemas.microsoft.com/office/excel/2006/main">
          <x14:cfRule type="iconSet" priority="19" id="{D4481694-8AFA-44DA-B765-DE7DB349B7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E61</xm:sqref>
        </x14:conditionalFormatting>
        <x14:conditionalFormatting xmlns:xm="http://schemas.microsoft.com/office/excel/2006/main">
          <x14:cfRule type="iconSet" priority="18" id="{7088627B-BC7F-4EA4-AF8D-48688CC78A6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E69</xm:sqref>
        </x14:conditionalFormatting>
        <x14:conditionalFormatting xmlns:xm="http://schemas.microsoft.com/office/excel/2006/main">
          <x14:cfRule type="iconSet" priority="17" id="{EBCC8C33-A7C4-414A-BE22-68A9D9F6EE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E70</xm:sqref>
        </x14:conditionalFormatting>
        <x14:conditionalFormatting xmlns:xm="http://schemas.microsoft.com/office/excel/2006/main">
          <x14:cfRule type="iconSet" priority="16" id="{1C1E81C4-97C3-4B8E-9BFB-CF19F165BAF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E62</xm:sqref>
        </x14:conditionalFormatting>
        <x14:conditionalFormatting xmlns:xm="http://schemas.microsoft.com/office/excel/2006/main">
          <x14:cfRule type="iconSet" priority="15" id="{5E6CCC20-F056-487A-92B7-35650DFB29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E55</xm:sqref>
        </x14:conditionalFormatting>
        <x14:conditionalFormatting xmlns:xm="http://schemas.microsoft.com/office/excel/2006/main">
          <x14:cfRule type="iconSet" priority="14" id="{8D5FE150-8E01-4FEB-B59E-DF90CC41AAA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E45</xm:sqref>
        </x14:conditionalFormatting>
        <x14:conditionalFormatting xmlns:xm="http://schemas.microsoft.com/office/excel/2006/main">
          <x14:cfRule type="iconSet" priority="13" id="{F85F8515-13C2-47A6-8C06-C455DF7DDF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E35</xm:sqref>
        </x14:conditionalFormatting>
        <x14:conditionalFormatting xmlns:xm="http://schemas.microsoft.com/office/excel/2006/main">
          <x14:cfRule type="iconSet" priority="12" id="{ADFCD24F-4B84-49D8-806E-DA811FFB43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E25</xm:sqref>
        </x14:conditionalFormatting>
        <x14:conditionalFormatting xmlns:xm="http://schemas.microsoft.com/office/excel/2006/main">
          <x14:cfRule type="iconSet" priority="11" id="{060097B0-0EC0-4D25-A0AD-2AF9A5C0DD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E76</xm:sqref>
        </x14:conditionalFormatting>
        <x14:conditionalFormatting xmlns:xm="http://schemas.microsoft.com/office/excel/2006/main">
          <x14:cfRule type="iconSet" priority="10" id="{3BE9FB0C-9F88-46AD-A3E3-0A2CFAF10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E77</xm:sqref>
        </x14:conditionalFormatting>
        <x14:conditionalFormatting xmlns:xm="http://schemas.microsoft.com/office/excel/2006/main">
          <x14:cfRule type="iconSet" priority="9" id="{0D3FB64A-8EC3-46D6-AA25-AEE791563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8" id="{B54D047F-99ED-4897-9906-2CC31CD775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H62</xm:sqref>
        </x14:conditionalFormatting>
        <x14:conditionalFormatting xmlns:xm="http://schemas.microsoft.com/office/excel/2006/main">
          <x14:cfRule type="iconSet" priority="7" id="{B02C3E46-ACEE-4E1D-A059-9A131A7471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W82</xm:sqref>
        </x14:conditionalFormatting>
        <x14:conditionalFormatting xmlns:xm="http://schemas.microsoft.com/office/excel/2006/main">
          <x14:cfRule type="iconSet" priority="6" id="{8948227A-9FE4-49A2-A921-4C9A3ADF6E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E13</xm:sqref>
        </x14:conditionalFormatting>
        <x14:conditionalFormatting xmlns:xm="http://schemas.microsoft.com/office/excel/2006/main">
          <x14:cfRule type="iconSet" priority="5" id="{DA7C07E9-748E-EA4C-98C7-DE05C0A183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2" id="{2764A8E7-B39E-D045-82F7-A7A59C47DE9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33E5-7676-1F47-BBE6-CFF6D81A466B}">
  <dimension ref="B2:T56"/>
  <sheetViews>
    <sheetView tabSelected="1" workbookViewId="0">
      <selection activeCell="T4" sqref="T4:T53"/>
    </sheetView>
  </sheetViews>
  <sheetFormatPr baseColWidth="10" defaultRowHeight="15"/>
  <cols>
    <col min="1" max="1" width="25.1640625" customWidth="1"/>
    <col min="2" max="2" width="23.5" customWidth="1"/>
    <col min="5" max="5" width="12.1640625" customWidth="1"/>
    <col min="7" max="7" width="27.33203125" customWidth="1"/>
    <col min="8" max="8" width="10.83203125" customWidth="1"/>
    <col min="9" max="9" width="13.5" customWidth="1"/>
    <col min="10" max="10" width="11.6640625" customWidth="1"/>
    <col min="12" max="12" width="15.33203125" customWidth="1"/>
    <col min="16" max="16" width="16.1640625" customWidth="1"/>
    <col min="17" max="17" width="17.33203125" customWidth="1"/>
    <col min="18" max="18" width="19.6640625" customWidth="1"/>
    <col min="19" max="19" width="17.5" customWidth="1"/>
    <col min="20" max="20" width="19.5" customWidth="1"/>
  </cols>
  <sheetData>
    <row r="2" spans="2:20" ht="20" customHeight="1">
      <c r="B2" s="227" t="s">
        <v>105</v>
      </c>
      <c r="C2" s="227"/>
      <c r="D2" s="227"/>
      <c r="E2" s="227"/>
      <c r="G2" s="227" t="s">
        <v>106</v>
      </c>
      <c r="H2" s="227"/>
      <c r="I2" s="227"/>
      <c r="J2" s="227"/>
      <c r="L2" s="228" t="s">
        <v>112</v>
      </c>
      <c r="M2" s="229"/>
      <c r="N2" s="230"/>
      <c r="P2" s="209" t="s">
        <v>107</v>
      </c>
      <c r="Q2" s="210" t="s">
        <v>110</v>
      </c>
      <c r="R2" s="210" t="s">
        <v>111</v>
      </c>
      <c r="T2" s="329" t="s">
        <v>116</v>
      </c>
    </row>
    <row r="3" spans="2:20" ht="19">
      <c r="B3" s="196" t="s">
        <v>102</v>
      </c>
      <c r="C3" s="196" t="s">
        <v>28</v>
      </c>
      <c r="D3" s="196" t="s">
        <v>103</v>
      </c>
      <c r="E3" s="196" t="s">
        <v>104</v>
      </c>
      <c r="G3" s="196" t="s">
        <v>102</v>
      </c>
      <c r="H3" s="196" t="s">
        <v>28</v>
      </c>
      <c r="I3" s="196" t="s">
        <v>103</v>
      </c>
      <c r="J3" s="196" t="s">
        <v>104</v>
      </c>
      <c r="L3" s="204" t="s">
        <v>108</v>
      </c>
      <c r="M3" s="204" t="s">
        <v>109</v>
      </c>
      <c r="N3" s="204" t="s">
        <v>109</v>
      </c>
      <c r="P3" s="205"/>
      <c r="Q3" s="205"/>
      <c r="R3" s="205"/>
      <c r="T3" s="205"/>
    </row>
    <row r="4" spans="2:20" ht="21">
      <c r="B4" s="48" t="s">
        <v>0</v>
      </c>
      <c r="C4" s="197">
        <f>Utilidad!A1</f>
        <v>7094</v>
      </c>
      <c r="D4" s="198">
        <f>IF(Utilidad!C$46&gt;1,Utilidad!C1/100,Utilidad!C1)</f>
        <v>0.59530000000000005</v>
      </c>
      <c r="E4" s="198">
        <f>IF(Utilidad!$E$46&gt;1,Utilidad!E1/100,Utilidad!E1)</f>
        <v>0.58599999999999997</v>
      </c>
      <c r="G4" s="48" t="s">
        <v>0</v>
      </c>
      <c r="H4" s="197">
        <f>Utilidad!B1</f>
        <v>7094</v>
      </c>
      <c r="I4" s="198">
        <f>IF(Utilidad!$D$46&gt;1,Utilidad!D1/100,Utilidad!D1)</f>
        <v>0.58686003720000002</v>
      </c>
      <c r="J4" s="198">
        <f>IF(Utilidad!$F$46&gt;1,Utilidad!F1/100,Utilidad!F1)</f>
        <v>0.57769188950000006</v>
      </c>
      <c r="L4" s="206">
        <f>+IF(C4&lt;&gt;0,(H4-C4)/C4,ABS(H4-C4))</f>
        <v>0</v>
      </c>
      <c r="M4" s="206">
        <f>+IF(D4&lt;&gt;0,(I4-D4)/D4,0)</f>
        <v>-1.4177663027045243E-2</v>
      </c>
      <c r="N4" s="206">
        <f>+IF(E4&lt;&gt;0,(J4-E4)/E4,0)</f>
        <v>-1.4177662969283123E-2</v>
      </c>
      <c r="P4" s="198">
        <f t="shared" ref="P4" si="0">+IF(L4&lt;&gt;"",ABS(L4),0)</f>
        <v>0</v>
      </c>
      <c r="Q4" s="198">
        <f>+IF(L4&lt;&gt;"",ABS(M4),0)</f>
        <v>1.4177663027045243E-2</v>
      </c>
      <c r="R4" s="198">
        <f>+IF(M4&lt;&gt;"",ABS(N4),0)</f>
        <v>1.4177662969283123E-2</v>
      </c>
      <c r="T4" s="330" t="str">
        <f>IF(J4&lt;=I4,"SI","NO")</f>
        <v>SI</v>
      </c>
    </row>
    <row r="5" spans="2:20" ht="21">
      <c r="B5" s="48" t="s">
        <v>3</v>
      </c>
      <c r="C5" s="197">
        <f>Utilidad!A2</f>
        <v>1710</v>
      </c>
      <c r="D5" s="198">
        <f>IF(Utilidad!C$46&gt;1,Utilidad!C2/100,Utilidad!C2)</f>
        <v>0.59530000000000005</v>
      </c>
      <c r="E5" s="198">
        <f>IF(Utilidad!$E$46&gt;1,Utilidad!E2/100,Utilidad!E2)</f>
        <v>0.58599999999999997</v>
      </c>
      <c r="G5" s="48" t="s">
        <v>3</v>
      </c>
      <c r="H5" s="197">
        <f>Utilidad!B2</f>
        <v>1763.84</v>
      </c>
      <c r="I5" s="198">
        <f>IF(Utilidad!$D$46&gt;1,Utilidad!D2/100,Utilidad!D2)</f>
        <v>0.59733407839999997</v>
      </c>
      <c r="J5" s="198">
        <f>IF(Utilidad!$F$46&gt;1,Utilidad!F2/100,Utilidad!F2)</f>
        <v>0.58800230149999999</v>
      </c>
      <c r="L5" s="206">
        <f t="shared" ref="L5:L53" si="1">+IF(C5&lt;&gt;0,(H5-C5)/C5,ABS(H5-C5))</f>
        <v>3.1485380116959019E-2</v>
      </c>
      <c r="M5" s="206">
        <f t="shared" ref="M5:M53" si="2">+IF(D5&lt;&gt;0,(I5-D5)/D5,0)</f>
        <v>3.4168963547789627E-3</v>
      </c>
      <c r="N5" s="206">
        <f t="shared" ref="N5:N53" si="3">+IF(E5&lt;&gt;0,(J5-E5)/E5,0)</f>
        <v>3.4168967576792245E-3</v>
      </c>
      <c r="P5" s="198">
        <f t="shared" ref="P5:P53" si="4">+IF(L5&lt;&gt;"",ABS(L5),0)</f>
        <v>3.1485380116959019E-2</v>
      </c>
      <c r="Q5" s="198">
        <f t="shared" ref="Q5:Q53" si="5">+IF(L5&lt;&gt;"",ABS(M5),0)</f>
        <v>3.4168963547789627E-3</v>
      </c>
      <c r="R5" s="198">
        <f t="shared" ref="R5:R53" si="6">+IF(M5&lt;&gt;"",ABS(N5),0)</f>
        <v>3.4168967576792245E-3</v>
      </c>
      <c r="T5" s="330" t="str">
        <f t="shared" ref="T5:T53" si="7">IF(J5&lt;=I5,"SI","NO")</f>
        <v>SI</v>
      </c>
    </row>
    <row r="6" spans="2:20" ht="21">
      <c r="B6" s="48" t="s">
        <v>1</v>
      </c>
      <c r="C6" s="197">
        <f>Utilidad!A3</f>
        <v>5384</v>
      </c>
      <c r="D6" s="198">
        <f>IF(Utilidad!C$46&gt;1,Utilidad!C3/100,Utilidad!C3)</f>
        <v>0.59530000000000005</v>
      </c>
      <c r="E6" s="198">
        <f>IF(Utilidad!$E$46&gt;1,Utilidad!E3/100,Utilidad!E3)</f>
        <v>0.58599999999999997</v>
      </c>
      <c r="G6" s="48" t="s">
        <v>1</v>
      </c>
      <c r="H6" s="197">
        <f>Utilidad!B3</f>
        <v>5330.16</v>
      </c>
      <c r="I6" s="198">
        <f>IF(Utilidad!$D$46&gt;1,Utilidad!D3/100,Utilidad!D3)</f>
        <v>0.58339399999999997</v>
      </c>
      <c r="J6" s="198">
        <f>IF(Utilidad!$F$46&gt;1,Utilidad!F3/100,Utilidad!F3)</f>
        <v>0.57428000000000001</v>
      </c>
      <c r="L6" s="206">
        <f t="shared" si="1"/>
        <v>-1.0000000000000026E-2</v>
      </c>
      <c r="M6" s="206">
        <f t="shared" si="2"/>
        <v>-2.0000000000000139E-2</v>
      </c>
      <c r="N6" s="206">
        <f t="shared" si="3"/>
        <v>-1.9999999999999921E-2</v>
      </c>
      <c r="P6" s="198">
        <f t="shared" si="4"/>
        <v>1.0000000000000026E-2</v>
      </c>
      <c r="Q6" s="198">
        <f t="shared" si="5"/>
        <v>2.0000000000000139E-2</v>
      </c>
      <c r="R6" s="198">
        <f t="shared" si="6"/>
        <v>1.9999999999999921E-2</v>
      </c>
      <c r="T6" s="330" t="str">
        <f t="shared" si="7"/>
        <v>SI</v>
      </c>
    </row>
    <row r="7" spans="2:20" ht="21">
      <c r="B7" s="48" t="s">
        <v>2</v>
      </c>
      <c r="C7" s="197">
        <f>Utilidad!A4</f>
        <v>8329</v>
      </c>
      <c r="D7" s="198">
        <f>IF(Utilidad!C$46&gt;1,Utilidad!C4/100,Utilidad!C4)</f>
        <v>0.43130000000000002</v>
      </c>
      <c r="E7" s="198">
        <f>IF(Utilidad!$E$46&gt;1,Utilidad!E4/100,Utilidad!E4)</f>
        <v>0.40810000000000002</v>
      </c>
      <c r="G7" s="48" t="s">
        <v>2</v>
      </c>
      <c r="H7" s="197">
        <f>Utilidad!B4</f>
        <v>8329</v>
      </c>
      <c r="I7" s="198">
        <f>IF(Utilidad!$D$46&gt;1,Utilidad!D4/100,Utilidad!D4)</f>
        <v>0.42611354509999999</v>
      </c>
      <c r="J7" s="198">
        <f>IF(Utilidad!$F$46&gt;1,Utilidad!F4/100,Utilidad!F4)</f>
        <v>0.40319905360000002</v>
      </c>
      <c r="L7" s="206">
        <f t="shared" si="1"/>
        <v>0</v>
      </c>
      <c r="M7" s="206">
        <f t="shared" si="2"/>
        <v>-1.202516786459547E-2</v>
      </c>
      <c r="N7" s="206">
        <f t="shared" si="3"/>
        <v>-1.2009180102915939E-2</v>
      </c>
      <c r="P7" s="198">
        <f t="shared" si="4"/>
        <v>0</v>
      </c>
      <c r="Q7" s="198">
        <f t="shared" si="5"/>
        <v>1.202516786459547E-2</v>
      </c>
      <c r="R7" s="198">
        <f t="shared" si="6"/>
        <v>1.2009180102915939E-2</v>
      </c>
      <c r="T7" s="330" t="str">
        <f t="shared" si="7"/>
        <v>SI</v>
      </c>
    </row>
    <row r="8" spans="2:20" ht="21">
      <c r="B8" s="48" t="s">
        <v>4</v>
      </c>
      <c r="C8" s="197">
        <f>Utilidad!A5</f>
        <v>2720</v>
      </c>
      <c r="D8" s="198">
        <f>IF(Utilidad!C$46&gt;1,Utilidad!C5/100,Utilidad!C5)</f>
        <v>0.43130000000000002</v>
      </c>
      <c r="E8" s="198">
        <f>IF(Utilidad!$E$46&gt;1,Utilidad!E5/100,Utilidad!E5)</f>
        <v>0.40810000000000002</v>
      </c>
      <c r="G8" s="48" t="s">
        <v>4</v>
      </c>
      <c r="H8" s="197">
        <f>Utilidad!B5</f>
        <v>2776.09</v>
      </c>
      <c r="I8" s="198">
        <f>IF(Utilidad!$D$46&gt;1,Utilidad!D5/100,Utilidad!D5)</f>
        <v>0.4329935399</v>
      </c>
      <c r="J8" s="198">
        <f>IF(Utilidad!$F$46&gt;1,Utilidad!F5/100,Utilidad!F5)</f>
        <v>0.40972201839999994</v>
      </c>
      <c r="L8" s="206">
        <f t="shared" si="1"/>
        <v>2.0621323529411817E-2</v>
      </c>
      <c r="M8" s="206">
        <f t="shared" si="2"/>
        <v>3.9265937862276489E-3</v>
      </c>
      <c r="N8" s="206">
        <f t="shared" si="3"/>
        <v>3.9745611369760474E-3</v>
      </c>
      <c r="P8" s="198">
        <f t="shared" si="4"/>
        <v>2.0621323529411817E-2</v>
      </c>
      <c r="Q8" s="198">
        <f t="shared" si="5"/>
        <v>3.9265937862276489E-3</v>
      </c>
      <c r="R8" s="198">
        <f t="shared" si="6"/>
        <v>3.9745611369760474E-3</v>
      </c>
      <c r="T8" s="330" t="str">
        <f t="shared" si="7"/>
        <v>SI</v>
      </c>
    </row>
    <row r="9" spans="2:20" ht="21">
      <c r="B9" s="48" t="s">
        <v>5</v>
      </c>
      <c r="C9" s="197">
        <f>Utilidad!A6</f>
        <v>5609</v>
      </c>
      <c r="D9" s="198">
        <f>IF(Utilidad!C$46&gt;1,Utilidad!C6/100,Utilidad!C6)</f>
        <v>0.43130000000000002</v>
      </c>
      <c r="E9" s="198">
        <f>IF(Utilidad!$E$46&gt;1,Utilidad!E6/100,Utilidad!E6)</f>
        <v>0.40810000000000002</v>
      </c>
      <c r="G9" s="48" t="s">
        <v>5</v>
      </c>
      <c r="H9" s="197">
        <f>Utilidad!B6</f>
        <v>5552.91</v>
      </c>
      <c r="I9" s="198">
        <f>IF(Utilidad!$D$46&gt;1,Utilidad!D6/100,Utilidad!D6)</f>
        <v>0.42267399999999999</v>
      </c>
      <c r="J9" s="198">
        <f>IF(Utilidad!$F$46&gt;1,Utilidad!F6/100,Utilidad!F6)</f>
        <v>0.39993800000000002</v>
      </c>
      <c r="L9" s="206">
        <f t="shared" si="1"/>
        <v>-1.0000000000000026E-2</v>
      </c>
      <c r="M9" s="206">
        <f t="shared" si="2"/>
        <v>-2.0000000000000052E-2</v>
      </c>
      <c r="N9" s="206">
        <f t="shared" si="3"/>
        <v>-2.0000000000000004E-2</v>
      </c>
      <c r="P9" s="198">
        <f t="shared" si="4"/>
        <v>1.0000000000000026E-2</v>
      </c>
      <c r="Q9" s="198">
        <f t="shared" si="5"/>
        <v>2.0000000000000052E-2</v>
      </c>
      <c r="R9" s="198">
        <f t="shared" si="6"/>
        <v>2.0000000000000004E-2</v>
      </c>
      <c r="T9" s="330" t="str">
        <f t="shared" si="7"/>
        <v>SI</v>
      </c>
    </row>
    <row r="10" spans="2:20" ht="21">
      <c r="B10" s="48" t="s">
        <v>6</v>
      </c>
      <c r="C10" s="197">
        <f>Utilidad!A7</f>
        <v>9517</v>
      </c>
      <c r="D10" s="198">
        <f>IF(Utilidad!C$46&gt;1,Utilidad!C7/100,Utilidad!C7)</f>
        <v>0.49</v>
      </c>
      <c r="E10" s="198">
        <f>IF(Utilidad!$E$46&gt;1,Utilidad!E7/100,Utilidad!E7)</f>
        <v>0.47350000000000003</v>
      </c>
      <c r="G10" s="48" t="s">
        <v>6</v>
      </c>
      <c r="H10" s="197">
        <f>Utilidad!B7</f>
        <v>9517</v>
      </c>
      <c r="I10" s="198">
        <f>IF(Utilidad!$D$46&gt;1,Utilidad!D7/100,Utilidad!D7)</f>
        <v>0.48923527989999999</v>
      </c>
      <c r="J10" s="198">
        <f>IF(Utilidad!$F$46&gt;1,Utilidad!F7/100,Utilidad!F7)</f>
        <v>0.47276103059999997</v>
      </c>
      <c r="L10" s="206">
        <f t="shared" si="1"/>
        <v>0</v>
      </c>
      <c r="M10" s="206">
        <f t="shared" si="2"/>
        <v>-1.5606532653061323E-3</v>
      </c>
      <c r="N10" s="206">
        <f t="shared" si="3"/>
        <v>-1.5606534318903206E-3</v>
      </c>
      <c r="P10" s="198">
        <f t="shared" si="4"/>
        <v>0</v>
      </c>
      <c r="Q10" s="198">
        <f t="shared" si="5"/>
        <v>1.5606532653061323E-3</v>
      </c>
      <c r="R10" s="198">
        <f t="shared" si="6"/>
        <v>1.5606534318903206E-3</v>
      </c>
      <c r="T10" s="330" t="str">
        <f t="shared" si="7"/>
        <v>SI</v>
      </c>
    </row>
    <row r="11" spans="2:20" ht="21">
      <c r="B11" s="48" t="s">
        <v>7</v>
      </c>
      <c r="C11" s="197">
        <f>Utilidad!A8</f>
        <v>8208</v>
      </c>
      <c r="D11" s="198">
        <f>IF(Utilidad!C$46&gt;1,Utilidad!C8/100,Utilidad!C8)</f>
        <v>0.49</v>
      </c>
      <c r="E11" s="198">
        <f>IF(Utilidad!$E$46&gt;1,Utilidad!E8/100,Utilidad!E8)</f>
        <v>0.47350000000000003</v>
      </c>
      <c r="G11" s="48" t="s">
        <v>7</v>
      </c>
      <c r="H11" s="197">
        <f>Utilidad!B8</f>
        <v>8221.09</v>
      </c>
      <c r="I11" s="198">
        <f>IF(Utilidad!$D$46&gt;1,Utilidad!D8/100,Utilidad!D8)</f>
        <v>0.4906595325</v>
      </c>
      <c r="J11" s="198">
        <f>IF(Utilidad!$F$46&gt;1,Utilidad!F8/100,Utilidad!F8)</f>
        <v>0.47413732380000001</v>
      </c>
      <c r="L11" s="206">
        <f t="shared" si="1"/>
        <v>1.5947855750487506E-3</v>
      </c>
      <c r="M11" s="206">
        <f t="shared" si="2"/>
        <v>1.3459846938775593E-3</v>
      </c>
      <c r="N11" s="206">
        <f t="shared" si="3"/>
        <v>1.345984794086543E-3</v>
      </c>
      <c r="P11" s="198">
        <f t="shared" si="4"/>
        <v>1.5947855750487506E-3</v>
      </c>
      <c r="Q11" s="198">
        <f t="shared" si="5"/>
        <v>1.3459846938775593E-3</v>
      </c>
      <c r="R11" s="198">
        <f t="shared" si="6"/>
        <v>1.345984794086543E-3</v>
      </c>
      <c r="T11" s="330" t="str">
        <f t="shared" si="7"/>
        <v>SI</v>
      </c>
    </row>
    <row r="12" spans="2:20" ht="21">
      <c r="B12" s="48" t="s">
        <v>8</v>
      </c>
      <c r="C12" s="197">
        <f>Utilidad!A9</f>
        <v>1309</v>
      </c>
      <c r="D12" s="198">
        <f>IF(Utilidad!C$46&gt;1,Utilidad!C9/100,Utilidad!C9)</f>
        <v>0.49</v>
      </c>
      <c r="E12" s="198">
        <f>IF(Utilidad!$E$46&gt;1,Utilidad!E9/100,Utilidad!E9)</f>
        <v>0.47350000000000003</v>
      </c>
      <c r="G12" s="48" t="s">
        <v>8</v>
      </c>
      <c r="H12" s="197">
        <f>Utilidad!B9</f>
        <v>1295.9100000000001</v>
      </c>
      <c r="I12" s="198">
        <f>IF(Utilidad!$D$46&gt;1,Utilidad!D9/100,Utilidad!D9)</f>
        <v>0.48020000000000002</v>
      </c>
      <c r="J12" s="198">
        <f>IF(Utilidad!$F$46&gt;1,Utilidad!F9/100,Utilidad!F9)</f>
        <v>0.46403</v>
      </c>
      <c r="L12" s="206">
        <f t="shared" si="1"/>
        <v>-9.9999999999999378E-3</v>
      </c>
      <c r="M12" s="206">
        <f t="shared" si="2"/>
        <v>-1.9999999999999952E-2</v>
      </c>
      <c r="N12" s="206">
        <f t="shared" si="3"/>
        <v>-2.000000000000007E-2</v>
      </c>
      <c r="P12" s="198">
        <f t="shared" si="4"/>
        <v>9.9999999999999378E-3</v>
      </c>
      <c r="Q12" s="198">
        <f t="shared" si="5"/>
        <v>1.9999999999999952E-2</v>
      </c>
      <c r="R12" s="198">
        <f t="shared" si="6"/>
        <v>2.000000000000007E-2</v>
      </c>
      <c r="T12" s="330" t="str">
        <f t="shared" si="7"/>
        <v>SI</v>
      </c>
    </row>
    <row r="13" spans="2:20" ht="21">
      <c r="B13" s="48" t="s">
        <v>9</v>
      </c>
      <c r="C13" s="197">
        <f>Utilidad!A10</f>
        <v>18376</v>
      </c>
      <c r="D13" s="198">
        <f>IF(Utilidad!C$46&gt;1,Utilidad!C10/100,Utilidad!C10)</f>
        <v>0.37</v>
      </c>
      <c r="E13" s="198">
        <f>IF(Utilidad!$E$46&gt;1,Utilidad!E10/100,Utilidad!E10)</f>
        <v>0.35249999999999998</v>
      </c>
      <c r="G13" s="48" t="s">
        <v>9</v>
      </c>
      <c r="H13" s="197">
        <f>Utilidad!B10</f>
        <v>18376</v>
      </c>
      <c r="I13" s="198">
        <f>IF(Utilidad!$D$46&gt;1,Utilidad!D10/100,Utilidad!D10)</f>
        <v>0.37712024229999996</v>
      </c>
      <c r="J13" s="198">
        <f>IF(Utilidad!$F$46&gt;1,Utilidad!F10/100,Utilidad!F10)</f>
        <v>0.35954999999999998</v>
      </c>
      <c r="L13" s="206">
        <f t="shared" si="1"/>
        <v>0</v>
      </c>
      <c r="M13" s="206">
        <f t="shared" si="2"/>
        <v>1.9243898108108021E-2</v>
      </c>
      <c r="N13" s="206">
        <f t="shared" si="3"/>
        <v>2.0000000000000004E-2</v>
      </c>
      <c r="P13" s="198">
        <f t="shared" si="4"/>
        <v>0</v>
      </c>
      <c r="Q13" s="198">
        <f t="shared" si="5"/>
        <v>1.9243898108108021E-2</v>
      </c>
      <c r="R13" s="198">
        <f t="shared" si="6"/>
        <v>2.0000000000000004E-2</v>
      </c>
      <c r="T13" s="330" t="str">
        <f t="shared" si="7"/>
        <v>SI</v>
      </c>
    </row>
    <row r="14" spans="2:20" ht="21">
      <c r="B14" s="48" t="s">
        <v>10</v>
      </c>
      <c r="C14" s="197">
        <f>Utilidad!A11</f>
        <v>14271</v>
      </c>
      <c r="D14" s="198">
        <f>IF(Utilidad!C$46&gt;1,Utilidad!C11/100,Utilidad!C11)</f>
        <v>0.37</v>
      </c>
      <c r="E14" s="198">
        <f>IF(Utilidad!$E$46&gt;1,Utilidad!E11/100,Utilidad!E11)</f>
        <v>0.35249999999999998</v>
      </c>
      <c r="G14" s="48" t="s">
        <v>10</v>
      </c>
      <c r="H14" s="197">
        <f>Utilidad!B11</f>
        <v>14312.05</v>
      </c>
      <c r="I14" s="198">
        <f>IF(Utilidad!$D$46&gt;1,Utilidad!D11/100,Utilidad!D11)</f>
        <v>0.3837477749</v>
      </c>
      <c r="J14" s="198">
        <f>IF(Utilidad!$F$46&gt;1,Utilidad!F11/100,Utilidad!F11)</f>
        <v>0.36647561449999999</v>
      </c>
      <c r="L14" s="206">
        <f t="shared" si="1"/>
        <v>2.8764627566392875E-3</v>
      </c>
      <c r="M14" s="206">
        <f t="shared" si="2"/>
        <v>3.7156148378378405E-2</v>
      </c>
      <c r="N14" s="206">
        <f t="shared" si="3"/>
        <v>3.9647133333333369E-2</v>
      </c>
      <c r="P14" s="198">
        <f t="shared" si="4"/>
        <v>2.8764627566392875E-3</v>
      </c>
      <c r="Q14" s="198">
        <f t="shared" si="5"/>
        <v>3.7156148378378405E-2</v>
      </c>
      <c r="R14" s="198">
        <f t="shared" si="6"/>
        <v>3.9647133333333369E-2</v>
      </c>
      <c r="T14" s="330" t="str">
        <f t="shared" si="7"/>
        <v>SI</v>
      </c>
    </row>
    <row r="15" spans="2:20" ht="21">
      <c r="B15" s="48" t="s">
        <v>11</v>
      </c>
      <c r="C15" s="197">
        <f>Utilidad!A12</f>
        <v>4105</v>
      </c>
      <c r="D15" s="198">
        <f>IF(Utilidad!C$46&gt;1,Utilidad!C12/100,Utilidad!C12)</f>
        <v>0.36099999999999999</v>
      </c>
      <c r="E15" s="198">
        <f>IF(Utilidad!$E$46&gt;1,Utilidad!E12/100,Utilidad!E12)</f>
        <v>0.34200000000000003</v>
      </c>
      <c r="G15" s="48" t="s">
        <v>11</v>
      </c>
      <c r="H15" s="197">
        <f>Utilidad!B12</f>
        <v>4063.95</v>
      </c>
      <c r="I15" s="198">
        <f>IF(Utilidad!$D$46&gt;1,Utilidad!D12/100,Utilidad!D12)</f>
        <v>0.35377999999999998</v>
      </c>
      <c r="J15" s="198">
        <f>IF(Utilidad!$F$46&gt;1,Utilidad!F12/100,Utilidad!F12)</f>
        <v>0.33515999999999996</v>
      </c>
      <c r="L15" s="206">
        <f t="shared" si="1"/>
        <v>-1.0000000000000044E-2</v>
      </c>
      <c r="M15" s="206">
        <f t="shared" si="2"/>
        <v>-2.0000000000000011E-2</v>
      </c>
      <c r="N15" s="206">
        <f t="shared" si="3"/>
        <v>-2.0000000000000198E-2</v>
      </c>
      <c r="P15" s="198">
        <f t="shared" si="4"/>
        <v>1.0000000000000044E-2</v>
      </c>
      <c r="Q15" s="198">
        <f t="shared" si="5"/>
        <v>2.0000000000000011E-2</v>
      </c>
      <c r="R15" s="198">
        <f t="shared" si="6"/>
        <v>2.0000000000000198E-2</v>
      </c>
      <c r="T15" s="330" t="str">
        <f t="shared" si="7"/>
        <v>SI</v>
      </c>
    </row>
    <row r="16" spans="2:20" ht="21">
      <c r="B16" s="48" t="s">
        <v>12</v>
      </c>
      <c r="C16" s="197">
        <f>Utilidad!A13</f>
        <v>3933</v>
      </c>
      <c r="D16" s="198">
        <f>IF(Utilidad!C$46&gt;1,Utilidad!C13/100,Utilidad!C13)</f>
        <v>0.49590000000000001</v>
      </c>
      <c r="E16" s="198">
        <f>IF(Utilidad!$E$46&gt;1,Utilidad!E13/100,Utilidad!E13)</f>
        <v>0.45130000000000003</v>
      </c>
      <c r="G16" s="48" t="s">
        <v>12</v>
      </c>
      <c r="H16" s="197">
        <f>Utilidad!B13</f>
        <v>3933</v>
      </c>
      <c r="I16" s="198">
        <f>IF(Utilidad!$D$46&gt;1,Utilidad!D13/100,Utilidad!D13)</f>
        <v>0.49429762729999999</v>
      </c>
      <c r="J16" s="198">
        <f>IF(Utilidad!$F$46&gt;1,Utilidad!F13/100,Utilidad!F13)</f>
        <v>0.44984174069999999</v>
      </c>
      <c r="L16" s="206">
        <f>+IF(C16&lt;&gt;0,(H16-C16)/C16,ABS(H16-C16))</f>
        <v>0</v>
      </c>
      <c r="M16" s="206">
        <f t="shared" si="2"/>
        <v>-3.2312415809639464E-3</v>
      </c>
      <c r="N16" s="206">
        <f t="shared" si="3"/>
        <v>-3.2312415244849148E-3</v>
      </c>
      <c r="P16" s="198">
        <f t="shared" si="4"/>
        <v>0</v>
      </c>
      <c r="Q16" s="198">
        <f t="shared" si="5"/>
        <v>3.2312415809639464E-3</v>
      </c>
      <c r="R16" s="198">
        <f t="shared" si="6"/>
        <v>3.2312415244849148E-3</v>
      </c>
      <c r="T16" s="330" t="str">
        <f t="shared" si="7"/>
        <v>SI</v>
      </c>
    </row>
    <row r="17" spans="2:20" ht="21">
      <c r="B17" s="48" t="s">
        <v>13</v>
      </c>
      <c r="C17" s="197">
        <f>Utilidad!A14</f>
        <v>2933</v>
      </c>
      <c r="D17" s="198">
        <f>IF(Utilidad!C$46&gt;1,Utilidad!C14/100,Utilidad!C14)</f>
        <v>0.49590000000000001</v>
      </c>
      <c r="E17" s="198">
        <f>IF(Utilidad!$E$46&gt;1,Utilidad!E14/100,Utilidad!E14)</f>
        <v>0.45130000000000003</v>
      </c>
      <c r="G17" s="48" t="s">
        <v>13</v>
      </c>
      <c r="H17" s="197">
        <f>Utilidad!B14</f>
        <v>2943</v>
      </c>
      <c r="I17" s="198">
        <f>IF(Utilidad!$D$46&gt;1,Utilidad!D14/100,Utilidad!D14)</f>
        <v>0.49709493309999997</v>
      </c>
      <c r="J17" s="198">
        <f>IF(Utilidad!$F$46&gt;1,Utilidad!F14/100,Utilidad!F14)</f>
        <v>0.45238746390000001</v>
      </c>
      <c r="L17" s="206">
        <f t="shared" si="1"/>
        <v>3.4094783498124785E-3</v>
      </c>
      <c r="M17" s="206">
        <f t="shared" si="2"/>
        <v>2.4096251260333976E-3</v>
      </c>
      <c r="N17" s="206">
        <f t="shared" si="3"/>
        <v>2.4096253046753248E-3</v>
      </c>
      <c r="P17" s="198">
        <f t="shared" si="4"/>
        <v>3.4094783498124785E-3</v>
      </c>
      <c r="Q17" s="198">
        <f t="shared" si="5"/>
        <v>2.4096251260333976E-3</v>
      </c>
      <c r="R17" s="198">
        <f t="shared" si="6"/>
        <v>2.4096253046753248E-3</v>
      </c>
      <c r="T17" s="330" t="str">
        <f t="shared" si="7"/>
        <v>SI</v>
      </c>
    </row>
    <row r="18" spans="2:20" ht="21">
      <c r="B18" s="48" t="s">
        <v>14</v>
      </c>
      <c r="C18" s="197">
        <f>Utilidad!A15</f>
        <v>1000</v>
      </c>
      <c r="D18" s="198">
        <f>IF(Utilidad!C$46&gt;1,Utilidad!C15/100,Utilidad!C15)</f>
        <v>0.49590000000000001</v>
      </c>
      <c r="E18" s="198">
        <f>IF(Utilidad!$E$46&gt;1,Utilidad!E15/100,Utilidad!E15)</f>
        <v>0.45130000000000003</v>
      </c>
      <c r="G18" s="48" t="s">
        <v>14</v>
      </c>
      <c r="H18" s="197">
        <f>Utilidad!B15</f>
        <v>990</v>
      </c>
      <c r="I18" s="198">
        <f>IF(Utilidad!$D$46&gt;1,Utilidad!D15/100,Utilidad!D15)</f>
        <v>0.48598199999999997</v>
      </c>
      <c r="J18" s="198">
        <f>IF(Utilidad!$F$46&gt;1,Utilidad!F15/100,Utilidad!F15)</f>
        <v>0.44227400000000006</v>
      </c>
      <c r="L18" s="206">
        <f t="shared" si="1"/>
        <v>-0.01</v>
      </c>
      <c r="M18" s="206">
        <f t="shared" si="2"/>
        <v>-2.0000000000000077E-2</v>
      </c>
      <c r="N18" s="206">
        <f t="shared" si="3"/>
        <v>-1.9999999999999952E-2</v>
      </c>
      <c r="P18" s="198">
        <f t="shared" si="4"/>
        <v>0.01</v>
      </c>
      <c r="Q18" s="198">
        <f t="shared" si="5"/>
        <v>2.0000000000000077E-2</v>
      </c>
      <c r="R18" s="198">
        <f t="shared" si="6"/>
        <v>1.9999999999999952E-2</v>
      </c>
      <c r="T18" s="330" t="str">
        <f t="shared" si="7"/>
        <v>SI</v>
      </c>
    </row>
    <row r="19" spans="2:20" ht="21">
      <c r="B19" s="48" t="s">
        <v>47</v>
      </c>
      <c r="C19" s="197">
        <f>Utilidad!A16</f>
        <v>750</v>
      </c>
      <c r="D19" s="198">
        <f>IF(Utilidad!C$46&gt;1,Utilidad!C16/100,Utilidad!C16)</f>
        <v>0.42310000000000003</v>
      </c>
      <c r="E19" s="198">
        <f>IF(Utilidad!$E$46&gt;1,Utilidad!E16/100,Utilidad!E16)</f>
        <v>0.37959999999999999</v>
      </c>
      <c r="G19" s="48" t="s">
        <v>47</v>
      </c>
      <c r="H19" s="197">
        <f>Utilidad!B16</f>
        <v>750</v>
      </c>
      <c r="I19" s="198">
        <f>IF(Utilidad!$D$46&gt;1,Utilidad!D16/100,Utilidad!D16)</f>
        <v>0.41463800000000001</v>
      </c>
      <c r="J19" s="198">
        <f>IF(Utilidad!$F$46&gt;1,Utilidad!F16/100,Utilidad!F16)</f>
        <v>0.37200800000000001</v>
      </c>
      <c r="L19" s="206">
        <f t="shared" si="1"/>
        <v>0</v>
      </c>
      <c r="M19" s="206">
        <f t="shared" si="2"/>
        <v>-2.0000000000000059E-2</v>
      </c>
      <c r="N19" s="206">
        <f t="shared" si="3"/>
        <v>-1.9999999999999969E-2</v>
      </c>
      <c r="P19" s="198">
        <f t="shared" si="4"/>
        <v>0</v>
      </c>
      <c r="Q19" s="198">
        <f t="shared" si="5"/>
        <v>2.0000000000000059E-2</v>
      </c>
      <c r="R19" s="198">
        <f t="shared" si="6"/>
        <v>1.9999999999999969E-2</v>
      </c>
      <c r="T19" s="330" t="str">
        <f t="shared" si="7"/>
        <v>SI</v>
      </c>
    </row>
    <row r="20" spans="2:20" ht="21">
      <c r="B20" s="48" t="s">
        <v>48</v>
      </c>
      <c r="C20" s="197">
        <f>Utilidad!A17</f>
        <v>-250</v>
      </c>
      <c r="D20" s="198">
        <f>IF(Utilidad!C$46&gt;1,Utilidad!C17/100,Utilidad!C17)</f>
        <v>0.42310000000000003</v>
      </c>
      <c r="E20" s="198">
        <f>IF(Utilidad!$E$46&gt;1,Utilidad!E17/100,Utilidad!E17)</f>
        <v>0.37959999999999999</v>
      </c>
      <c r="G20" s="48" t="s">
        <v>48</v>
      </c>
      <c r="H20" s="197">
        <f>Utilidad!B17</f>
        <v>-240</v>
      </c>
      <c r="I20" s="198">
        <f>IF(Utilidad!$D$46&gt;1,Utilidad!D17/100,Utilidad!D17)</f>
        <v>0.41463800000000001</v>
      </c>
      <c r="J20" s="198">
        <f>IF(Utilidad!$F$46&gt;1,Utilidad!F17/100,Utilidad!F17)</f>
        <v>0.37200800000000001</v>
      </c>
      <c r="L20" s="206">
        <f t="shared" si="1"/>
        <v>-0.04</v>
      </c>
      <c r="M20" s="206">
        <f t="shared" si="2"/>
        <v>-2.0000000000000059E-2</v>
      </c>
      <c r="N20" s="206">
        <f t="shared" si="3"/>
        <v>-1.9999999999999969E-2</v>
      </c>
      <c r="P20" s="198">
        <f t="shared" si="4"/>
        <v>0.04</v>
      </c>
      <c r="Q20" s="198">
        <f t="shared" si="5"/>
        <v>2.0000000000000059E-2</v>
      </c>
      <c r="R20" s="198">
        <f t="shared" si="6"/>
        <v>1.9999999999999969E-2</v>
      </c>
      <c r="T20" s="330" t="str">
        <f t="shared" si="7"/>
        <v>SI</v>
      </c>
    </row>
    <row r="21" spans="2:20" ht="21">
      <c r="B21" s="48" t="s">
        <v>49</v>
      </c>
      <c r="C21" s="197">
        <f>Utilidad!A18</f>
        <v>1000</v>
      </c>
      <c r="D21" s="198">
        <f>IF(Utilidad!C$46&gt;1,Utilidad!C18/100,Utilidad!C18)</f>
        <v>0.42310000000000003</v>
      </c>
      <c r="E21" s="198">
        <f>IF(Utilidad!$E$46&gt;1,Utilidad!E18/100,Utilidad!E18)</f>
        <v>0.37959999999999999</v>
      </c>
      <c r="G21" s="48" t="s">
        <v>49</v>
      </c>
      <c r="H21" s="197">
        <f>Utilidad!B18</f>
        <v>990</v>
      </c>
      <c r="I21" s="198">
        <f>IF(Utilidad!$D$46&gt;1,Utilidad!D18/100,Utilidad!D18)</f>
        <v>0.41463800000000001</v>
      </c>
      <c r="J21" s="198">
        <f>IF(Utilidad!$F$46&gt;1,Utilidad!F18/100,Utilidad!F18)</f>
        <v>0.37200800000000001</v>
      </c>
      <c r="L21" s="206">
        <f t="shared" si="1"/>
        <v>-0.01</v>
      </c>
      <c r="M21" s="206">
        <f t="shared" si="2"/>
        <v>-2.0000000000000059E-2</v>
      </c>
      <c r="N21" s="206">
        <f t="shared" si="3"/>
        <v>-1.9999999999999969E-2</v>
      </c>
      <c r="P21" s="198">
        <f t="shared" si="4"/>
        <v>0.01</v>
      </c>
      <c r="Q21" s="198">
        <f t="shared" si="5"/>
        <v>2.0000000000000059E-2</v>
      </c>
      <c r="R21" s="198">
        <f t="shared" si="6"/>
        <v>1.9999999999999969E-2</v>
      </c>
      <c r="T21" s="330" t="str">
        <f t="shared" si="7"/>
        <v>SI</v>
      </c>
    </row>
    <row r="22" spans="2:20" ht="21">
      <c r="B22" s="48" t="s">
        <v>52</v>
      </c>
      <c r="C22" s="197">
        <f>Utilidad!A19</f>
        <v>0</v>
      </c>
      <c r="D22" s="198">
        <f>IF(Utilidad!C$46&gt;1,Utilidad!C19/100,Utilidad!C19)</f>
        <v>0</v>
      </c>
      <c r="E22" s="198">
        <f>IF(Utilidad!$E$46&gt;1,Utilidad!E19/100,Utilidad!E19)</f>
        <v>0</v>
      </c>
      <c r="G22" s="48" t="s">
        <v>52</v>
      </c>
      <c r="H22" s="197">
        <f>Utilidad!B19</f>
        <v>0</v>
      </c>
      <c r="I22" s="198">
        <f>IF(Utilidad!$D$46&gt;1,Utilidad!D19/100,Utilidad!D19)</f>
        <v>0</v>
      </c>
      <c r="J22" s="198">
        <f>IF(Utilidad!$F$46&gt;1,Utilidad!F19/100,Utilidad!F19)</f>
        <v>0</v>
      </c>
      <c r="L22" s="206">
        <f t="shared" si="1"/>
        <v>0</v>
      </c>
      <c r="M22" s="206">
        <f t="shared" si="2"/>
        <v>0</v>
      </c>
      <c r="N22" s="206">
        <f t="shared" si="3"/>
        <v>0</v>
      </c>
      <c r="P22" s="198">
        <f t="shared" si="4"/>
        <v>0</v>
      </c>
      <c r="Q22" s="198">
        <f t="shared" si="5"/>
        <v>0</v>
      </c>
      <c r="R22" s="198">
        <f t="shared" si="6"/>
        <v>0</v>
      </c>
      <c r="T22" s="330" t="str">
        <f t="shared" si="7"/>
        <v>SI</v>
      </c>
    </row>
    <row r="23" spans="2:20" ht="21">
      <c r="B23" s="48" t="s">
        <v>53</v>
      </c>
      <c r="C23" s="197">
        <f>Utilidad!A20</f>
        <v>0</v>
      </c>
      <c r="D23" s="198">
        <f>IF(Utilidad!C$46&gt;1,Utilidad!C20/100,Utilidad!C20)</f>
        <v>0</v>
      </c>
      <c r="E23" s="198">
        <f>IF(Utilidad!$E$46&gt;1,Utilidad!E20/100,Utilidad!E20)</f>
        <v>0</v>
      </c>
      <c r="G23" s="48" t="s">
        <v>53</v>
      </c>
      <c r="H23" s="197">
        <f>Utilidad!B20</f>
        <v>0</v>
      </c>
      <c r="I23" s="198">
        <f>IF(Utilidad!$D$46&gt;1,Utilidad!D20/100,Utilidad!D20)</f>
        <v>0</v>
      </c>
      <c r="J23" s="198">
        <f>IF(Utilidad!$F$46&gt;1,Utilidad!F20/100,Utilidad!F20)</f>
        <v>0</v>
      </c>
      <c r="L23" s="206">
        <f t="shared" si="1"/>
        <v>0</v>
      </c>
      <c r="M23" s="206">
        <f t="shared" si="2"/>
        <v>0</v>
      </c>
      <c r="N23" s="206">
        <f t="shared" si="3"/>
        <v>0</v>
      </c>
      <c r="P23" s="198">
        <f t="shared" si="4"/>
        <v>0</v>
      </c>
      <c r="Q23" s="198">
        <f t="shared" si="5"/>
        <v>0</v>
      </c>
      <c r="R23" s="198">
        <f t="shared" si="6"/>
        <v>0</v>
      </c>
      <c r="T23" s="330" t="str">
        <f t="shared" si="7"/>
        <v>SI</v>
      </c>
    </row>
    <row r="24" spans="2:20" ht="21">
      <c r="B24" s="48" t="s">
        <v>54</v>
      </c>
      <c r="C24" s="197">
        <f>Utilidad!A21</f>
        <v>0</v>
      </c>
      <c r="D24" s="198">
        <f>IF(Utilidad!C$46&gt;1,Utilidad!C21/100,Utilidad!C21)</f>
        <v>0</v>
      </c>
      <c r="E24" s="198">
        <f>IF(Utilidad!$E$46&gt;1,Utilidad!E21/100,Utilidad!E21)</f>
        <v>0</v>
      </c>
      <c r="G24" s="48" t="s">
        <v>54</v>
      </c>
      <c r="H24" s="197">
        <f>Utilidad!B21</f>
        <v>0</v>
      </c>
      <c r="I24" s="198">
        <f>IF(Utilidad!$D$46&gt;1,Utilidad!D21/100,Utilidad!D21)</f>
        <v>0</v>
      </c>
      <c r="J24" s="198">
        <f>IF(Utilidad!$F$46&gt;1,Utilidad!F21/100,Utilidad!F21)</f>
        <v>0</v>
      </c>
      <c r="L24" s="206">
        <f t="shared" si="1"/>
        <v>0</v>
      </c>
      <c r="M24" s="206">
        <f t="shared" si="2"/>
        <v>0</v>
      </c>
      <c r="N24" s="206">
        <f t="shared" si="3"/>
        <v>0</v>
      </c>
      <c r="P24" s="198">
        <f t="shared" si="4"/>
        <v>0</v>
      </c>
      <c r="Q24" s="198">
        <f t="shared" si="5"/>
        <v>0</v>
      </c>
      <c r="R24" s="198">
        <f t="shared" si="6"/>
        <v>0</v>
      </c>
      <c r="T24" s="330" t="str">
        <f t="shared" si="7"/>
        <v>SI</v>
      </c>
    </row>
    <row r="25" spans="2:20" ht="21">
      <c r="B25" s="48" t="s">
        <v>55</v>
      </c>
      <c r="C25" s="197">
        <f>Utilidad!A22</f>
        <v>2413</v>
      </c>
      <c r="D25" s="198">
        <f>IF(Utilidad!C$46&gt;1,Utilidad!C22/100,Utilidad!C22)</f>
        <v>0.54689999999999994</v>
      </c>
      <c r="E25" s="198">
        <f>IF(Utilidad!$E$46&gt;1,Utilidad!E22/100,Utilidad!E22)</f>
        <v>0.52139999999999997</v>
      </c>
      <c r="G25" s="48" t="s">
        <v>55</v>
      </c>
      <c r="H25" s="197">
        <f>Utilidad!B22</f>
        <v>2413</v>
      </c>
      <c r="I25" s="198">
        <f>IF(Utilidad!$D$46&gt;1,Utilidad!D22/100,Utilidad!D22)</f>
        <v>0.54689999999999994</v>
      </c>
      <c r="J25" s="198">
        <f>IF(Utilidad!$F$46&gt;1,Utilidad!F22/100,Utilidad!F22)</f>
        <v>0.52139999999999997</v>
      </c>
      <c r="L25" s="206">
        <f t="shared" si="1"/>
        <v>0</v>
      </c>
      <c r="M25" s="206">
        <f t="shared" si="2"/>
        <v>0</v>
      </c>
      <c r="N25" s="206">
        <f t="shared" si="3"/>
        <v>0</v>
      </c>
      <c r="P25" s="198">
        <f t="shared" si="4"/>
        <v>0</v>
      </c>
      <c r="Q25" s="198">
        <f t="shared" si="5"/>
        <v>0</v>
      </c>
      <c r="R25" s="198">
        <f t="shared" si="6"/>
        <v>0</v>
      </c>
      <c r="T25" s="330" t="str">
        <f t="shared" si="7"/>
        <v>SI</v>
      </c>
    </row>
    <row r="26" spans="2:20" ht="21">
      <c r="B26" s="48" t="s">
        <v>56</v>
      </c>
      <c r="C26" s="197">
        <f>Utilidad!A23</f>
        <v>2413</v>
      </c>
      <c r="D26" s="198">
        <f>IF(Utilidad!C$46&gt;1,Utilidad!C23/100,Utilidad!C23)</f>
        <v>0.54689999999999994</v>
      </c>
      <c r="E26" s="198">
        <f>IF(Utilidad!$E$46&gt;1,Utilidad!E23/100,Utilidad!E23)</f>
        <v>0.52139999999999997</v>
      </c>
      <c r="G26" s="48" t="s">
        <v>56</v>
      </c>
      <c r="H26" s="197">
        <f>Utilidad!B23</f>
        <v>2413</v>
      </c>
      <c r="I26" s="198">
        <f>IF(Utilidad!$D$46&gt;1,Utilidad!D23/100,Utilidad!D23)</f>
        <v>0.54689999999999994</v>
      </c>
      <c r="J26" s="198">
        <f>IF(Utilidad!$F$46&gt;1,Utilidad!F23/100,Utilidad!F23)</f>
        <v>0.52139999999999997</v>
      </c>
      <c r="L26" s="206">
        <f t="shared" si="1"/>
        <v>0</v>
      </c>
      <c r="M26" s="206">
        <f t="shared" si="2"/>
        <v>0</v>
      </c>
      <c r="N26" s="206">
        <f t="shared" si="3"/>
        <v>0</v>
      </c>
      <c r="P26" s="198">
        <f t="shared" si="4"/>
        <v>0</v>
      </c>
      <c r="Q26" s="198">
        <f t="shared" si="5"/>
        <v>0</v>
      </c>
      <c r="R26" s="198">
        <f t="shared" si="6"/>
        <v>0</v>
      </c>
      <c r="T26" s="330" t="str">
        <f t="shared" si="7"/>
        <v>SI</v>
      </c>
    </row>
    <row r="27" spans="2:20" ht="21">
      <c r="B27" s="48" t="s">
        <v>57</v>
      </c>
      <c r="C27" s="197">
        <f>Utilidad!A24</f>
        <v>0</v>
      </c>
      <c r="D27" s="198">
        <f>IF(Utilidad!C$46&gt;1,Utilidad!C24/100,Utilidad!C24)</f>
        <v>0</v>
      </c>
      <c r="E27" s="198">
        <f>IF(Utilidad!$E$46&gt;1,Utilidad!E24/100,Utilidad!E24)</f>
        <v>0</v>
      </c>
      <c r="G27" s="48" t="s">
        <v>57</v>
      </c>
      <c r="H27" s="197">
        <f>Utilidad!B24</f>
        <v>0</v>
      </c>
      <c r="I27" s="198">
        <f>IF(Utilidad!$D$46&gt;1,Utilidad!D24/100,Utilidad!D24)</f>
        <v>0</v>
      </c>
      <c r="J27" s="198">
        <f>IF(Utilidad!$F$46&gt;1,Utilidad!F24/100,Utilidad!F24)</f>
        <v>0</v>
      </c>
      <c r="L27" s="206">
        <f t="shared" si="1"/>
        <v>0</v>
      </c>
      <c r="M27" s="206">
        <f t="shared" si="2"/>
        <v>0</v>
      </c>
      <c r="N27" s="206">
        <f t="shared" si="3"/>
        <v>0</v>
      </c>
      <c r="P27" s="198">
        <f t="shared" si="4"/>
        <v>0</v>
      </c>
      <c r="Q27" s="198">
        <f t="shared" si="5"/>
        <v>0</v>
      </c>
      <c r="R27" s="198">
        <f t="shared" si="6"/>
        <v>0</v>
      </c>
      <c r="T27" s="330" t="str">
        <f t="shared" si="7"/>
        <v>SI</v>
      </c>
    </row>
    <row r="28" spans="2:20" ht="21">
      <c r="B28" s="48" t="s">
        <v>34</v>
      </c>
      <c r="C28" s="197">
        <f>Utilidad!A25</f>
        <v>0</v>
      </c>
      <c r="D28" s="198">
        <f>IF(Utilidad!C$46&gt;1,Utilidad!C25/100,Utilidad!C25)</f>
        <v>0</v>
      </c>
      <c r="E28" s="198">
        <f>IF(Utilidad!$E$46&gt;1,Utilidad!E25/100,Utilidad!E25)</f>
        <v>0</v>
      </c>
      <c r="G28" s="48" t="s">
        <v>34</v>
      </c>
      <c r="H28" s="197">
        <f>Utilidad!B25</f>
        <v>0</v>
      </c>
      <c r="I28" s="198">
        <f>IF(Utilidad!$D$46&gt;1,Utilidad!D25/100,Utilidad!D25)</f>
        <v>0</v>
      </c>
      <c r="J28" s="198">
        <f>IF(Utilidad!$F$46&gt;1,Utilidad!F25/100,Utilidad!F25)</f>
        <v>0</v>
      </c>
      <c r="L28" s="206">
        <f t="shared" si="1"/>
        <v>0</v>
      </c>
      <c r="M28" s="206">
        <f t="shared" si="2"/>
        <v>0</v>
      </c>
      <c r="N28" s="206">
        <f t="shared" si="3"/>
        <v>0</v>
      </c>
      <c r="P28" s="198">
        <f t="shared" si="4"/>
        <v>0</v>
      </c>
      <c r="Q28" s="198">
        <f t="shared" si="5"/>
        <v>0</v>
      </c>
      <c r="R28" s="198">
        <f t="shared" si="6"/>
        <v>0</v>
      </c>
      <c r="T28" s="330" t="str">
        <f t="shared" si="7"/>
        <v>SI</v>
      </c>
    </row>
    <row r="29" spans="2:20" ht="21">
      <c r="B29" s="48" t="s">
        <v>15</v>
      </c>
      <c r="C29" s="197">
        <f>Utilidad!A26</f>
        <v>0</v>
      </c>
      <c r="D29" s="198">
        <f>IF(Utilidad!C$46&gt;1,Utilidad!C26/100,Utilidad!C26)</f>
        <v>0</v>
      </c>
      <c r="E29" s="198">
        <f>IF(Utilidad!$E$46&gt;1,Utilidad!E26/100,Utilidad!E26)</f>
        <v>0</v>
      </c>
      <c r="G29" s="48" t="s">
        <v>15</v>
      </c>
      <c r="H29" s="197">
        <f>Utilidad!B26</f>
        <v>0</v>
      </c>
      <c r="I29" s="198">
        <f>IF(Utilidad!$D$46&gt;1,Utilidad!D26/100,Utilidad!D26)</f>
        <v>0</v>
      </c>
      <c r="J29" s="198">
        <f>IF(Utilidad!$F$46&gt;1,Utilidad!F26/100,Utilidad!F26)</f>
        <v>0</v>
      </c>
      <c r="L29" s="206">
        <f t="shared" si="1"/>
        <v>0</v>
      </c>
      <c r="M29" s="206">
        <f t="shared" si="2"/>
        <v>0</v>
      </c>
      <c r="N29" s="206">
        <f t="shared" si="3"/>
        <v>0</v>
      </c>
      <c r="P29" s="198">
        <f t="shared" si="4"/>
        <v>0</v>
      </c>
      <c r="Q29" s="198">
        <f t="shared" si="5"/>
        <v>0</v>
      </c>
      <c r="R29" s="198">
        <f t="shared" si="6"/>
        <v>0</v>
      </c>
      <c r="T29" s="330" t="str">
        <f t="shared" si="7"/>
        <v>SI</v>
      </c>
    </row>
    <row r="30" spans="2:20" ht="21">
      <c r="B30" s="48" t="s">
        <v>16</v>
      </c>
      <c r="C30" s="197">
        <f>Utilidad!A27</f>
        <v>0</v>
      </c>
      <c r="D30" s="198">
        <f>IF(Utilidad!C$46&gt;1,Utilidad!C27/100,Utilidad!C27)</f>
        <v>0</v>
      </c>
      <c r="E30" s="198">
        <f>IF(Utilidad!$E$46&gt;1,Utilidad!E27/100,Utilidad!E27)</f>
        <v>0</v>
      </c>
      <c r="G30" s="48" t="s">
        <v>16</v>
      </c>
      <c r="H30" s="197">
        <f>Utilidad!B27</f>
        <v>0</v>
      </c>
      <c r="I30" s="198">
        <f>IF(Utilidad!$D$46&gt;1,Utilidad!D27/100,Utilidad!D27)</f>
        <v>0</v>
      </c>
      <c r="J30" s="198">
        <f>IF(Utilidad!$F$46&gt;1,Utilidad!F27/100,Utilidad!F27)</f>
        <v>0</v>
      </c>
      <c r="L30" s="206">
        <f t="shared" si="1"/>
        <v>0</v>
      </c>
      <c r="M30" s="206">
        <f t="shared" si="2"/>
        <v>0</v>
      </c>
      <c r="N30" s="206">
        <f t="shared" si="3"/>
        <v>0</v>
      </c>
      <c r="P30" s="198">
        <f t="shared" si="4"/>
        <v>0</v>
      </c>
      <c r="Q30" s="198">
        <f t="shared" si="5"/>
        <v>0</v>
      </c>
      <c r="R30" s="198">
        <f t="shared" si="6"/>
        <v>0</v>
      </c>
      <c r="T30" s="330" t="str">
        <f t="shared" si="7"/>
        <v>SI</v>
      </c>
    </row>
    <row r="31" spans="2:20" ht="21">
      <c r="B31" s="48" t="s">
        <v>17</v>
      </c>
      <c r="C31" s="197">
        <f>Utilidad!A28</f>
        <v>1834605</v>
      </c>
      <c r="D31" s="198">
        <f>IF(Utilidad!C$46&gt;1,Utilidad!C28/100,Utilidad!C28)</f>
        <v>0.15970000000000001</v>
      </c>
      <c r="E31" s="198">
        <f>IF(Utilidad!$E$46&gt;1,Utilidad!E28/100,Utilidad!E28)</f>
        <v>0.11869999999999999</v>
      </c>
      <c r="G31" s="48" t="s">
        <v>17</v>
      </c>
      <c r="H31" s="197">
        <f>Utilidad!B28</f>
        <v>1834605</v>
      </c>
      <c r="I31" s="198">
        <f>IF(Utilidad!$D$46&gt;1,Utilidad!D28/100,Utilidad!D28)</f>
        <v>0.16027230540000001</v>
      </c>
      <c r="J31" s="198">
        <f>IF(Utilidad!$F$46&gt;1,Utilidad!F28/100,Utilidad!F28)</f>
        <v>0.11513899999999999</v>
      </c>
      <c r="L31" s="206">
        <f t="shared" si="1"/>
        <v>0</v>
      </c>
      <c r="M31" s="206">
        <f t="shared" si="2"/>
        <v>3.5836280525986253E-3</v>
      </c>
      <c r="N31" s="206">
        <f t="shared" si="3"/>
        <v>-2.9999999999999961E-2</v>
      </c>
      <c r="P31" s="198">
        <f t="shared" si="4"/>
        <v>0</v>
      </c>
      <c r="Q31" s="198">
        <f t="shared" si="5"/>
        <v>3.5836280525986253E-3</v>
      </c>
      <c r="R31" s="198">
        <f t="shared" si="6"/>
        <v>2.9999999999999961E-2</v>
      </c>
      <c r="T31" s="330" t="str">
        <f t="shared" si="7"/>
        <v>SI</v>
      </c>
    </row>
    <row r="32" spans="2:20" ht="21">
      <c r="B32" s="48" t="s">
        <v>18</v>
      </c>
      <c r="C32" s="197">
        <f>Utilidad!A29</f>
        <v>1061403.523</v>
      </c>
      <c r="D32" s="198">
        <f>IF(Utilidad!C$46&gt;1,Utilidad!C29/100,Utilidad!C29)</f>
        <v>5.2832999999999998E-2</v>
      </c>
      <c r="E32" s="198">
        <f>IF(Utilidad!$E$46&gt;1,Utilidad!E29/100,Utilidad!E29)</f>
        <v>3.333E-3</v>
      </c>
      <c r="G32" s="48" t="s">
        <v>18</v>
      </c>
      <c r="H32" s="197">
        <f>Utilidad!B29</f>
        <v>1072808.24</v>
      </c>
      <c r="I32" s="198">
        <f>IF(Utilidad!$D$46&gt;1,Utilidad!D29/100,Utilidad!D29)</f>
        <v>5.8116300000000003E-2</v>
      </c>
      <c r="J32" s="198">
        <f>IF(Utilidad!$F$46&gt;1,Utilidad!F29/100,Utilidad!F29)</f>
        <v>2.9997000000000001E-3</v>
      </c>
      <c r="L32" s="206">
        <f t="shared" si="1"/>
        <v>1.0744939839435549E-2</v>
      </c>
      <c r="M32" s="206">
        <f t="shared" si="2"/>
        <v>0.10000000000000009</v>
      </c>
      <c r="N32" s="206">
        <f t="shared" si="3"/>
        <v>-9.9999999999999978E-2</v>
      </c>
      <c r="P32" s="198">
        <f t="shared" si="4"/>
        <v>1.0744939839435549E-2</v>
      </c>
      <c r="Q32" s="198">
        <f t="shared" si="5"/>
        <v>0.10000000000000009</v>
      </c>
      <c r="R32" s="198">
        <f t="shared" si="6"/>
        <v>9.9999999999999978E-2</v>
      </c>
      <c r="T32" s="330" t="str">
        <f t="shared" si="7"/>
        <v>SI</v>
      </c>
    </row>
    <row r="33" spans="2:20" ht="21">
      <c r="B33" s="48" t="s">
        <v>19</v>
      </c>
      <c r="C33" s="197">
        <f>Utilidad!A30</f>
        <v>773201.47679999995</v>
      </c>
      <c r="D33" s="198">
        <f>IF(Utilidad!C$46&gt;1,Utilidad!C30/100,Utilidad!C30)</f>
        <v>0.30640000000000001</v>
      </c>
      <c r="E33" s="198">
        <f>IF(Utilidad!$E$46&gt;1,Utilidad!E30/100,Utilidad!E30)</f>
        <v>0.27863299999999996</v>
      </c>
      <c r="G33" s="48" t="s">
        <v>19</v>
      </c>
      <c r="H33" s="197">
        <f>Utilidad!B30</f>
        <v>761796.75970000005</v>
      </c>
      <c r="I33" s="198">
        <f>IF(Utilidad!$D$46&gt;1,Utilidad!D30/100,Utilidad!D30)</f>
        <v>0.30413456649999998</v>
      </c>
      <c r="J33" s="198">
        <f>IF(Utilidad!$F$46&gt;1,Utilidad!F30/100,Utilidad!F30)</f>
        <v>0.27306034000000001</v>
      </c>
      <c r="L33" s="206">
        <f t="shared" si="1"/>
        <v>-1.4749993943622397E-2</v>
      </c>
      <c r="M33" s="206">
        <f t="shared" si="2"/>
        <v>-7.3937124673630053E-3</v>
      </c>
      <c r="N33" s="206">
        <f t="shared" si="3"/>
        <v>-1.9999999999999827E-2</v>
      </c>
      <c r="P33" s="198">
        <f t="shared" si="4"/>
        <v>1.4749993943622397E-2</v>
      </c>
      <c r="Q33" s="198">
        <f t="shared" si="5"/>
        <v>7.3937124673630053E-3</v>
      </c>
      <c r="R33" s="198">
        <f t="shared" si="6"/>
        <v>1.9999999999999827E-2</v>
      </c>
      <c r="T33" s="330" t="str">
        <f t="shared" si="7"/>
        <v>SI</v>
      </c>
    </row>
    <row r="34" spans="2:20" ht="21">
      <c r="B34" s="48" t="s">
        <v>32</v>
      </c>
      <c r="C34" s="197">
        <f>Utilidad!A31</f>
        <v>211423.47229999999</v>
      </c>
      <c r="D34" s="198">
        <f>IF(Utilidad!C$46&gt;1,Utilidad!C31/100,Utilidad!C31)</f>
        <v>5.8282999999999995E-2</v>
      </c>
      <c r="E34" s="198">
        <f>IF(Utilidad!$E$46&gt;1,Utilidad!E31/100,Utilidad!E31)</f>
        <v>2.8499999999999997E-3</v>
      </c>
      <c r="G34" s="48" t="s">
        <v>32</v>
      </c>
      <c r="H34" s="197">
        <f>Utilidad!B31</f>
        <v>203770.97</v>
      </c>
      <c r="I34" s="198">
        <f>IF(Utilidad!$D$46&gt;1,Utilidad!D31/100,Utilidad!D31)</f>
        <v>6.4111299999999996E-2</v>
      </c>
      <c r="J34" s="198">
        <f>IF(Utilidad!$F$46&gt;1,Utilidad!F31/100,Utilidad!F31)</f>
        <v>2.565E-3</v>
      </c>
      <c r="L34" s="206">
        <f t="shared" si="1"/>
        <v>-3.6195140571437835E-2</v>
      </c>
      <c r="M34" s="206">
        <f t="shared" si="2"/>
        <v>0.10000000000000003</v>
      </c>
      <c r="N34" s="206">
        <f t="shared" si="3"/>
        <v>-9.9999999999999895E-2</v>
      </c>
      <c r="P34" s="198">
        <f t="shared" si="4"/>
        <v>3.6195140571437835E-2</v>
      </c>
      <c r="Q34" s="198">
        <f t="shared" si="5"/>
        <v>0.10000000000000003</v>
      </c>
      <c r="R34" s="198">
        <f t="shared" si="6"/>
        <v>9.9999999999999895E-2</v>
      </c>
      <c r="T34" s="330" t="str">
        <f t="shared" si="7"/>
        <v>SI</v>
      </c>
    </row>
    <row r="35" spans="2:20" ht="21">
      <c r="B35" s="48" t="s">
        <v>33</v>
      </c>
      <c r="C35" s="197">
        <f>Utilidad!A32</f>
        <v>561778.00459999999</v>
      </c>
      <c r="D35" s="198">
        <f>IF(Utilidad!C$46&gt;1,Utilidad!C32/100,Utilidad!C32)</f>
        <v>0.39977800000000002</v>
      </c>
      <c r="E35" s="198">
        <f>IF(Utilidad!$E$46&gt;1,Utilidad!E32/100,Utilidad!E32)</f>
        <v>0.37942399999999998</v>
      </c>
      <c r="G35" s="48" t="s">
        <v>33</v>
      </c>
      <c r="H35" s="197">
        <f>Utilidad!B32</f>
        <v>558025.78969999996</v>
      </c>
      <c r="I35" s="198">
        <f>IF(Utilidad!$D$46&gt;1,Utilidad!D32/100,Utilidad!D32)</f>
        <v>0.39178244000000001</v>
      </c>
      <c r="J35" s="198">
        <f>IF(Utilidad!$F$46&gt;1,Utilidad!F32/100,Utilidad!F32)</f>
        <v>0.37183551999999997</v>
      </c>
      <c r="L35" s="206">
        <f t="shared" si="1"/>
        <v>-6.679177307185054E-3</v>
      </c>
      <c r="M35" s="206">
        <f t="shared" si="2"/>
        <v>-2.0000000000000032E-2</v>
      </c>
      <c r="N35" s="206">
        <f t="shared" si="3"/>
        <v>-2.0000000000000025E-2</v>
      </c>
      <c r="P35" s="198">
        <f t="shared" si="4"/>
        <v>6.679177307185054E-3</v>
      </c>
      <c r="Q35" s="198">
        <f t="shared" si="5"/>
        <v>2.0000000000000032E-2</v>
      </c>
      <c r="R35" s="198">
        <f t="shared" si="6"/>
        <v>2.0000000000000025E-2</v>
      </c>
      <c r="T35" s="330" t="str">
        <f t="shared" si="7"/>
        <v>SI</v>
      </c>
    </row>
    <row r="36" spans="2:20" ht="21">
      <c r="B36" s="48" t="s">
        <v>44</v>
      </c>
      <c r="C36" s="197">
        <f>Utilidad!A33</f>
        <v>0</v>
      </c>
      <c r="D36" s="198">
        <f>IF(Utilidad!C$46&gt;1,Utilidad!C33/100,Utilidad!C33)</f>
        <v>0</v>
      </c>
      <c r="E36" s="198">
        <f>IF(Utilidad!$E$46&gt;1,Utilidad!E33/100,Utilidad!E33)</f>
        <v>0</v>
      </c>
      <c r="G36" s="48" t="s">
        <v>44</v>
      </c>
      <c r="H36" s="197">
        <f>Utilidad!B33</f>
        <v>0</v>
      </c>
      <c r="I36" s="198">
        <f>IF(Utilidad!$D$46&gt;1,Utilidad!D33/100,Utilidad!D33)</f>
        <v>0</v>
      </c>
      <c r="J36" s="198">
        <f>IF(Utilidad!$F$46&gt;1,Utilidad!F33/100,Utilidad!F33)</f>
        <v>0</v>
      </c>
      <c r="L36" s="206">
        <f t="shared" si="1"/>
        <v>0</v>
      </c>
      <c r="M36" s="206">
        <f t="shared" si="2"/>
        <v>0</v>
      </c>
      <c r="N36" s="206">
        <f t="shared" si="3"/>
        <v>0</v>
      </c>
      <c r="P36" s="198">
        <f t="shared" si="4"/>
        <v>0</v>
      </c>
      <c r="Q36" s="198">
        <f t="shared" si="5"/>
        <v>0</v>
      </c>
      <c r="R36" s="198">
        <f t="shared" si="6"/>
        <v>0</v>
      </c>
      <c r="T36" s="330" t="str">
        <f t="shared" si="7"/>
        <v>SI</v>
      </c>
    </row>
    <row r="37" spans="2:20" ht="40">
      <c r="B37" s="49" t="s">
        <v>20</v>
      </c>
      <c r="C37" s="197">
        <f>Utilidad!A34</f>
        <v>18407</v>
      </c>
      <c r="D37" s="198">
        <f>IF(Utilidad!C$46&gt;1,Utilidad!C34/100,Utilidad!C34)</f>
        <v>0.47082999999999997</v>
      </c>
      <c r="E37" s="198">
        <f>IF(Utilidad!$E$46&gt;1,Utilidad!E34/100,Utilidad!E34)</f>
        <v>0.45084400000000002</v>
      </c>
      <c r="G37" s="49" t="s">
        <v>20</v>
      </c>
      <c r="H37" s="197">
        <f>Utilidad!B34</f>
        <v>18222.93</v>
      </c>
      <c r="I37" s="198">
        <f>IF(Utilidad!$D$46&gt;1,Utilidad!D34/100,Utilidad!D34)</f>
        <v>0.46141361779999995</v>
      </c>
      <c r="J37" s="198">
        <f>IF(Utilidad!$F$46&gt;1,Utilidad!F34/100,Utilidad!F34)</f>
        <v>0.44182674159999996</v>
      </c>
      <c r="L37" s="206">
        <f t="shared" si="1"/>
        <v>-9.9999999999999846E-3</v>
      </c>
      <c r="M37" s="206">
        <f t="shared" si="2"/>
        <v>-1.9999537412654287E-2</v>
      </c>
      <c r="N37" s="206">
        <f t="shared" si="3"/>
        <v>-2.0000839314707662E-2</v>
      </c>
      <c r="P37" s="198">
        <f t="shared" si="4"/>
        <v>9.9999999999999846E-3</v>
      </c>
      <c r="Q37" s="198">
        <f t="shared" si="5"/>
        <v>1.9999537412654287E-2</v>
      </c>
      <c r="R37" s="198">
        <f t="shared" si="6"/>
        <v>2.0000839314707662E-2</v>
      </c>
      <c r="T37" s="330" t="str">
        <f t="shared" si="7"/>
        <v>SI</v>
      </c>
    </row>
    <row r="38" spans="2:20" ht="21">
      <c r="B38" s="49" t="s">
        <v>45</v>
      </c>
      <c r="C38" s="197">
        <f>Utilidad!A35</f>
        <v>565914.00459999999</v>
      </c>
      <c r="D38" s="198">
        <f>IF(Utilidad!C$46&gt;1,Utilidad!C35/100,Utilidad!C35)</f>
        <v>0.36314999999999997</v>
      </c>
      <c r="E38" s="198">
        <f>IF(Utilidad!$E$46&gt;1,Utilidad!E35/100,Utilidad!E35)</f>
        <v>0.34268300000000002</v>
      </c>
      <c r="G38" s="49" t="s">
        <v>45</v>
      </c>
      <c r="H38" s="197">
        <f>Utilidad!B35</f>
        <v>551992.39969999995</v>
      </c>
      <c r="I38" s="198">
        <f>IF(Utilidad!$D$46&gt;1,Utilidad!D35/100,Utilidad!D35)</f>
        <v>0.39471318529999999</v>
      </c>
      <c r="J38" s="198">
        <f>IF(Utilidad!$F$46&gt;1,Utilidad!F35/100,Utilidad!F35)</f>
        <v>0.37468600610000002</v>
      </c>
      <c r="L38" s="206">
        <f t="shared" si="1"/>
        <v>-2.4600212729918428E-2</v>
      </c>
      <c r="M38" s="206">
        <f t="shared" si="2"/>
        <v>8.6915008398733368E-2</v>
      </c>
      <c r="N38" s="206">
        <f t="shared" si="3"/>
        <v>9.3389535226433784E-2</v>
      </c>
      <c r="P38" s="198">
        <f t="shared" si="4"/>
        <v>2.4600212729918428E-2</v>
      </c>
      <c r="Q38" s="198">
        <f t="shared" si="5"/>
        <v>8.6915008398733368E-2</v>
      </c>
      <c r="R38" s="198">
        <f t="shared" si="6"/>
        <v>9.3389535226433784E-2</v>
      </c>
      <c r="T38" s="330" t="str">
        <f t="shared" si="7"/>
        <v>SI</v>
      </c>
    </row>
    <row r="39" spans="2:20" ht="21">
      <c r="B39" s="48" t="s">
        <v>21</v>
      </c>
      <c r="C39" s="197">
        <f>Utilidad!A36</f>
        <v>139295.21220000001</v>
      </c>
      <c r="D39" s="198">
        <f>IF(Utilidad!C$46&gt;1,Utilidad!C36/100,Utilidad!C36)</f>
        <v>5.2949999999999997E-2</v>
      </c>
      <c r="E39" s="198">
        <f>IF(Utilidad!$E$46&gt;1,Utilidad!E36/100,Utilidad!E36)</f>
        <v>6.0000000000000001E-3</v>
      </c>
      <c r="G39" s="48" t="s">
        <v>21</v>
      </c>
      <c r="H39" s="197">
        <f>Utilidad!B36</f>
        <v>86767.938760000005</v>
      </c>
      <c r="I39" s="198">
        <f>IF(Utilidad!$D$46&gt;1,Utilidad!D36/100,Utilidad!D36)</f>
        <v>5.2011392799999993E-2</v>
      </c>
      <c r="J39" s="198">
        <f>IF(Utilidad!$F$46&gt;1,Utilidad!F36/100,Utilidad!F36)</f>
        <v>6.6043052570000007E-3</v>
      </c>
      <c r="L39" s="206">
        <f t="shared" si="1"/>
        <v>-0.37709317219447119</v>
      </c>
      <c r="M39" s="206">
        <f t="shared" si="2"/>
        <v>-1.7726292728989682E-2</v>
      </c>
      <c r="N39" s="206">
        <f t="shared" si="3"/>
        <v>0.10071754283333342</v>
      </c>
      <c r="P39" s="198">
        <f t="shared" si="4"/>
        <v>0.37709317219447119</v>
      </c>
      <c r="Q39" s="198">
        <f t="shared" si="5"/>
        <v>1.7726292728989682E-2</v>
      </c>
      <c r="R39" s="198">
        <f t="shared" si="6"/>
        <v>0.10071754283333342</v>
      </c>
      <c r="T39" s="330" t="str">
        <f t="shared" si="7"/>
        <v>SI</v>
      </c>
    </row>
    <row r="40" spans="2:20" ht="21">
      <c r="B40" s="48" t="s">
        <v>22</v>
      </c>
      <c r="C40" s="197">
        <f>Utilidad!A37</f>
        <v>426618.79239999998</v>
      </c>
      <c r="D40" s="198">
        <f>IF(Utilidad!C$46&gt;1,Utilidad!C37/100,Utilidad!C37)</f>
        <v>0.46443299999999998</v>
      </c>
      <c r="E40" s="198">
        <f>IF(Utilidad!$E$46&gt;1,Utilidad!E37/100,Utilidad!E37)</f>
        <v>0.44986700000000002</v>
      </c>
      <c r="G40" s="48" t="s">
        <v>22</v>
      </c>
      <c r="H40" s="197">
        <f>Utilidad!B37</f>
        <v>471104.78090000001</v>
      </c>
      <c r="I40" s="198">
        <f>IF(Utilidad!$D$46&gt;1,Utilidad!D37/100,Utilidad!D37)</f>
        <v>0.45762670929999999</v>
      </c>
      <c r="J40" s="198">
        <f>IF(Utilidad!$F$46&gt;1,Utilidad!F37/100,Utilidad!F37)</f>
        <v>0.44229025720000004</v>
      </c>
      <c r="L40" s="206">
        <f t="shared" si="1"/>
        <v>0.10427573583840101</v>
      </c>
      <c r="M40" s="206">
        <f t="shared" si="2"/>
        <v>-1.465505401209646E-2</v>
      </c>
      <c r="N40" s="206">
        <f t="shared" si="3"/>
        <v>-1.6842184023277945E-2</v>
      </c>
      <c r="P40" s="198">
        <f t="shared" si="4"/>
        <v>0.10427573583840101</v>
      </c>
      <c r="Q40" s="198">
        <f t="shared" si="5"/>
        <v>1.465505401209646E-2</v>
      </c>
      <c r="R40" s="198">
        <f t="shared" si="6"/>
        <v>1.6842184023277945E-2</v>
      </c>
      <c r="T40" s="330" t="str">
        <f t="shared" si="7"/>
        <v>SI</v>
      </c>
    </row>
    <row r="41" spans="2:20" ht="21">
      <c r="B41" s="48" t="s">
        <v>23</v>
      </c>
      <c r="C41" s="197">
        <f>Utilidad!A38</f>
        <v>104563.4262</v>
      </c>
      <c r="D41" s="198">
        <f>IF(Utilidad!C$46&gt;1,Utilidad!C38/100,Utilidad!C38)</f>
        <v>9.6117000000000008E-2</v>
      </c>
      <c r="E41" s="198">
        <f>IF(Utilidad!$E$46&gt;1,Utilidad!E38/100,Utilidad!E38)</f>
        <v>5.9017E-2</v>
      </c>
      <c r="G41" s="48" t="s">
        <v>23</v>
      </c>
      <c r="H41" s="197">
        <f>Utilidad!B38</f>
        <v>114636.81630000001</v>
      </c>
      <c r="I41" s="198">
        <f>IF(Utilidad!$D$46&gt;1,Utilidad!D38/100,Utilidad!D38)</f>
        <v>0.1009313298</v>
      </c>
      <c r="J41" s="198">
        <f>IF(Utilidad!$F$46&gt;1,Utilidad!F38/100,Utilidad!F38)</f>
        <v>6.0196352519999996E-2</v>
      </c>
      <c r="L41" s="206">
        <f t="shared" si="1"/>
        <v>9.6337605471462681E-2</v>
      </c>
      <c r="M41" s="206">
        <f t="shared" si="2"/>
        <v>5.0088223727332196E-2</v>
      </c>
      <c r="N41" s="206">
        <f t="shared" si="3"/>
        <v>1.9983267871969027E-2</v>
      </c>
      <c r="P41" s="198">
        <f t="shared" si="4"/>
        <v>9.6337605471462681E-2</v>
      </c>
      <c r="Q41" s="198">
        <f t="shared" si="5"/>
        <v>5.0088223727332196E-2</v>
      </c>
      <c r="R41" s="198">
        <f t="shared" si="6"/>
        <v>1.9983267871969027E-2</v>
      </c>
      <c r="T41" s="330" t="str">
        <f t="shared" si="7"/>
        <v>SI</v>
      </c>
    </row>
    <row r="42" spans="2:20" ht="21">
      <c r="B42" s="48" t="s">
        <v>24</v>
      </c>
      <c r="C42" s="197">
        <f>Utilidad!A39</f>
        <v>322055.36609999998</v>
      </c>
      <c r="D42" s="198">
        <f>IF(Utilidad!C$46&gt;1,Utilidad!C39/100,Utilidad!C39)</f>
        <v>0.58401700000000001</v>
      </c>
      <c r="E42" s="198">
        <f>IF(Utilidad!$E$46&gt;1,Utilidad!E39/100,Utilidad!E39)</f>
        <v>0.57541699999999996</v>
      </c>
      <c r="G42" s="48" t="s">
        <v>24</v>
      </c>
      <c r="H42" s="197">
        <f>Utilidad!B39</f>
        <v>356467.96470000001</v>
      </c>
      <c r="I42" s="198">
        <f>IF(Utilidad!$D$46&gt;1,Utilidad!D39/100,Utilidad!D39)</f>
        <v>0.57233665999999994</v>
      </c>
      <c r="J42" s="198">
        <f>IF(Utilidad!$F$46&gt;1,Utilidad!F39/100,Utilidad!F39)</f>
        <v>0.56516813990000003</v>
      </c>
      <c r="L42" s="206">
        <f t="shared" si="1"/>
        <v>0.10685305143872288</v>
      </c>
      <c r="M42" s="206">
        <f t="shared" si="2"/>
        <v>-2.0000000000000115E-2</v>
      </c>
      <c r="N42" s="206">
        <f t="shared" si="3"/>
        <v>-1.7811187538776096E-2</v>
      </c>
      <c r="P42" s="198">
        <f t="shared" si="4"/>
        <v>0.10685305143872288</v>
      </c>
      <c r="Q42" s="198">
        <f t="shared" si="5"/>
        <v>2.0000000000000115E-2</v>
      </c>
      <c r="R42" s="198">
        <f t="shared" si="6"/>
        <v>1.7811187538776096E-2</v>
      </c>
      <c r="T42" s="330" t="str">
        <f t="shared" si="7"/>
        <v>SI</v>
      </c>
    </row>
    <row r="43" spans="2:20" ht="21">
      <c r="B43" s="48" t="s">
        <v>62</v>
      </c>
      <c r="C43" s="197">
        <f>Utilidad!A40</f>
        <v>0</v>
      </c>
      <c r="D43" s="198">
        <f>IF(Utilidad!C$46&gt;1,Utilidad!C40/100,Utilidad!C40)</f>
        <v>0</v>
      </c>
      <c r="E43" s="198">
        <f>IF(Utilidad!$E$46&gt;1,Utilidad!E40/100,Utilidad!E40)</f>
        <v>0</v>
      </c>
      <c r="G43" s="48" t="s">
        <v>62</v>
      </c>
      <c r="H43" s="197">
        <f>Utilidad!B40</f>
        <v>0</v>
      </c>
      <c r="I43" s="198">
        <f>IF(Utilidad!$D$46&gt;1,Utilidad!D40/100,Utilidad!D40)</f>
        <v>0</v>
      </c>
      <c r="J43" s="198">
        <f>IF(Utilidad!$F$46&gt;1,Utilidad!F40/100,Utilidad!F40)</f>
        <v>0</v>
      </c>
      <c r="L43" s="206">
        <f t="shared" si="1"/>
        <v>0</v>
      </c>
      <c r="M43" s="206">
        <f t="shared" si="2"/>
        <v>0</v>
      </c>
      <c r="N43" s="206">
        <f t="shared" si="3"/>
        <v>0</v>
      </c>
      <c r="P43" s="198">
        <f t="shared" si="4"/>
        <v>0</v>
      </c>
      <c r="Q43" s="198">
        <f t="shared" si="5"/>
        <v>0</v>
      </c>
      <c r="R43" s="198">
        <f t="shared" si="6"/>
        <v>0</v>
      </c>
      <c r="T43" s="330" t="str">
        <f t="shared" si="7"/>
        <v>SI</v>
      </c>
    </row>
    <row r="44" spans="2:20" ht="21">
      <c r="B44" s="48" t="s">
        <v>63</v>
      </c>
      <c r="C44" s="197">
        <f>Utilidad!A41</f>
        <v>322055.36609999998</v>
      </c>
      <c r="D44" s="198">
        <f>IF(Utilidad!C$46&gt;1,Utilidad!C41/100,Utilidad!C41)</f>
        <v>0.58401700000000001</v>
      </c>
      <c r="E44" s="198">
        <f>IF(Utilidad!$E$46&gt;1,Utilidad!E41/100,Utilidad!E41)</f>
        <v>0.57541699999999996</v>
      </c>
      <c r="G44" s="48" t="s">
        <v>63</v>
      </c>
      <c r="H44" s="197">
        <f>Utilidad!B41</f>
        <v>356467.96470000001</v>
      </c>
      <c r="I44" s="198">
        <f>IF(Utilidad!$D$46&gt;1,Utilidad!D41/100,Utilidad!D41)</f>
        <v>0.57233665999999994</v>
      </c>
      <c r="J44" s="198">
        <f>IF(Utilidad!$F$46&gt;1,Utilidad!F41/100,Utilidad!F41)</f>
        <v>0.56516813990000003</v>
      </c>
      <c r="L44" s="206">
        <f t="shared" si="1"/>
        <v>0.10685305143872288</v>
      </c>
      <c r="M44" s="206">
        <f t="shared" si="2"/>
        <v>-2.0000000000000115E-2</v>
      </c>
      <c r="N44" s="206">
        <f t="shared" si="3"/>
        <v>-1.7811187538776096E-2</v>
      </c>
      <c r="P44" s="198">
        <f t="shared" si="4"/>
        <v>0.10685305143872288</v>
      </c>
      <c r="Q44" s="198">
        <f t="shared" si="5"/>
        <v>2.0000000000000115E-2</v>
      </c>
      <c r="R44" s="198">
        <f t="shared" si="6"/>
        <v>1.7811187538776096E-2</v>
      </c>
      <c r="T44" s="330" t="str">
        <f t="shared" si="7"/>
        <v>SI</v>
      </c>
    </row>
    <row r="45" spans="2:20" ht="21">
      <c r="B45" s="48" t="s">
        <v>64</v>
      </c>
      <c r="C45" s="197">
        <f>Utilidad!A42</f>
        <v>110227.2117</v>
      </c>
      <c r="D45" s="198">
        <f>IF(Utilidad!C$46&gt;1,Utilidad!C42/100,Utilidad!C42)</f>
        <v>0.46076700000000004</v>
      </c>
      <c r="E45" s="198">
        <f>IF(Utilidad!$E$46&gt;1,Utilidad!E42/100,Utilidad!E42)</f>
        <v>0.44455</v>
      </c>
      <c r="G45" s="48" t="s">
        <v>64</v>
      </c>
      <c r="H45" s="197">
        <f>Utilidad!B42</f>
        <v>187340.96470000001</v>
      </c>
      <c r="I45" s="198">
        <f>IF(Utilidad!$D$46&gt;1,Utilidad!D42/100,Utilidad!D42)</f>
        <v>0.50330736190000003</v>
      </c>
      <c r="J45" s="198">
        <f>IF(Utilidad!$F$46&gt;1,Utilidad!F42/100,Utilidad!F42)</f>
        <v>0.49661864919999998</v>
      </c>
      <c r="L45" s="206">
        <f t="shared" si="1"/>
        <v>0.69958907433743978</v>
      </c>
      <c r="M45" s="206">
        <f t="shared" si="2"/>
        <v>9.2325105530560975E-2</v>
      </c>
      <c r="N45" s="206">
        <f t="shared" si="3"/>
        <v>0.11712664312225843</v>
      </c>
      <c r="P45" s="198">
        <f t="shared" si="4"/>
        <v>0.69958907433743978</v>
      </c>
      <c r="Q45" s="198">
        <f t="shared" si="5"/>
        <v>9.2325105530560975E-2</v>
      </c>
      <c r="R45" s="198">
        <f t="shared" si="6"/>
        <v>0.11712664312225843</v>
      </c>
      <c r="T45" s="330" t="str">
        <f t="shared" si="7"/>
        <v>SI</v>
      </c>
    </row>
    <row r="46" spans="2:20" ht="21">
      <c r="B46" s="48" t="s">
        <v>65</v>
      </c>
      <c r="C46" s="197">
        <f>Utilidad!A43</f>
        <v>211828.1544</v>
      </c>
      <c r="D46" s="198">
        <f>IF(Utilidad!C$46&gt;1,Utilidad!C43/100,Utilidad!C43)</f>
        <v>0.64815100000000003</v>
      </c>
      <c r="E46" s="198">
        <f>IF(Utilidad!$E$46&gt;1,Utilidad!E43/100,Utilidad!E43)</f>
        <v>0.640459</v>
      </c>
      <c r="G46" s="48" t="s">
        <v>65</v>
      </c>
      <c r="H46" s="197">
        <f>Utilidad!B43</f>
        <v>172696.84529999999</v>
      </c>
      <c r="I46" s="198">
        <f>IF(Utilidad!$D$46&gt;1,Utilidad!D43/100,Utilidad!D43)</f>
        <v>0.64497592449999996</v>
      </c>
      <c r="J46" s="198">
        <f>IF(Utilidad!$F$46&gt;1,Utilidad!F43/100,Utilidad!F43)</f>
        <v>0.63706108189999999</v>
      </c>
      <c r="L46" s="206">
        <f t="shared" si="1"/>
        <v>-0.18473138856748691</v>
      </c>
      <c r="M46" s="206">
        <f t="shared" si="2"/>
        <v>-4.898666360153835E-3</v>
      </c>
      <c r="N46" s="206">
        <f t="shared" si="3"/>
        <v>-5.3054420345408655E-3</v>
      </c>
      <c r="P46" s="198">
        <f t="shared" si="4"/>
        <v>0.18473138856748691</v>
      </c>
      <c r="Q46" s="198">
        <f t="shared" si="5"/>
        <v>4.898666360153835E-3</v>
      </c>
      <c r="R46" s="198">
        <f t="shared" si="6"/>
        <v>5.3054420345408655E-3</v>
      </c>
      <c r="T46" s="330" t="str">
        <f t="shared" si="7"/>
        <v>SI</v>
      </c>
    </row>
    <row r="47" spans="2:20" ht="21">
      <c r="B47" s="48" t="s">
        <v>25</v>
      </c>
      <c r="C47" s="197">
        <f>Utilidad!A44</f>
        <v>595.16665030000001</v>
      </c>
      <c r="D47" s="198">
        <f>IF(Utilidad!C$46&gt;1,Utilidad!C44/100,Utilidad!C44)</f>
        <v>0.46378300000000006</v>
      </c>
      <c r="E47" s="198">
        <f>IF(Utilidad!$E$46&gt;1,Utilidad!E44/100,Utilidad!E44)</f>
        <v>0.44569999999999999</v>
      </c>
      <c r="G47" s="48" t="s">
        <v>25</v>
      </c>
      <c r="H47" s="197">
        <f>Utilidad!B44</f>
        <v>3569.8452980000002</v>
      </c>
      <c r="I47" s="198">
        <f>IF(Utilidad!$D$46&gt;1,Utilidad!D44/100,Utilidad!D44)</f>
        <v>0.46380437139999997</v>
      </c>
      <c r="J47" s="198">
        <f>IF(Utilidad!$F$46&gt;1,Utilidad!F44/100,Utilidad!F44)</f>
        <v>0.44571102250000005</v>
      </c>
      <c r="L47" s="206">
        <f t="shared" si="1"/>
        <v>4.9980600327665909</v>
      </c>
      <c r="M47" s="206">
        <f t="shared" si="2"/>
        <v>4.6080602350483585E-5</v>
      </c>
      <c r="N47" s="206">
        <f t="shared" si="3"/>
        <v>2.4730760601455122E-5</v>
      </c>
      <c r="P47" s="198">
        <f t="shared" si="4"/>
        <v>4.9980600327665909</v>
      </c>
      <c r="Q47" s="198">
        <f t="shared" si="5"/>
        <v>4.6080602350483585E-5</v>
      </c>
      <c r="R47" s="198">
        <f t="shared" si="6"/>
        <v>2.4730760601455122E-5</v>
      </c>
      <c r="T47" s="330" t="str">
        <f t="shared" si="7"/>
        <v>SI</v>
      </c>
    </row>
    <row r="48" spans="2:20" ht="21">
      <c r="B48" s="48" t="s">
        <v>31</v>
      </c>
      <c r="C48" s="197">
        <f>Utilidad!A45</f>
        <v>0</v>
      </c>
      <c r="D48" s="198">
        <f>IF(Utilidad!C$46&gt;1,Utilidad!C45/100,Utilidad!C45)</f>
        <v>0</v>
      </c>
      <c r="E48" s="198">
        <f>IF(Utilidad!$E$46&gt;1,Utilidad!E45/100,Utilidad!E45)</f>
        <v>0</v>
      </c>
      <c r="G48" s="48" t="s">
        <v>31</v>
      </c>
      <c r="H48" s="197">
        <f>Utilidad!B45</f>
        <v>0</v>
      </c>
      <c r="I48" s="198">
        <f>IF(Utilidad!$D$46&gt;1,Utilidad!D45/100,Utilidad!D45)</f>
        <v>0</v>
      </c>
      <c r="J48" s="198">
        <f>IF(Utilidad!$F$46&gt;1,Utilidad!F45/100,Utilidad!F45)</f>
        <v>0</v>
      </c>
      <c r="L48" s="206">
        <f t="shared" si="1"/>
        <v>0</v>
      </c>
      <c r="M48" s="206">
        <f t="shared" si="2"/>
        <v>0</v>
      </c>
      <c r="N48" s="206">
        <f t="shared" si="3"/>
        <v>0</v>
      </c>
      <c r="P48" s="198">
        <f t="shared" si="4"/>
        <v>0</v>
      </c>
      <c r="Q48" s="198">
        <f t="shared" si="5"/>
        <v>0</v>
      </c>
      <c r="R48" s="198">
        <f t="shared" si="6"/>
        <v>0</v>
      </c>
      <c r="T48" s="330" t="str">
        <f t="shared" si="7"/>
        <v>SI</v>
      </c>
    </row>
    <row r="49" spans="2:20" ht="21">
      <c r="B49" s="48" t="s">
        <v>26</v>
      </c>
      <c r="C49" s="197">
        <f>Utilidad!A46</f>
        <v>169127</v>
      </c>
      <c r="D49" s="198">
        <f>IF(Utilidad!C$46&gt;1,Utilidad!C46/100,Utilidad!C46)</f>
        <v>0.64879999999999993</v>
      </c>
      <c r="E49" s="198">
        <f>IF(Utilidad!$E$46&gt;1,Utilidad!E46/100,Utilidad!E46)</f>
        <v>0.6411</v>
      </c>
      <c r="G49" s="48" t="s">
        <v>26</v>
      </c>
      <c r="H49" s="197">
        <f>Utilidad!B46</f>
        <v>169127</v>
      </c>
      <c r="I49" s="198">
        <f>IF(Utilidad!$D$46&gt;1,Utilidad!D46/100,Utilidad!D46)</f>
        <v>0.64879999999999993</v>
      </c>
      <c r="J49" s="198">
        <f>IF(Utilidad!$F$46&gt;1,Utilidad!F46/100,Utilidad!F46)</f>
        <v>0.6411</v>
      </c>
      <c r="L49" s="206">
        <f t="shared" si="1"/>
        <v>0</v>
      </c>
      <c r="M49" s="206">
        <f t="shared" si="2"/>
        <v>0</v>
      </c>
      <c r="N49" s="206">
        <f t="shared" si="3"/>
        <v>0</v>
      </c>
      <c r="P49" s="198">
        <f t="shared" si="4"/>
        <v>0</v>
      </c>
      <c r="Q49" s="198">
        <f t="shared" si="5"/>
        <v>0</v>
      </c>
      <c r="R49" s="198">
        <f t="shared" si="6"/>
        <v>0</v>
      </c>
      <c r="T49" s="330" t="str">
        <f t="shared" si="7"/>
        <v>SI</v>
      </c>
    </row>
    <row r="50" spans="2:20" ht="21">
      <c r="B50" s="48" t="s">
        <v>46</v>
      </c>
      <c r="C50" s="197">
        <f>Utilidad!A47</f>
        <v>1626912.8459999999</v>
      </c>
      <c r="D50" s="198">
        <f>IF(Utilidad!C$46&gt;1,Utilidad!C47/100,Utilidad!C47)</f>
        <v>8.3971999999999991E-2</v>
      </c>
      <c r="E50" s="198">
        <f>IF(Utilidad!$E$46&gt;1,Utilidad!E47/100,Utilidad!E47)</f>
        <v>3.6970999999999997E-2</v>
      </c>
      <c r="G50" s="48" t="s">
        <v>46</v>
      </c>
      <c r="H50" s="197">
        <f>Utilidad!B47</f>
        <v>1665324.93</v>
      </c>
      <c r="I50" s="198">
        <f>IF(Utilidad!$D$46&gt;1,Utilidad!D47/100,Utilidad!D47)</f>
        <v>0.1115608842</v>
      </c>
      <c r="J50" s="198">
        <f>IF(Utilidad!$F$46&gt;1,Utilidad!F47/100,Utilidad!F47)</f>
        <v>6.2601328130000009E-2</v>
      </c>
      <c r="L50" s="206">
        <f t="shared" si="1"/>
        <v>2.3610412871495658E-2</v>
      </c>
      <c r="M50" s="206">
        <f t="shared" si="2"/>
        <v>0.32854861382365569</v>
      </c>
      <c r="N50" s="206">
        <f t="shared" si="3"/>
        <v>0.69325493305563857</v>
      </c>
      <c r="P50" s="198">
        <f t="shared" si="4"/>
        <v>2.3610412871495658E-2</v>
      </c>
      <c r="Q50" s="198">
        <f t="shared" si="5"/>
        <v>0.32854861382365569</v>
      </c>
      <c r="R50" s="198">
        <f t="shared" si="6"/>
        <v>0.69325493305563857</v>
      </c>
      <c r="T50" s="330" t="str">
        <f t="shared" si="7"/>
        <v>SI</v>
      </c>
    </row>
    <row r="51" spans="2:20" ht="21">
      <c r="B51" s="48" t="s">
        <v>61</v>
      </c>
      <c r="C51" s="197">
        <f>Utilidad!A48</f>
        <v>6125.3333329999996</v>
      </c>
      <c r="D51" s="198">
        <f>IF(Utilidad!C$46&gt;1,Utilidad!C48/100,Utilidad!C48)</f>
        <v>0.37</v>
      </c>
      <c r="E51" s="198">
        <f>IF(Utilidad!$E$46&gt;1,Utilidad!E48/100,Utilidad!E48)</f>
        <v>0.35249999999999998</v>
      </c>
      <c r="G51" s="48" t="s">
        <v>61</v>
      </c>
      <c r="H51" s="197">
        <f>Utilidad!B48</f>
        <v>5880.32</v>
      </c>
      <c r="I51" s="198">
        <f>IF(Utilidad!$D$46&gt;1,Utilidad!D48/100,Utilidad!D48)</f>
        <v>0.37827424290000006</v>
      </c>
      <c r="J51" s="198">
        <f>IF(Utilidad!$F$46&gt;1,Utilidad!F48/100,Utilidad!F48)</f>
        <v>0.35954999999999998</v>
      </c>
      <c r="L51" s="206">
        <f t="shared" si="1"/>
        <v>-3.9999999947757929E-2</v>
      </c>
      <c r="M51" s="206">
        <f t="shared" si="2"/>
        <v>2.2362818648648815E-2</v>
      </c>
      <c r="N51" s="206">
        <f t="shared" si="3"/>
        <v>2.0000000000000004E-2</v>
      </c>
      <c r="P51" s="198">
        <f t="shared" si="4"/>
        <v>3.9999999947757929E-2</v>
      </c>
      <c r="Q51" s="198">
        <f t="shared" si="5"/>
        <v>2.2362818648648815E-2</v>
      </c>
      <c r="R51" s="198">
        <f t="shared" si="6"/>
        <v>2.0000000000000004E-2</v>
      </c>
      <c r="T51" s="330" t="str">
        <f t="shared" si="7"/>
        <v>SI</v>
      </c>
    </row>
    <row r="52" spans="2:20" ht="21">
      <c r="B52" s="48" t="s">
        <v>59</v>
      </c>
      <c r="C52" s="197">
        <f>Utilidad!A49</f>
        <v>24501.333330000001</v>
      </c>
      <c r="D52" s="198">
        <f>IF(Utilidad!C$46&gt;1,Utilidad!C49/100,Utilidad!C49)</f>
        <v>0.37</v>
      </c>
      <c r="E52" s="198">
        <f>IF(Utilidad!$E$46&gt;1,Utilidad!E49/100,Utilidad!E49)</f>
        <v>0.35249999999999998</v>
      </c>
      <c r="G52" s="48" t="s">
        <v>59</v>
      </c>
      <c r="H52" s="197">
        <f>Utilidad!B49</f>
        <v>24256.32</v>
      </c>
      <c r="I52" s="198">
        <f>IF(Utilidad!$D$46&gt;1,Utilidad!D49/100,Utilidad!D49)</f>
        <v>0.37740000000000001</v>
      </c>
      <c r="J52" s="198">
        <f>IF(Utilidad!$F$46&gt;1,Utilidad!F49/100,Utilidad!F49)</f>
        <v>0.35954999999999998</v>
      </c>
      <c r="L52" s="206">
        <f t="shared" si="1"/>
        <v>-9.999999865313516E-3</v>
      </c>
      <c r="M52" s="206">
        <f t="shared" si="2"/>
        <v>2.0000000000000049E-2</v>
      </c>
      <c r="N52" s="206">
        <f t="shared" si="3"/>
        <v>2.0000000000000004E-2</v>
      </c>
      <c r="P52" s="198">
        <f t="shared" si="4"/>
        <v>9.999999865313516E-3</v>
      </c>
      <c r="Q52" s="198">
        <f t="shared" si="5"/>
        <v>2.0000000000000049E-2</v>
      </c>
      <c r="R52" s="198">
        <f t="shared" si="6"/>
        <v>2.0000000000000004E-2</v>
      </c>
      <c r="T52" s="330" t="str">
        <f t="shared" si="7"/>
        <v>SI</v>
      </c>
    </row>
    <row r="53" spans="2:20" ht="21">
      <c r="B53" s="48" t="s">
        <v>60</v>
      </c>
      <c r="C53" s="197">
        <f>Utilidad!A50</f>
        <v>537276.67119999998</v>
      </c>
      <c r="D53" s="198">
        <f>IF(Utilidad!C$46&gt;1,Utilidad!C50/100,Utilidad!C50)</f>
        <v>0.39977800000000002</v>
      </c>
      <c r="E53" s="198">
        <f>IF(Utilidad!$E$46&gt;1,Utilidad!E50/100,Utilidad!E50)</f>
        <v>0.37942399999999998</v>
      </c>
      <c r="G53" s="48" t="s">
        <v>60</v>
      </c>
      <c r="H53" s="197">
        <f>Utilidad!B50</f>
        <v>533769.46970000002</v>
      </c>
      <c r="I53" s="198">
        <f>IF(Utilidad!$D$46&gt;1,Utilidad!D50/100,Utilidad!D50)</f>
        <v>0.39243602750000001</v>
      </c>
      <c r="J53" s="198">
        <f>IF(Utilidad!$F$46&gt;1,Utilidad!F50/100,Utilidad!F50)</f>
        <v>0.37239381629999996</v>
      </c>
      <c r="L53" s="206">
        <f t="shared" si="1"/>
        <v>-6.5277382920175568E-3</v>
      </c>
      <c r="M53" s="206">
        <f t="shared" si="2"/>
        <v>-1.8365123893761076E-2</v>
      </c>
      <c r="N53" s="206">
        <f t="shared" si="3"/>
        <v>-1.8528568830648632E-2</v>
      </c>
      <c r="O53" s="208"/>
      <c r="P53" s="198">
        <f t="shared" si="4"/>
        <v>6.5277382920175568E-3</v>
      </c>
      <c r="Q53" s="198">
        <f t="shared" si="5"/>
        <v>1.8365123893761076E-2</v>
      </c>
      <c r="R53" s="198">
        <f t="shared" si="6"/>
        <v>1.8528568830648632E-2</v>
      </c>
      <c r="T53" s="330" t="str">
        <f t="shared" si="7"/>
        <v>SI</v>
      </c>
    </row>
    <row r="54" spans="2:20">
      <c r="D54" s="3"/>
      <c r="M54" s="202"/>
      <c r="N54" s="202"/>
      <c r="O54" s="203"/>
      <c r="P54" s="201"/>
      <c r="Q54" s="200"/>
    </row>
    <row r="55" spans="2:20">
      <c r="D55" s="3"/>
      <c r="M55" s="199"/>
      <c r="N55" s="199"/>
      <c r="O55" s="200"/>
      <c r="P55" s="201"/>
      <c r="Q55" s="200"/>
    </row>
    <row r="56" spans="2:20" ht="16">
      <c r="D56" s="3"/>
      <c r="M56" s="199"/>
      <c r="N56" s="199"/>
      <c r="O56" s="200"/>
      <c r="P56" s="207"/>
      <c r="Q56" s="200"/>
    </row>
  </sheetData>
  <mergeCells count="3">
    <mergeCell ref="B2:E2"/>
    <mergeCell ref="G2:J2"/>
    <mergeCell ref="L2:N2"/>
  </mergeCells>
  <conditionalFormatting sqref="M54:N56 L4:M53">
    <cfRule type="expression" dxfId="4" priority="4">
      <formula>ABS(L4)&gt;=10%</formula>
    </cfRule>
  </conditionalFormatting>
  <conditionalFormatting sqref="N4:N53">
    <cfRule type="expression" dxfId="3" priority="3">
      <formula>ABS(N4)&gt;=10%</formula>
    </cfRule>
  </conditionalFormatting>
  <conditionalFormatting sqref="T4:T53">
    <cfRule type="containsText" dxfId="2" priority="2" operator="containsText" text="SI">
      <formula>NOT(ISERROR(SEARCH("SI",T4)))</formula>
    </cfRule>
    <cfRule type="containsText" dxfId="1" priority="1" operator="containsText" text="NO">
      <formula>NOT(ISERROR(SEARCH("NO",T4)))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B6A0-6FCA-C849-9CF3-CFCFDB97FCAC}">
  <dimension ref="A1:E2"/>
  <sheetViews>
    <sheetView workbookViewId="0">
      <selection activeCell="G31" sqref="G31"/>
    </sheetView>
  </sheetViews>
  <sheetFormatPr baseColWidth="10" defaultRowHeight="15"/>
  <cols>
    <col min="1" max="1" width="17.5" customWidth="1"/>
    <col min="2" max="2" width="10.83203125" style="212"/>
    <col min="3" max="3" width="10.83203125" style="3"/>
  </cols>
  <sheetData>
    <row r="1" spans="1:5" ht="19">
      <c r="A1" s="217" t="s">
        <v>81</v>
      </c>
      <c r="B1" s="213">
        <v>123507</v>
      </c>
      <c r="C1" s="214">
        <v>0.65690000000000004</v>
      </c>
      <c r="D1" s="219">
        <v>0.6421</v>
      </c>
      <c r="E1" s="219">
        <v>5.0000000000000001E-3</v>
      </c>
    </row>
    <row r="2" spans="1:5" ht="19">
      <c r="A2" s="217" t="s">
        <v>115</v>
      </c>
      <c r="B2" s="215">
        <v>87348.694765628083</v>
      </c>
      <c r="C2" s="216">
        <v>0.64990000000000003</v>
      </c>
      <c r="D2" s="219">
        <v>0.64906712440000003</v>
      </c>
      <c r="E2" s="219">
        <v>5.0000000000000001E-3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8B85-A256-6641-B1D0-8807EAEE4050}">
  <dimension ref="A1:O41"/>
  <sheetViews>
    <sheetView view="pageBreakPreview" topLeftCell="B7" zoomScale="125" zoomScaleNormal="60" zoomScaleSheetLayoutView="130" workbookViewId="0">
      <selection activeCell="F19" sqref="F19"/>
    </sheetView>
  </sheetViews>
  <sheetFormatPr baseColWidth="10" defaultColWidth="11.5" defaultRowHeight="15"/>
  <cols>
    <col min="1" max="1" width="0.83203125" customWidth="1"/>
    <col min="2" max="2" width="3.5" customWidth="1"/>
    <col min="4" max="4" width="6.83203125" customWidth="1"/>
    <col min="5" max="5" width="7.83203125" customWidth="1"/>
    <col min="7" max="7" width="9.1640625" customWidth="1"/>
    <col min="8" max="8" width="10.5" customWidth="1"/>
    <col min="9" max="9" width="9.1640625" customWidth="1"/>
    <col min="10" max="10" width="14" customWidth="1"/>
    <col min="11" max="11" width="11.83203125" customWidth="1"/>
    <col min="12" max="12" width="10.1640625" customWidth="1"/>
    <col min="13" max="13" width="10.5" customWidth="1"/>
    <col min="14" max="14" width="25.1640625" customWidth="1"/>
    <col min="15" max="15" width="0.83203125" customWidth="1"/>
  </cols>
  <sheetData>
    <row r="1" spans="1:15" ht="5" customHeight="1" thickBo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6" thickBot="1">
      <c r="A2" s="84"/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159"/>
    </row>
    <row r="3" spans="1:15" ht="16" thickBot="1">
      <c r="A3" s="84"/>
      <c r="B3" s="87"/>
      <c r="C3" s="314"/>
      <c r="D3" s="315"/>
      <c r="E3" s="320" t="s">
        <v>66</v>
      </c>
      <c r="F3" s="320"/>
      <c r="G3" s="320"/>
      <c r="H3" s="320"/>
      <c r="I3" s="320"/>
      <c r="J3" s="320"/>
      <c r="K3" s="320"/>
      <c r="L3" s="320"/>
      <c r="M3" s="320"/>
      <c r="N3" s="321"/>
      <c r="O3" s="158"/>
    </row>
    <row r="4" spans="1:15" ht="16" thickBot="1">
      <c r="A4" s="84"/>
      <c r="B4" s="87"/>
      <c r="C4" s="316"/>
      <c r="D4" s="317"/>
      <c r="E4" s="322"/>
      <c r="F4" s="322"/>
      <c r="G4" s="322"/>
      <c r="H4" s="322"/>
      <c r="I4" s="322"/>
      <c r="J4" s="322"/>
      <c r="K4" s="322"/>
      <c r="L4" s="322"/>
      <c r="M4" s="322"/>
      <c r="N4" s="323"/>
      <c r="O4" s="158"/>
    </row>
    <row r="5" spans="1:15" ht="16" thickBot="1">
      <c r="A5" s="84"/>
      <c r="B5" s="87"/>
      <c r="C5" s="316"/>
      <c r="D5" s="317"/>
      <c r="E5" s="322" t="s">
        <v>67</v>
      </c>
      <c r="F5" s="322"/>
      <c r="G5" s="322"/>
      <c r="H5" s="322"/>
      <c r="I5" s="322"/>
      <c r="J5" s="322"/>
      <c r="K5" s="322"/>
      <c r="L5" s="322"/>
      <c r="M5" s="325">
        <v>44849</v>
      </c>
      <c r="N5" s="326"/>
      <c r="O5" s="158"/>
    </row>
    <row r="6" spans="1:15" ht="16" thickBot="1">
      <c r="A6" s="84"/>
      <c r="B6" s="87"/>
      <c r="C6" s="318"/>
      <c r="D6" s="319"/>
      <c r="E6" s="324"/>
      <c r="F6" s="324"/>
      <c r="G6" s="324"/>
      <c r="H6" s="324"/>
      <c r="I6" s="324"/>
      <c r="J6" s="324"/>
      <c r="K6" s="324"/>
      <c r="L6" s="324"/>
      <c r="M6" s="327"/>
      <c r="N6" s="328"/>
      <c r="O6" s="158"/>
    </row>
    <row r="7" spans="1:15" ht="16" thickBot="1">
      <c r="A7" s="84"/>
      <c r="B7" s="88"/>
      <c r="C7" s="89"/>
      <c r="D7" s="89"/>
      <c r="E7" s="89"/>
      <c r="F7" s="89"/>
      <c r="G7" s="89"/>
      <c r="H7" s="89"/>
      <c r="I7" s="89"/>
      <c r="J7" s="89"/>
      <c r="K7" s="90"/>
      <c r="L7" s="91"/>
      <c r="M7" s="92"/>
      <c r="N7" s="92"/>
      <c r="O7" s="158"/>
    </row>
    <row r="8" spans="1:15" ht="16" thickBot="1">
      <c r="A8" s="84"/>
      <c r="B8" s="88"/>
      <c r="C8" s="308"/>
      <c r="D8" s="309"/>
      <c r="E8" s="309"/>
      <c r="F8" s="93" t="s">
        <v>68</v>
      </c>
      <c r="G8" s="93" t="s">
        <v>69</v>
      </c>
      <c r="H8" s="94" t="s">
        <v>70</v>
      </c>
      <c r="I8" s="94" t="s">
        <v>69</v>
      </c>
      <c r="J8" s="312"/>
      <c r="K8" s="313"/>
      <c r="L8" s="93" t="s">
        <v>68</v>
      </c>
      <c r="M8" s="93" t="s">
        <v>69</v>
      </c>
      <c r="N8" s="94" t="s">
        <v>70</v>
      </c>
      <c r="O8" s="158"/>
    </row>
    <row r="9" spans="1:15" ht="16" thickBot="1">
      <c r="A9" s="84"/>
      <c r="B9" s="88"/>
      <c r="C9" s="310"/>
      <c r="D9" s="311"/>
      <c r="E9" s="311"/>
      <c r="F9" s="95" t="s">
        <v>28</v>
      </c>
      <c r="G9" s="95" t="s">
        <v>71</v>
      </c>
      <c r="H9" s="96" t="s">
        <v>72</v>
      </c>
      <c r="I9" s="96" t="s">
        <v>73</v>
      </c>
      <c r="J9" s="237"/>
      <c r="K9" s="293"/>
      <c r="L9" s="95" t="s">
        <v>28</v>
      </c>
      <c r="M9" s="95" t="s">
        <v>71</v>
      </c>
      <c r="N9" s="96" t="s">
        <v>72</v>
      </c>
      <c r="O9" s="158"/>
    </row>
    <row r="10" spans="1:15" ht="16" thickBot="1">
      <c r="A10" s="84"/>
      <c r="B10" s="88"/>
      <c r="C10" s="282" t="s">
        <v>37</v>
      </c>
      <c r="D10" s="283"/>
      <c r="E10" s="283"/>
      <c r="F10" s="283"/>
      <c r="G10" s="283"/>
      <c r="H10" s="283"/>
      <c r="I10" s="284" t="s">
        <v>74</v>
      </c>
      <c r="J10" s="283"/>
      <c r="K10" s="283"/>
      <c r="L10" s="283"/>
      <c r="M10" s="283"/>
      <c r="N10" s="285"/>
      <c r="O10" s="158"/>
    </row>
    <row r="11" spans="1:15" ht="16" thickBot="1">
      <c r="A11" s="84"/>
      <c r="B11" s="88"/>
      <c r="C11" s="286" t="s">
        <v>75</v>
      </c>
      <c r="D11" s="287"/>
      <c r="E11" s="288"/>
      <c r="F11" s="97">
        <f>Utilidad!O95</f>
        <v>1834605</v>
      </c>
      <c r="G11" s="98">
        <f>Utilidad!P95</f>
        <v>0.16027230540000001</v>
      </c>
      <c r="H11" s="99">
        <f t="shared" ref="H11:H19" si="0">+F11*G11</f>
        <v>294036.37284836703</v>
      </c>
      <c r="I11" s="98">
        <f>Utilidad!Q95</f>
        <v>0.11513899999999999</v>
      </c>
      <c r="J11" s="100" t="s">
        <v>76</v>
      </c>
      <c r="K11" s="101"/>
      <c r="L11" s="102">
        <f>Utilidad!O113</f>
        <v>169127</v>
      </c>
      <c r="M11" s="103">
        <f>Utilidad!P113</f>
        <v>0.64879999999999993</v>
      </c>
      <c r="N11" s="104">
        <f>+M11*L11</f>
        <v>109729.59759999999</v>
      </c>
      <c r="O11" s="158"/>
    </row>
    <row r="12" spans="1:15" ht="16" thickBot="1">
      <c r="A12" s="84"/>
      <c r="B12" s="88"/>
      <c r="C12" s="276" t="s">
        <v>1</v>
      </c>
      <c r="D12" s="277"/>
      <c r="E12" s="278"/>
      <c r="F12" s="105">
        <f>Utilidad!O70</f>
        <v>5330.16</v>
      </c>
      <c r="G12" s="98">
        <f>Utilidad!P70</f>
        <v>0.58339399999999997</v>
      </c>
      <c r="H12" s="106">
        <f t="shared" si="0"/>
        <v>3109.5833630399998</v>
      </c>
      <c r="I12" s="107">
        <f>Utilidad!Q70</f>
        <v>0.57428000000000001</v>
      </c>
      <c r="J12" s="108" t="s">
        <v>77</v>
      </c>
      <c r="K12" s="109"/>
      <c r="L12" s="110">
        <f>'Datos Extra'!B2</f>
        <v>87348.694765628083</v>
      </c>
      <c r="M12" s="211">
        <f>'Datos Extra'!C2</f>
        <v>0.64990000000000003</v>
      </c>
      <c r="N12" s="112">
        <f>+M12*L12</f>
        <v>56767.916728181692</v>
      </c>
      <c r="O12" s="158"/>
    </row>
    <row r="13" spans="1:15" ht="16" thickBot="1">
      <c r="A13" s="84"/>
      <c r="B13" s="88"/>
      <c r="C13" s="276" t="s">
        <v>8</v>
      </c>
      <c r="D13" s="277"/>
      <c r="E13" s="278"/>
      <c r="F13" s="105">
        <f>Utilidad!O76</f>
        <v>1295.9100000000001</v>
      </c>
      <c r="G13" s="98">
        <f>Utilidad!P76</f>
        <v>0.48020000000000002</v>
      </c>
      <c r="H13" s="106">
        <f t="shared" si="0"/>
        <v>622.29598200000009</v>
      </c>
      <c r="I13" s="107">
        <f>Utilidad!Q76</f>
        <v>0.46403</v>
      </c>
      <c r="J13" s="289"/>
      <c r="K13" s="290"/>
      <c r="L13" s="294"/>
      <c r="M13" s="295"/>
      <c r="N13" s="296"/>
      <c r="O13" s="158"/>
    </row>
    <row r="14" spans="1:15" ht="16" thickBot="1">
      <c r="A14" s="84"/>
      <c r="B14" s="88"/>
      <c r="C14" s="276" t="s">
        <v>113</v>
      </c>
      <c r="D14" s="277"/>
      <c r="E14" s="278"/>
      <c r="F14" s="105">
        <f>Utilidad!O79</f>
        <v>4063.95</v>
      </c>
      <c r="G14" s="107">
        <f>Utilidad!P79</f>
        <v>0.35377999999999998</v>
      </c>
      <c r="H14" s="106">
        <f t="shared" si="0"/>
        <v>1437.7442309999999</v>
      </c>
      <c r="I14" s="107">
        <f>Utilidad!Q79</f>
        <v>0.33515999999999996</v>
      </c>
      <c r="J14" s="291"/>
      <c r="K14" s="292"/>
      <c r="L14" s="297"/>
      <c r="M14" s="298"/>
      <c r="N14" s="299"/>
      <c r="O14" s="158"/>
    </row>
    <row r="15" spans="1:15" ht="16" thickBot="1">
      <c r="A15" s="84"/>
      <c r="B15" s="88"/>
      <c r="C15" s="276" t="s">
        <v>114</v>
      </c>
      <c r="D15" s="303"/>
      <c r="E15" s="304"/>
      <c r="F15" s="105">
        <f>Utilidad!O82</f>
        <v>990</v>
      </c>
      <c r="G15" s="107">
        <f>Utilidad!P82</f>
        <v>0.48598199999999997</v>
      </c>
      <c r="H15" s="106">
        <f t="shared" si="0"/>
        <v>481.12217999999996</v>
      </c>
      <c r="I15" s="107">
        <f>Utilidad!Q82</f>
        <v>0.44227400000000006</v>
      </c>
      <c r="J15" s="291"/>
      <c r="K15" s="292"/>
      <c r="L15" s="297"/>
      <c r="M15" s="298"/>
      <c r="N15" s="299"/>
      <c r="O15" s="158"/>
    </row>
    <row r="16" spans="1:15" ht="16" thickBot="1">
      <c r="A16" s="84"/>
      <c r="B16" s="88"/>
      <c r="C16" s="276" t="s">
        <v>49</v>
      </c>
      <c r="D16" s="303"/>
      <c r="E16" s="304"/>
      <c r="F16" s="105">
        <f>Utilidad!O85</f>
        <v>990</v>
      </c>
      <c r="G16" s="107">
        <f>Utilidad!P85</f>
        <v>0.41463800000000001</v>
      </c>
      <c r="H16" s="106">
        <f t="shared" si="0"/>
        <v>410.49162000000001</v>
      </c>
      <c r="I16" s="107">
        <f>Utilidad!Q85</f>
        <v>0.37200800000000001</v>
      </c>
      <c r="J16" s="291"/>
      <c r="K16" s="292"/>
      <c r="L16" s="297"/>
      <c r="M16" s="298"/>
      <c r="N16" s="299"/>
      <c r="O16" s="158"/>
    </row>
    <row r="17" spans="1:15" ht="16" thickBot="1">
      <c r="A17" s="84"/>
      <c r="B17" s="88"/>
      <c r="C17" s="276" t="s">
        <v>54</v>
      </c>
      <c r="D17" s="303"/>
      <c r="E17" s="304"/>
      <c r="F17" s="105">
        <f>Utilidad!O88</f>
        <v>0</v>
      </c>
      <c r="G17" s="107">
        <f>Utilidad!P88</f>
        <v>0</v>
      </c>
      <c r="H17" s="106">
        <f t="shared" si="0"/>
        <v>0</v>
      </c>
      <c r="I17" s="107">
        <f>Utilidad!Q88</f>
        <v>0</v>
      </c>
      <c r="J17" s="291"/>
      <c r="K17" s="292"/>
      <c r="L17" s="297"/>
      <c r="M17" s="298"/>
      <c r="N17" s="299"/>
      <c r="O17" s="158"/>
    </row>
    <row r="18" spans="1:15" ht="16" thickBot="1">
      <c r="A18" s="84"/>
      <c r="B18" s="88"/>
      <c r="C18" s="276" t="s">
        <v>57</v>
      </c>
      <c r="D18" s="303"/>
      <c r="E18" s="304"/>
      <c r="F18" s="105">
        <f>Utilidad!O91</f>
        <v>0</v>
      </c>
      <c r="G18" s="107">
        <f>Utilidad!P91</f>
        <v>0</v>
      </c>
      <c r="H18" s="106">
        <f t="shared" si="0"/>
        <v>0</v>
      </c>
      <c r="I18" s="107">
        <f>Utilidad!Q91</f>
        <v>0</v>
      </c>
      <c r="J18" s="291"/>
      <c r="K18" s="292"/>
      <c r="L18" s="297"/>
      <c r="M18" s="298"/>
      <c r="N18" s="299"/>
      <c r="O18" s="158"/>
    </row>
    <row r="19" spans="1:15" ht="16" thickBot="1">
      <c r="A19" s="84"/>
      <c r="B19" s="88"/>
      <c r="C19" s="305" t="s">
        <v>5</v>
      </c>
      <c r="D19" s="306"/>
      <c r="E19" s="307"/>
      <c r="F19" s="105">
        <f>Utilidad!O73</f>
        <v>5552.91</v>
      </c>
      <c r="G19" s="107">
        <f>Utilidad!P73</f>
        <v>0.42267399999999999</v>
      </c>
      <c r="H19" s="106">
        <f t="shared" si="0"/>
        <v>2347.0706813399997</v>
      </c>
      <c r="I19" s="107">
        <f>Utilidad!Q73</f>
        <v>0.39993800000000002</v>
      </c>
      <c r="J19" s="237"/>
      <c r="K19" s="293"/>
      <c r="L19" s="300"/>
      <c r="M19" s="301"/>
      <c r="N19" s="302"/>
      <c r="O19" s="158"/>
    </row>
    <row r="20" spans="1:15" ht="16" thickBot="1">
      <c r="A20" s="84"/>
      <c r="B20" s="88"/>
      <c r="C20" s="252" t="s">
        <v>78</v>
      </c>
      <c r="D20" s="253"/>
      <c r="E20" s="253"/>
      <c r="F20" s="113">
        <f>SUM(F11:F19)</f>
        <v>1852827.9299999997</v>
      </c>
      <c r="G20" s="114">
        <f>+H20/F20</f>
        <v>0.16323408990588084</v>
      </c>
      <c r="H20" s="115">
        <f>SUM(H11:H19)</f>
        <v>302444.68090574705</v>
      </c>
      <c r="I20" s="116"/>
      <c r="J20" s="270"/>
      <c r="K20" s="271"/>
      <c r="L20" s="117"/>
      <c r="M20" s="118"/>
      <c r="N20" s="119"/>
      <c r="O20" s="158"/>
    </row>
    <row r="21" spans="1:15" ht="16" thickBot="1">
      <c r="A21" s="84"/>
      <c r="B21" s="88"/>
      <c r="C21" s="272" t="s">
        <v>79</v>
      </c>
      <c r="D21" s="273"/>
      <c r="E21" s="273"/>
      <c r="F21" s="273"/>
      <c r="G21" s="273"/>
      <c r="H21" s="273"/>
      <c r="I21" s="274" t="s">
        <v>80</v>
      </c>
      <c r="J21" s="258"/>
      <c r="K21" s="258"/>
      <c r="L21" s="258"/>
      <c r="M21" s="258"/>
      <c r="N21" s="275"/>
      <c r="O21" s="158"/>
    </row>
    <row r="22" spans="1:15" ht="16" thickBot="1">
      <c r="A22" s="84"/>
      <c r="B22" s="88"/>
      <c r="C22" s="276" t="s">
        <v>81</v>
      </c>
      <c r="D22" s="277"/>
      <c r="E22" s="278"/>
      <c r="F22" s="120">
        <f>'Datos Extra'!B1</f>
        <v>123507</v>
      </c>
      <c r="G22" s="121">
        <f>'Datos Extra'!C1</f>
        <v>0.65690000000000004</v>
      </c>
      <c r="H22" s="120">
        <f>+F22*G22</f>
        <v>81131.748300000007</v>
      </c>
      <c r="I22" s="279" t="s">
        <v>75</v>
      </c>
      <c r="J22" s="280"/>
      <c r="K22" s="281"/>
      <c r="L22" s="122">
        <f>Utilidad!O114</f>
        <v>1665324.93</v>
      </c>
      <c r="M22" s="111">
        <f>Utilidad!P114</f>
        <v>0.1115608842</v>
      </c>
      <c r="N22" s="112">
        <f>+L22*M22</f>
        <v>185785.12167110312</v>
      </c>
      <c r="O22" s="158"/>
    </row>
    <row r="23" spans="1:15" ht="16" thickBot="1">
      <c r="A23" s="84"/>
      <c r="B23" s="88"/>
      <c r="C23" s="252" t="s">
        <v>78</v>
      </c>
      <c r="D23" s="253"/>
      <c r="E23" s="253"/>
      <c r="F23" s="123">
        <f>SUM(F21:F22)</f>
        <v>123507</v>
      </c>
      <c r="G23" s="124">
        <f>G22</f>
        <v>0.65690000000000004</v>
      </c>
      <c r="H23" s="113">
        <f>SUM(H21:H22)</f>
        <v>81131.748300000007</v>
      </c>
      <c r="I23" s="254" t="s">
        <v>78</v>
      </c>
      <c r="J23" s="255"/>
      <c r="K23" s="256"/>
      <c r="L23" s="125">
        <f>L22</f>
        <v>1665324.93</v>
      </c>
      <c r="M23" s="114">
        <f>M22</f>
        <v>0.1115608842</v>
      </c>
      <c r="N23" s="126">
        <f>N22</f>
        <v>185785.12167110312</v>
      </c>
      <c r="O23" s="158"/>
    </row>
    <row r="24" spans="1:15" ht="16" hidden="1" thickBot="1">
      <c r="A24" s="84"/>
      <c r="B24" s="88"/>
      <c r="C24" s="127"/>
      <c r="D24" s="127"/>
      <c r="E24" s="127"/>
      <c r="F24" s="127"/>
      <c r="G24" s="127"/>
      <c r="H24" s="127"/>
      <c r="I24" s="127"/>
      <c r="J24" s="127"/>
      <c r="K24" s="127"/>
      <c r="L24" s="128"/>
      <c r="M24" s="129"/>
      <c r="N24" s="130"/>
      <c r="O24" s="158"/>
    </row>
    <row r="25" spans="1:15" ht="16" hidden="1" thickBot="1">
      <c r="A25" s="84"/>
      <c r="B25" s="88"/>
      <c r="C25" s="257" t="s">
        <v>82</v>
      </c>
      <c r="D25" s="258"/>
      <c r="E25" s="259"/>
      <c r="F25" s="131" t="s">
        <v>28</v>
      </c>
      <c r="G25" s="132" t="s">
        <v>83</v>
      </c>
      <c r="H25" s="133" t="s">
        <v>84</v>
      </c>
      <c r="I25" s="134"/>
      <c r="J25" s="135"/>
      <c r="K25" s="135"/>
      <c r="L25" s="136"/>
      <c r="M25" s="135"/>
      <c r="N25" s="137"/>
      <c r="O25" s="158"/>
    </row>
    <row r="26" spans="1:15" ht="16" hidden="1" thickBot="1">
      <c r="A26" s="84"/>
      <c r="B26" s="88"/>
      <c r="C26" s="260" t="s">
        <v>85</v>
      </c>
      <c r="D26" s="261"/>
      <c r="E26" s="262"/>
      <c r="F26" s="138">
        <f>+'[1]Informacion Planta'!L49</f>
        <v>-5.4250001106993295E-2</v>
      </c>
      <c r="G26" s="138">
        <f>+'[1]Informacion Planta'!L49</f>
        <v>-5.4250001106993295E-2</v>
      </c>
      <c r="H26" s="139">
        <f>+F26-G26</f>
        <v>0</v>
      </c>
      <c r="I26" s="140"/>
      <c r="J26" s="141"/>
      <c r="K26" s="141"/>
      <c r="L26" s="142"/>
      <c r="M26" s="84"/>
      <c r="N26" s="143"/>
      <c r="O26" s="158"/>
    </row>
    <row r="27" spans="1:15" ht="16" hidden="1" thickBot="1">
      <c r="A27" s="84"/>
      <c r="B27" s="88"/>
      <c r="C27" s="263" t="s">
        <v>78</v>
      </c>
      <c r="D27" s="264"/>
      <c r="E27" s="264"/>
      <c r="F27" s="144">
        <f>SUM(F26:F26)</f>
        <v>-5.4250001106993295E-2</v>
      </c>
      <c r="G27" s="145">
        <f>SUM(G26:G26)</f>
        <v>-5.4250001106993295E-2</v>
      </c>
      <c r="H27" s="126">
        <f>SUM(H26:H26)</f>
        <v>0</v>
      </c>
      <c r="I27" s="146"/>
      <c r="J27" s="135"/>
      <c r="K27" s="135"/>
      <c r="L27" s="147"/>
      <c r="M27" s="148"/>
      <c r="N27" s="149"/>
      <c r="O27" s="158"/>
    </row>
    <row r="28" spans="1:15" ht="16" thickBot="1">
      <c r="A28" s="84"/>
      <c r="B28" s="88"/>
      <c r="C28" s="150"/>
      <c r="D28" s="150"/>
      <c r="E28" s="150"/>
      <c r="F28" s="150"/>
      <c r="G28" s="150"/>
      <c r="H28" s="150"/>
      <c r="I28" s="150"/>
      <c r="J28" s="150"/>
      <c r="K28" s="150"/>
      <c r="L28" s="151"/>
      <c r="M28" s="152"/>
      <c r="N28" s="153"/>
      <c r="O28" s="158"/>
    </row>
    <row r="29" spans="1:15" ht="16" thickBot="1">
      <c r="A29" s="84"/>
      <c r="B29" s="88"/>
      <c r="C29" s="267" t="s">
        <v>86</v>
      </c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9"/>
      <c r="O29" s="158"/>
    </row>
    <row r="30" spans="1:15" ht="16" thickBot="1">
      <c r="A30" s="84"/>
      <c r="B30" s="88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92"/>
      <c r="O30" s="158"/>
    </row>
    <row r="31" spans="1:15" ht="16" thickBot="1">
      <c r="A31" s="84"/>
      <c r="B31" s="88"/>
      <c r="C31" s="231" t="s">
        <v>87</v>
      </c>
      <c r="D31" s="265"/>
      <c r="E31" s="266"/>
      <c r="F31" s="154"/>
      <c r="G31" s="154"/>
      <c r="H31" s="231" t="s">
        <v>88</v>
      </c>
      <c r="I31" s="265"/>
      <c r="J31" s="266"/>
      <c r="K31" s="154"/>
      <c r="L31" s="231" t="s">
        <v>89</v>
      </c>
      <c r="M31" s="232"/>
      <c r="N31" s="233"/>
      <c r="O31" s="158"/>
    </row>
    <row r="32" spans="1:15" ht="16" thickBot="1">
      <c r="A32" s="84"/>
      <c r="B32" s="88"/>
      <c r="C32" s="234">
        <f>Utilidad!I105</f>
        <v>9.3194770947603894E-2</v>
      </c>
      <c r="D32" s="235"/>
      <c r="E32" s="236"/>
      <c r="F32" s="154"/>
      <c r="G32" s="154"/>
      <c r="H32" s="240">
        <f>Utilidad!I94</f>
        <v>0.37283864733346977</v>
      </c>
      <c r="I32" s="241"/>
      <c r="J32" s="242"/>
      <c r="K32" s="154"/>
      <c r="L32" s="246">
        <f>Utilidad!I104</f>
        <v>0.51357812481886356</v>
      </c>
      <c r="M32" s="247"/>
      <c r="N32" s="248"/>
      <c r="O32" s="158"/>
    </row>
    <row r="33" spans="1:15" ht="16" thickBot="1">
      <c r="A33" s="84"/>
      <c r="B33" s="88"/>
      <c r="C33" s="237"/>
      <c r="D33" s="238"/>
      <c r="E33" s="239"/>
      <c r="F33" s="154"/>
      <c r="G33" s="154"/>
      <c r="H33" s="243"/>
      <c r="I33" s="244"/>
      <c r="J33" s="245"/>
      <c r="K33" s="154"/>
      <c r="L33" s="249"/>
      <c r="M33" s="250"/>
      <c r="N33" s="251"/>
      <c r="O33" s="158"/>
    </row>
    <row r="34" spans="1:15" ht="16" thickBot="1">
      <c r="A34" s="84"/>
      <c r="B34" s="88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8"/>
    </row>
    <row r="35" spans="1:15" ht="16" thickBot="1">
      <c r="A35" s="8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</row>
    <row r="36" spans="1:15" ht="5" customHeight="1" thickBo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</row>
    <row r="37" spans="1:15" ht="16" thickBot="1">
      <c r="A37" s="84"/>
    </row>
    <row r="38" spans="1:15" ht="16" thickBot="1">
      <c r="A38" s="84"/>
    </row>
    <row r="39" spans="1:15" ht="16" thickBot="1">
      <c r="A39" s="84"/>
    </row>
    <row r="40" spans="1:15" ht="16" thickBot="1">
      <c r="A40" s="84"/>
    </row>
    <row r="41" spans="1:15" ht="16" thickBot="1">
      <c r="A41" s="84"/>
    </row>
  </sheetData>
  <mergeCells count="38">
    <mergeCell ref="C8:E9"/>
    <mergeCell ref="J8:K9"/>
    <mergeCell ref="C3:D6"/>
    <mergeCell ref="E3:N4"/>
    <mergeCell ref="E5:J6"/>
    <mergeCell ref="K5:L6"/>
    <mergeCell ref="M5:N6"/>
    <mergeCell ref="C10:H10"/>
    <mergeCell ref="I10:N10"/>
    <mergeCell ref="C11:E11"/>
    <mergeCell ref="C12:E12"/>
    <mergeCell ref="C13:E13"/>
    <mergeCell ref="J13:K19"/>
    <mergeCell ref="L13:N19"/>
    <mergeCell ref="C14:E14"/>
    <mergeCell ref="C15:E15"/>
    <mergeCell ref="C19:E19"/>
    <mergeCell ref="C16:E16"/>
    <mergeCell ref="C17:E17"/>
    <mergeCell ref="C18:E18"/>
    <mergeCell ref="C20:E20"/>
    <mergeCell ref="J20:K20"/>
    <mergeCell ref="C21:H21"/>
    <mergeCell ref="I21:N21"/>
    <mergeCell ref="C22:E22"/>
    <mergeCell ref="I22:K22"/>
    <mergeCell ref="L31:N31"/>
    <mergeCell ref="C32:E33"/>
    <mergeCell ref="H32:J33"/>
    <mergeCell ref="L32:N33"/>
    <mergeCell ref="C23:E23"/>
    <mergeCell ref="I23:K23"/>
    <mergeCell ref="C25:E25"/>
    <mergeCell ref="C26:E26"/>
    <mergeCell ref="C27:E27"/>
    <mergeCell ref="C31:E31"/>
    <mergeCell ref="H31:J31"/>
    <mergeCell ref="C29:N29"/>
  </mergeCells>
  <pageMargins left="0.7" right="0.7" top="0.75" bottom="0.75" header="0.3" footer="0.3"/>
  <pageSetup scale="85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Diagrama Fe T</vt:lpstr>
      <vt:lpstr>Flujos</vt:lpstr>
      <vt:lpstr>Datos Extra</vt:lpstr>
      <vt:lpstr>Reporte</vt:lpstr>
      <vt:lpstr>Reporte!Print_Area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2021-07-19T13:22:17Z</dcterms:created>
  <dcterms:modified xsi:type="dcterms:W3CDTF">2022-12-15T00:18:27Z</dcterms:modified>
</cp:coreProperties>
</file>