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Balances/"/>
    </mc:Choice>
  </mc:AlternateContent>
  <xr:revisionPtr revIDLastSave="0" documentId="8_{28AC0DCD-5ECC-734D-82C1-1C0C72A319DE}" xr6:coauthVersionLast="45" xr6:coauthVersionMax="45" xr10:uidLastSave="{00000000-0000-0000-0000-000000000000}"/>
  <bookViews>
    <workbookView xWindow="820" yWindow="0" windowWidth="27980" windowHeight="18000" tabRatio="749" activeTab="5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8" r:id="rId6"/>
    <sheet name="Inventarios" sheetId="17" r:id="rId7"/>
  </sheets>
  <externalReferences>
    <externalReference r:id="rId8"/>
    <externalReference r:id="rId9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38</definedName>
    <definedName name="solver_num" localSheetId="3" hidden="1">19</definedName>
    <definedName name="solver_nwt" localSheetId="1" hidden="1">1</definedName>
    <definedName name="solver_nwt" localSheetId="3" hidden="1">1</definedName>
    <definedName name="solver_opt" localSheetId="1" hidden="1">'Bal Los Colorados'!$AB$58</definedName>
    <definedName name="solver_opt" localSheetId="3" hidden="1">Utilidad!$AB$93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8" l="1"/>
  <c r="E75" i="18"/>
  <c r="F74" i="18"/>
  <c r="C74" i="18"/>
  <c r="F73" i="18"/>
  <c r="C73" i="18"/>
  <c r="F72" i="18"/>
  <c r="C72" i="18"/>
  <c r="E69" i="18"/>
  <c r="E68" i="18"/>
  <c r="F67" i="18"/>
  <c r="C67" i="18"/>
  <c r="F66" i="18"/>
  <c r="C66" i="18"/>
  <c r="F65" i="18"/>
  <c r="C65" i="18"/>
  <c r="L61" i="18"/>
  <c r="H61" i="18"/>
  <c r="F61" i="18"/>
  <c r="E61" i="18"/>
  <c r="L60" i="18"/>
  <c r="H60" i="18"/>
  <c r="F60" i="18"/>
  <c r="E60" i="18"/>
  <c r="C60" i="18"/>
  <c r="L59" i="18"/>
  <c r="F59" i="18"/>
  <c r="C59" i="18"/>
  <c r="C58" i="18"/>
  <c r="J55" i="18"/>
  <c r="H55" i="18"/>
  <c r="J54" i="18"/>
  <c r="H54" i="18"/>
  <c r="F54" i="18"/>
  <c r="E54" i="18"/>
  <c r="J53" i="18"/>
  <c r="H53" i="18"/>
  <c r="F53" i="18"/>
  <c r="E53" i="18"/>
  <c r="F52" i="18"/>
  <c r="C52" i="18"/>
  <c r="C51" i="18"/>
  <c r="C50" i="18"/>
  <c r="K46" i="18"/>
  <c r="I46" i="18"/>
  <c r="K45" i="18"/>
  <c r="I45" i="18"/>
  <c r="L44" i="18"/>
  <c r="K44" i="18"/>
  <c r="I44" i="18"/>
  <c r="F44" i="18"/>
  <c r="E44" i="18"/>
  <c r="L43" i="18"/>
  <c r="F43" i="18"/>
  <c r="E43" i="18"/>
  <c r="L42" i="18"/>
  <c r="F42" i="18"/>
  <c r="C42" i="18"/>
  <c r="C41" i="18"/>
  <c r="C40" i="18"/>
  <c r="K39" i="18"/>
  <c r="K38" i="18"/>
  <c r="L37" i="18"/>
  <c r="K37" i="18"/>
  <c r="L36" i="18"/>
  <c r="L35" i="18"/>
  <c r="F34" i="18"/>
  <c r="E34" i="18"/>
  <c r="F33" i="18"/>
  <c r="E33" i="18"/>
  <c r="K32" i="18"/>
  <c r="F32" i="18"/>
  <c r="C32" i="18"/>
  <c r="K31" i="18"/>
  <c r="C31" i="18"/>
  <c r="L30" i="18"/>
  <c r="K30" i="18"/>
  <c r="C30" i="18"/>
  <c r="L29" i="18"/>
  <c r="L28" i="18"/>
  <c r="K25" i="18"/>
  <c r="H25" i="18"/>
  <c r="K24" i="18"/>
  <c r="H24" i="18"/>
  <c r="F24" i="18"/>
  <c r="E24" i="18"/>
  <c r="K23" i="18"/>
  <c r="H23" i="18"/>
  <c r="F23" i="18"/>
  <c r="E23" i="18"/>
  <c r="F22" i="18"/>
  <c r="C22" i="18"/>
  <c r="C21" i="18"/>
  <c r="K20" i="18"/>
  <c r="C20" i="18"/>
  <c r="L19" i="18"/>
  <c r="K19" i="18"/>
  <c r="L18" i="18"/>
  <c r="K18" i="18"/>
  <c r="L17" i="18"/>
  <c r="K13" i="18"/>
  <c r="K12" i="18"/>
  <c r="F12" i="18"/>
  <c r="E12" i="18"/>
  <c r="L11" i="18"/>
  <c r="R16" i="18" s="1"/>
  <c r="K11" i="18"/>
  <c r="F11" i="18"/>
  <c r="E11" i="18"/>
  <c r="L10" i="18"/>
  <c r="F10" i="18"/>
  <c r="C10" i="18"/>
  <c r="L9" i="18"/>
  <c r="R14" i="18" s="1"/>
  <c r="R15" i="18" s="1"/>
  <c r="C9" i="18"/>
  <c r="C8" i="18"/>
  <c r="K6" i="18"/>
  <c r="K5" i="18"/>
  <c r="K4" i="18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D40" i="16"/>
  <c r="C40" i="16"/>
  <c r="D24" i="16"/>
  <c r="D58" i="16"/>
  <c r="D56" i="16"/>
  <c r="D39" i="16"/>
  <c r="D12" i="16"/>
  <c r="D7" i="16" l="1"/>
  <c r="D57" i="16"/>
  <c r="D54" i="16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D23" i="16"/>
  <c r="D25" i="16"/>
  <c r="D26" i="16"/>
  <c r="D27" i="16"/>
  <c r="D28" i="16"/>
  <c r="D29" i="16"/>
  <c r="D30" i="16"/>
  <c r="D31" i="16"/>
  <c r="D32" i="16"/>
  <c r="D33" i="16"/>
  <c r="D34" i="16"/>
  <c r="D35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C61" i="16" l="1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N126" i="1"/>
  <c r="Q125" i="1"/>
  <c r="O125" i="1"/>
  <c r="N125" i="1"/>
  <c r="Q124" i="1"/>
  <c r="O124" i="1"/>
  <c r="N124" i="1"/>
  <c r="Q123" i="1"/>
  <c r="O123" i="1"/>
  <c r="N123" i="1"/>
  <c r="Q122" i="1"/>
  <c r="O122" i="1"/>
  <c r="N122" i="1"/>
  <c r="Q121" i="1"/>
  <c r="O121" i="1"/>
  <c r="N121" i="1"/>
  <c r="Q120" i="1"/>
  <c r="O120" i="1"/>
  <c r="N120" i="1"/>
  <c r="Q119" i="1"/>
  <c r="O119" i="1"/>
  <c r="N119" i="1"/>
  <c r="Q118" i="1"/>
  <c r="O118" i="1"/>
  <c r="N118" i="1"/>
  <c r="Q117" i="1"/>
  <c r="O117" i="1"/>
  <c r="N117" i="1"/>
  <c r="Q116" i="1"/>
  <c r="O116" i="1"/>
  <c r="N116" i="1"/>
  <c r="Q115" i="1"/>
  <c r="O115" i="1"/>
  <c r="N115" i="1"/>
  <c r="Q114" i="1"/>
  <c r="O114" i="1"/>
  <c r="N114" i="1"/>
  <c r="Q113" i="1"/>
  <c r="O113" i="1"/>
  <c r="N113" i="1"/>
  <c r="Q112" i="1"/>
  <c r="O112" i="1"/>
  <c r="N112" i="1"/>
  <c r="Q111" i="1"/>
  <c r="O111" i="1"/>
  <c r="N111" i="1"/>
  <c r="Q110" i="1"/>
  <c r="O110" i="1"/>
  <c r="N110" i="1"/>
  <c r="Q109" i="1"/>
  <c r="O109" i="1"/>
  <c r="N109" i="1"/>
  <c r="Q108" i="1"/>
  <c r="O108" i="1"/>
  <c r="N108" i="1"/>
  <c r="Q107" i="1"/>
  <c r="O107" i="1"/>
  <c r="N107" i="1"/>
  <c r="Q106" i="1"/>
  <c r="O106" i="1"/>
  <c r="N106" i="1"/>
  <c r="Q105" i="1"/>
  <c r="O105" i="1"/>
  <c r="N105" i="1"/>
  <c r="Q104" i="1"/>
  <c r="O104" i="1"/>
  <c r="N104" i="1"/>
  <c r="Q103" i="1"/>
  <c r="O103" i="1"/>
  <c r="N103" i="1"/>
  <c r="Q102" i="1"/>
  <c r="O102" i="1"/>
  <c r="N102" i="1"/>
  <c r="Q101" i="1"/>
  <c r="O101" i="1"/>
  <c r="N101" i="1"/>
  <c r="Q100" i="1"/>
  <c r="O100" i="1"/>
  <c r="N100" i="1"/>
  <c r="Q99" i="1"/>
  <c r="O99" i="1"/>
  <c r="N99" i="1"/>
  <c r="Q98" i="1"/>
  <c r="O98" i="1"/>
  <c r="N98" i="1"/>
  <c r="Q97" i="1"/>
  <c r="O97" i="1"/>
  <c r="N97" i="1"/>
  <c r="Q96" i="1"/>
  <c r="O96" i="1"/>
  <c r="N96" i="1"/>
  <c r="Q95" i="1"/>
  <c r="O95" i="1"/>
  <c r="N95" i="1"/>
  <c r="Q94" i="1"/>
  <c r="O94" i="1"/>
  <c r="N94" i="1"/>
  <c r="Q93" i="1"/>
  <c r="O93" i="1"/>
  <c r="N93" i="1"/>
  <c r="Q92" i="1"/>
  <c r="O92" i="1"/>
  <c r="N92" i="1"/>
  <c r="Q91" i="1"/>
  <c r="O91" i="1"/>
  <c r="N91" i="1"/>
  <c r="Q90" i="1"/>
  <c r="O90" i="1"/>
  <c r="N90" i="1"/>
  <c r="Q89" i="1"/>
  <c r="O89" i="1"/>
  <c r="N89" i="1"/>
  <c r="Q88" i="1"/>
  <c r="O88" i="1"/>
  <c r="N88" i="1"/>
  <c r="Q87" i="1"/>
  <c r="O87" i="1"/>
  <c r="N87" i="1"/>
  <c r="Q86" i="1"/>
  <c r="O86" i="1"/>
  <c r="N86" i="1"/>
  <c r="Q85" i="1"/>
  <c r="O85" i="1"/>
  <c r="N85" i="1"/>
  <c r="Q84" i="1"/>
  <c r="O84" i="1"/>
  <c r="N84" i="1"/>
  <c r="Q83" i="1"/>
  <c r="O83" i="1"/>
  <c r="N83" i="1"/>
  <c r="Q82" i="1"/>
  <c r="O82" i="1"/>
  <c r="N82" i="1"/>
  <c r="Q81" i="1"/>
  <c r="O81" i="1"/>
  <c r="N81" i="1"/>
  <c r="Q80" i="1"/>
  <c r="O80" i="1"/>
  <c r="N80" i="1"/>
  <c r="Q79" i="1"/>
  <c r="O79" i="1"/>
  <c r="N79" i="1"/>
  <c r="Q78" i="1"/>
  <c r="O78" i="1"/>
  <c r="N78" i="1"/>
  <c r="Q77" i="1"/>
  <c r="O77" i="1"/>
  <c r="N77" i="1"/>
  <c r="Q76" i="1"/>
  <c r="O76" i="1"/>
  <c r="N76" i="1"/>
  <c r="Q75" i="1"/>
  <c r="O75" i="1"/>
  <c r="N75" i="1"/>
  <c r="Q74" i="1"/>
  <c r="O74" i="1"/>
  <c r="N74" i="1"/>
  <c r="Q73" i="1"/>
  <c r="O73" i="1"/>
  <c r="N73" i="1"/>
  <c r="Q72" i="1"/>
  <c r="O72" i="1"/>
  <c r="N72" i="1"/>
  <c r="Q71" i="1"/>
  <c r="O71" i="1"/>
  <c r="N71" i="1"/>
  <c r="Q70" i="1"/>
  <c r="O70" i="1"/>
  <c r="N70" i="1"/>
  <c r="Q69" i="1"/>
  <c r="O69" i="1"/>
  <c r="N69" i="1"/>
  <c r="Q68" i="1"/>
  <c r="O68" i="1"/>
  <c r="N68" i="1"/>
  <c r="Q67" i="1"/>
  <c r="O67" i="1"/>
  <c r="N67" i="1"/>
  <c r="D60" i="1"/>
  <c r="P126" i="1" s="1"/>
  <c r="D59" i="1"/>
  <c r="P125" i="1" s="1"/>
  <c r="D58" i="1"/>
  <c r="P124" i="1" s="1"/>
  <c r="D57" i="1"/>
  <c r="P123" i="1" s="1"/>
  <c r="D56" i="1"/>
  <c r="P122" i="1" s="1"/>
  <c r="D55" i="1"/>
  <c r="P121" i="1" s="1"/>
  <c r="D54" i="1"/>
  <c r="P120" i="1" s="1"/>
  <c r="D53" i="1"/>
  <c r="P119" i="1" s="1"/>
  <c r="D52" i="1"/>
  <c r="P118" i="1" s="1"/>
  <c r="D51" i="1"/>
  <c r="P117" i="1" s="1"/>
  <c r="D50" i="1"/>
  <c r="P116" i="1" s="1"/>
  <c r="D49" i="1"/>
  <c r="P115" i="1" s="1"/>
  <c r="D48" i="1"/>
  <c r="P114" i="1" s="1"/>
  <c r="D47" i="1"/>
  <c r="P113" i="1" s="1"/>
  <c r="D46" i="1"/>
  <c r="P112" i="1" s="1"/>
  <c r="D45" i="1"/>
  <c r="P111" i="1" s="1"/>
  <c r="D44" i="1"/>
  <c r="P110" i="1" s="1"/>
  <c r="D43" i="1"/>
  <c r="P109" i="1" s="1"/>
  <c r="D42" i="1"/>
  <c r="P108" i="1" s="1"/>
  <c r="D41" i="1"/>
  <c r="P107" i="1" s="1"/>
  <c r="D40" i="1"/>
  <c r="P106" i="1" s="1"/>
  <c r="D39" i="1"/>
  <c r="P105" i="1" s="1"/>
  <c r="D38" i="1"/>
  <c r="P104" i="1" s="1"/>
  <c r="D37" i="1"/>
  <c r="P103" i="1" s="1"/>
  <c r="D36" i="1"/>
  <c r="P102" i="1" s="1"/>
  <c r="D35" i="1"/>
  <c r="P101" i="1" s="1"/>
  <c r="D34" i="1"/>
  <c r="P100" i="1" s="1"/>
  <c r="D33" i="1"/>
  <c r="P99" i="1" s="1"/>
  <c r="D32" i="1"/>
  <c r="P98" i="1" s="1"/>
  <c r="D31" i="1"/>
  <c r="P97" i="1" s="1"/>
  <c r="D30" i="1"/>
  <c r="P96" i="1" s="1"/>
  <c r="D29" i="1"/>
  <c r="P95" i="1" s="1"/>
  <c r="D28" i="1"/>
  <c r="P94" i="1" s="1"/>
  <c r="D27" i="1"/>
  <c r="P93" i="1" s="1"/>
  <c r="D26" i="1"/>
  <c r="P92" i="1" s="1"/>
  <c r="D25" i="1"/>
  <c r="P91" i="1" s="1"/>
  <c r="D24" i="1"/>
  <c r="P90" i="1" s="1"/>
  <c r="D23" i="1"/>
  <c r="P89" i="1" s="1"/>
  <c r="D22" i="1"/>
  <c r="P88" i="1" s="1"/>
  <c r="D21" i="1"/>
  <c r="P87" i="1" s="1"/>
  <c r="D20" i="1"/>
  <c r="P86" i="1" s="1"/>
  <c r="D19" i="1"/>
  <c r="P85" i="1" s="1"/>
  <c r="D18" i="1"/>
  <c r="P84" i="1" s="1"/>
  <c r="D17" i="1"/>
  <c r="P83" i="1" s="1"/>
  <c r="D16" i="1"/>
  <c r="P82" i="1" s="1"/>
  <c r="D15" i="1"/>
  <c r="P81" i="1" s="1"/>
  <c r="D14" i="1"/>
  <c r="P80" i="1" s="1"/>
  <c r="D13" i="1"/>
  <c r="P79" i="1" s="1"/>
  <c r="D12" i="1"/>
  <c r="P78" i="1" s="1"/>
  <c r="D11" i="1"/>
  <c r="P77" i="1" s="1"/>
  <c r="D10" i="1"/>
  <c r="P76" i="1" s="1"/>
  <c r="D9" i="1"/>
  <c r="P75" i="1" s="1"/>
  <c r="D8" i="1"/>
  <c r="P74" i="1" s="1"/>
  <c r="D7" i="1"/>
  <c r="P73" i="1" s="1"/>
  <c r="D6" i="1"/>
  <c r="P72" i="1" s="1"/>
  <c r="D5" i="1"/>
  <c r="P71" i="1" s="1"/>
  <c r="D4" i="1"/>
  <c r="P70" i="1" s="1"/>
  <c r="D3" i="1"/>
  <c r="P69" i="1" s="1"/>
  <c r="D2" i="1"/>
  <c r="P68" i="1" s="1"/>
  <c r="D1" i="1"/>
  <c r="P67" i="1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R65" i="5"/>
  <c r="T65" i="5" s="1"/>
  <c r="N82" i="5"/>
  <c r="K109" i="5" s="1"/>
  <c r="M93" i="5"/>
  <c r="J120" i="5" s="1"/>
  <c r="I32" i="15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K59" i="5"/>
  <c r="N77" i="5" l="1"/>
  <c r="K104" i="5" s="1"/>
  <c r="K52" i="5"/>
  <c r="S50" i="5"/>
  <c r="V50" i="5" s="1"/>
  <c r="N11" i="5"/>
  <c r="H6" i="3"/>
  <c r="P53" i="5" s="1"/>
  <c r="M14" i="5"/>
  <c r="H7" i="3"/>
  <c r="P56" i="5" s="1"/>
  <c r="Q20" i="5"/>
  <c r="H8" i="3"/>
  <c r="P62" i="5" s="1"/>
  <c r="S59" i="5"/>
  <c r="V59" i="5" s="1"/>
  <c r="N86" i="5"/>
  <c r="K113" i="5" s="1"/>
  <c r="R59" i="5"/>
  <c r="T59" i="5" s="1"/>
  <c r="M86" i="5"/>
  <c r="J113" i="5" s="1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R62" i="5" l="1"/>
  <c r="T62" i="5" s="1"/>
  <c r="M89" i="5"/>
  <c r="J116" i="5" s="1"/>
  <c r="Q62" i="5"/>
  <c r="M79" i="5"/>
  <c r="J106" i="5" s="1"/>
  <c r="R52" i="5"/>
  <c r="T52" i="5" s="1"/>
  <c r="S52" i="5"/>
  <c r="V52" i="5" s="1"/>
  <c r="N79" i="5"/>
  <c r="K106" i="5" s="1"/>
  <c r="N80" i="5"/>
  <c r="K107" i="5" s="1"/>
  <c r="S53" i="5"/>
  <c r="V5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" authorId="0" shapeId="0" xr:uid="{953284EC-B038-454F-85BE-00623328960A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  <comment ref="C2" authorId="0" shapeId="0" xr:uid="{EB4EBCAC-CAD6-EE4C-94F6-92616206EDDE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<sst xmlns="http://schemas.openxmlformats.org/spreadsheetml/2006/main" count="278" uniqueCount="155">
  <si>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</si>
  <si>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</si>
  <si>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</si>
  <si>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</si>
  <si>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</si>
  <si>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</si>
  <si>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</si>
  <si>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</si>
  <si>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</si>
  <si>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</si>
  <si>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</si>
  <si>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</si>
  <si>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</si>
  <si>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</si>
  <si>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</si>
  <si>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</si>
  <si>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</si>
  <si>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</si>
  <si>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</si>
  <si>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</si>
  <si>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</si>
  <si>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</si>
  <si>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</si>
  <si>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</si>
  <si>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</si>
  <si>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</si>
  <si>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</si>
  <si>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</si>
  <si>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</si>
  <si>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</si>
  <si>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</si>
  <si>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</si>
  <si>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</si>
  <si>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</si>
  <si>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</si>
  <si>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</si>
  <si>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</si>
  <si>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</si>
  <si>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</si>
  <si>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</si>
  <si>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</si>
  <si>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</si>
  <si>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</si>
  <si>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</si>
  <si>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</si>
  <si>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</si>
  <si>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</si>
  <si>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</si>
  <si>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</si>
  <si>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</si>
  <si>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</si>
  <si>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</si>
  <si>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</si>
  <si>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</si>
  <si>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</si>
  <si>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</si>
  <si>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</si>
  <si>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</si>
  <si>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</si>
  <si>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</si>
  <si>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</si>
  <si>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</si>
  <si>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</si>
  <si>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</si>
  <si>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</si>
  <si>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</si>
  <si>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</si>
  <si>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</si>
  <si>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</si>
  <si>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</si>
  <si>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</si>
  <si>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</si>
  <si>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</si>
  <si>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</si>
  <si>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</si>
  <si>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</si>
  <si>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</si>
  <si>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</si>
  <si>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</si>
  <si>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</si>
  <si>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</si>
  <si>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</si>
  <si>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</si>
  <si>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</si>
  <si>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</si>
  <si>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</si>
  <si>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</si>
  <si>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</si>
  <si>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</si>
  <si>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</si>
  <si>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Planta Beneficio</t>
  </si>
  <si>
    <t>Rp</t>
  </si>
  <si>
    <t>Rm</t>
  </si>
  <si>
    <t>Planta Global</t>
  </si>
  <si>
    <t>Stock Prec a (o desde) Acopio Mina</t>
  </si>
  <si>
    <t>Delta Cubic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</si>
  <si>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</si>
  <si>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</si>
  <si>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</si>
  <si>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</si>
  <si>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</si>
  <si>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</si>
  <si>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</si>
  <si>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</si>
  <si>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</si>
  <si>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</si>
  <si>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</si>
  <si>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</si>
  <si>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</si>
  <si>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</si>
  <si>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</si>
  <si>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</si>
  <si>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</si>
  <si>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</si>
  <si>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</si>
  <si>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</si>
  <si>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</si>
  <si>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</si>
  <si>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</si>
  <si>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</si>
  <si>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</si>
  <si>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</si>
  <si>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</si>
  <si>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</si>
  <si>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</si>
  <si>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</si>
  <si>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</si>
  <si>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</si>
  <si>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</si>
  <si>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</si>
  <si>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</si>
  <si>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</si>
  <si>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</si>
  <si>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</si>
  <si>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</si>
  <si>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</si>
  <si>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</si>
  <si>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</si>
  <si>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</si>
  <si>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</si>
  <si>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</si>
  <si>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</si>
  <si>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</si>
  <si>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</si>
  <si>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</si>
  <si>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</si>
  <si>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</si>
  <si>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</si>
  <si>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consume</t>
  </si>
  <si>
    <t>mantiene</t>
  </si>
  <si>
    <t>aumenta</t>
  </si>
  <si>
    <t>San Andres</t>
  </si>
  <si>
    <r>
      <t xml:space="preserve">PRODUCCIÓN </t>
    </r>
    <r>
      <rPr>
        <b/>
        <sz val="11"/>
        <color theme="1"/>
        <rFont val="Calibri"/>
        <family val="2"/>
        <scheme val="minor"/>
      </rPr>
      <t>PM</t>
    </r>
  </si>
  <si>
    <t>A&amp;Q</t>
  </si>
  <si>
    <t>Autech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</si>
</sst>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#,##0.0"/>
    <numFmt numFmtId="167" formatCode="0.000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5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6" xfId="0" applyBorder="1"/>
    <xf numFmtId="165" fontId="0" fillId="0" borderId="1" xfId="0" applyNumberFormat="1" applyBorder="1"/>
    <xf numFmtId="0" fontId="0" fillId="0" borderId="1" xfId="0" applyBorder="1"/>
    <xf numFmtId="0" fontId="0" fillId="0" borderId="11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4" xfId="0" applyBorder="1"/>
    <xf numFmtId="0" fontId="0" fillId="0" borderId="0" xfId="0" applyFill="1" applyBorder="1"/>
    <xf numFmtId="0" fontId="8" fillId="6" borderId="13" xfId="0" applyFont="1" applyFill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11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7" borderId="0" xfId="0" applyFont="1" applyFill="1"/>
    <xf numFmtId="0" fontId="0" fillId="8" borderId="10" xfId="0" applyFill="1" applyBorder="1" applyAlignment="1">
      <alignment horizontal="center"/>
    </xf>
    <xf numFmtId="0" fontId="0" fillId="7" borderId="1" xfId="0" applyFill="1" applyBorder="1"/>
    <xf numFmtId="10" fontId="0" fillId="0" borderId="1" xfId="0" applyNumberFormat="1" applyBorder="1"/>
    <xf numFmtId="0" fontId="11" fillId="7" borderId="1" xfId="0" applyFont="1" applyFill="1" applyBorder="1"/>
    <xf numFmtId="0" fontId="0" fillId="9" borderId="0" xfId="0" applyFill="1" applyAlignment="1">
      <alignment wrapText="1"/>
    </xf>
    <xf numFmtId="10" fontId="8" fillId="6" borderId="0" xfId="0" applyNumberFormat="1" applyFont="1" applyFill="1"/>
    <xf numFmtId="0" fontId="0" fillId="10" borderId="0" xfId="0" applyFill="1"/>
    <xf numFmtId="0" fontId="11" fillId="7" borderId="10" xfId="0" applyFont="1" applyFill="1" applyBorder="1"/>
    <xf numFmtId="0" fontId="8" fillId="6" borderId="15" xfId="0" applyFont="1" applyFill="1" applyBorder="1"/>
    <xf numFmtId="3" fontId="0" fillId="0" borderId="14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0" xfId="0" applyNumberFormat="1" applyFont="1" applyBorder="1"/>
    <xf numFmtId="10" fontId="0" fillId="0" borderId="6" xfId="0" applyNumberFormat="1" applyFont="1" applyBorder="1"/>
    <xf numFmtId="3" fontId="0" fillId="0" borderId="0" xfId="0" applyNumberFormat="1" applyFont="1"/>
    <xf numFmtId="3" fontId="0" fillId="0" borderId="10" xfId="0" applyNumberFormat="1" applyFont="1" applyBorder="1"/>
    <xf numFmtId="0" fontId="0" fillId="0" borderId="14" xfId="0" applyFont="1" applyBorder="1"/>
    <xf numFmtId="3" fontId="0" fillId="0" borderId="6" xfId="0" applyNumberFormat="1" applyFont="1" applyBorder="1"/>
    <xf numFmtId="3" fontId="0" fillId="8" borderId="1" xfId="0" applyNumberFormat="1" applyFont="1" applyFill="1" applyBorder="1"/>
    <xf numFmtId="10" fontId="0" fillId="8" borderId="1" xfId="0" applyNumberFormat="1" applyFont="1" applyFill="1" applyBorder="1"/>
    <xf numFmtId="3" fontId="0" fillId="0" borderId="6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0" xfId="0" applyNumberFormat="1" applyFont="1" applyBorder="1"/>
    <xf numFmtId="10" fontId="13" fillId="0" borderId="10" xfId="0" applyNumberFormat="1" applyFont="1" applyBorder="1"/>
    <xf numFmtId="3" fontId="13" fillId="0" borderId="6" xfId="0" applyNumberFormat="1" applyFont="1" applyFill="1" applyBorder="1"/>
    <xf numFmtId="10" fontId="13" fillId="0" borderId="6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0" fontId="0" fillId="0" borderId="19" xfId="0" applyBorder="1"/>
    <xf numFmtId="0" fontId="0" fillId="0" borderId="12" xfId="0" applyBorder="1"/>
    <xf numFmtId="0" fontId="0" fillId="0" borderId="20" xfId="0" applyBorder="1"/>
    <xf numFmtId="3" fontId="16" fillId="0" borderId="0" xfId="0" applyNumberFormat="1" applyFont="1" applyBorder="1" applyAlignment="1">
      <alignment horizontal="left" indent="2"/>
    </xf>
    <xf numFmtId="3" fontId="18" fillId="7" borderId="1" xfId="0" applyNumberFormat="1" applyFont="1" applyFill="1" applyBorder="1"/>
    <xf numFmtId="3" fontId="18" fillId="7" borderId="1" xfId="0" applyNumberFormat="1" applyFont="1" applyFill="1" applyBorder="1" applyAlignment="1">
      <alignment horizontal="center" vertical="center"/>
    </xf>
    <xf numFmtId="10" fontId="18" fillId="7" borderId="1" xfId="0" applyNumberFormat="1" applyFont="1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7" borderId="1" xfId="0" applyFont="1" applyFill="1" applyBorder="1"/>
    <xf numFmtId="3" fontId="18" fillId="11" borderId="1" xfId="0" applyNumberFormat="1" applyFont="1" applyFill="1" applyBorder="1"/>
    <xf numFmtId="10" fontId="0" fillId="4" borderId="1" xfId="0" applyNumberFormat="1" applyFill="1" applyBorder="1"/>
    <xf numFmtId="0" fontId="21" fillId="12" borderId="1" xfId="0" applyFont="1" applyFill="1" applyBorder="1"/>
    <xf numFmtId="10" fontId="21" fillId="12" borderId="1" xfId="0" applyNumberFormat="1" applyFont="1" applyFill="1" applyBorder="1" applyAlignment="1">
      <alignment horizontal="center"/>
    </xf>
    <xf numFmtId="3" fontId="0" fillId="0" borderId="17" xfId="0" applyNumberFormat="1" applyBorder="1"/>
    <xf numFmtId="10" fontId="22" fillId="0" borderId="1" xfId="0" applyNumberFormat="1" applyFont="1" applyFill="1" applyBorder="1"/>
    <xf numFmtId="0" fontId="0" fillId="0" borderId="0" xfId="0"/>
    <xf numFmtId="3" fontId="0" fillId="0" borderId="0" xfId="0" applyNumberFormat="1"/>
    <xf numFmtId="0" fontId="0" fillId="7" borderId="1" xfId="0" applyFill="1" applyBorder="1"/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3" fontId="0" fillId="6" borderId="1" xfId="0" applyNumberFormat="1" applyFill="1" applyBorder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6" fillId="0" borderId="1" xfId="0" applyNumberFormat="1" applyFont="1" applyBorder="1"/>
    <xf numFmtId="0" fontId="25" fillId="0" borderId="21" xfId="0" applyFont="1" applyBorder="1"/>
    <xf numFmtId="0" fontId="25" fillId="15" borderId="22" xfId="0" applyFont="1" applyFill="1" applyBorder="1"/>
    <xf numFmtId="0" fontId="25" fillId="15" borderId="23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2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2" borderId="0" xfId="0" applyNumberFormat="1" applyFont="1" applyFill="1" applyBorder="1"/>
    <xf numFmtId="10" fontId="8" fillId="12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2" borderId="0" xfId="0" applyNumberFormat="1" applyFont="1" applyFill="1" applyBorder="1"/>
    <xf numFmtId="10" fontId="0" fillId="12" borderId="0" xfId="0" applyNumberFormat="1" applyFont="1" applyFill="1" applyBorder="1"/>
    <xf numFmtId="165" fontId="0" fillId="12" borderId="0" xfId="0" applyNumberFormat="1" applyFont="1" applyFill="1" applyBorder="1"/>
    <xf numFmtId="3" fontId="8" fillId="12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5" fillId="14" borderId="24" xfId="0" applyFont="1" applyFill="1" applyBorder="1"/>
    <xf numFmtId="0" fontId="25" fillId="14" borderId="22" xfId="0" applyFont="1" applyFill="1" applyBorder="1"/>
    <xf numFmtId="0" fontId="25" fillId="14" borderId="25" xfId="0" applyFont="1" applyFill="1" applyBorder="1"/>
    <xf numFmtId="0" fontId="25" fillId="15" borderId="25" xfId="0" applyFont="1" applyFill="1" applyBorder="1"/>
    <xf numFmtId="0" fontId="25" fillId="16" borderId="22" xfId="0" applyFont="1" applyFill="1" applyBorder="1"/>
    <xf numFmtId="0" fontId="25" fillId="16" borderId="25" xfId="0" applyFont="1" applyFill="1" applyBorder="1"/>
    <xf numFmtId="0" fontId="25" fillId="18" borderId="24" xfId="0" applyFont="1" applyFill="1" applyBorder="1"/>
    <xf numFmtId="0" fontId="25" fillId="18" borderId="22" xfId="0" applyFont="1" applyFill="1" applyBorder="1"/>
    <xf numFmtId="0" fontId="25" fillId="18" borderId="25" xfId="0" applyFont="1" applyFill="1" applyBorder="1"/>
    <xf numFmtId="0" fontId="25" fillId="19" borderId="24" xfId="0" applyFont="1" applyFill="1" applyBorder="1"/>
    <xf numFmtId="0" fontId="25" fillId="19" borderId="22" xfId="0" applyFont="1" applyFill="1" applyBorder="1"/>
    <xf numFmtId="0" fontId="25" fillId="19" borderId="25" xfId="0" applyFont="1" applyFill="1" applyBorder="1"/>
    <xf numFmtId="0" fontId="25" fillId="17" borderId="24" xfId="0" applyFont="1" applyFill="1" applyBorder="1"/>
    <xf numFmtId="0" fontId="25" fillId="17" borderId="22" xfId="0" applyFont="1" applyFill="1" applyBorder="1"/>
    <xf numFmtId="0" fontId="25" fillId="17" borderId="25" xfId="0" applyFont="1" applyFill="1" applyBorder="1"/>
    <xf numFmtId="0" fontId="25" fillId="13" borderId="1" xfId="0" applyFont="1" applyFill="1" applyBorder="1" applyAlignment="1">
      <alignment horizontal="center"/>
    </xf>
    <xf numFmtId="0" fontId="0" fillId="12" borderId="0" xfId="2" applyFont="1" applyFill="1" applyBorder="1" applyAlignment="1">
      <alignment horizontal="center"/>
    </xf>
    <xf numFmtId="9" fontId="0" fillId="12" borderId="0" xfId="0" applyNumberFormat="1" applyFont="1" applyFill="1"/>
    <xf numFmtId="0" fontId="0" fillId="0" borderId="0" xfId="2" applyFont="1" applyFill="1" applyBorder="1" applyAlignment="1">
      <alignment horizontal="center"/>
    </xf>
    <xf numFmtId="9" fontId="0" fillId="12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Border="1"/>
    <xf numFmtId="167" fontId="0" fillId="0" borderId="1" xfId="0" applyNumberFormat="1" applyBorder="1"/>
    <xf numFmtId="0" fontId="0" fillId="20" borderId="0" xfId="0" applyFill="1"/>
    <xf numFmtId="0" fontId="0" fillId="20" borderId="1" xfId="0" applyFill="1" applyBorder="1"/>
    <xf numFmtId="1" fontId="26" fillId="0" borderId="1" xfId="0" applyNumberFormat="1" applyFont="1" applyBorder="1"/>
    <xf numFmtId="3" fontId="8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3" fontId="29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3" fontId="8" fillId="0" borderId="18" xfId="0" applyNumberFormat="1" applyFont="1" applyBorder="1" applyAlignment="1">
      <alignment horizontal="left"/>
    </xf>
    <xf numFmtId="10" fontId="0" fillId="0" borderId="18" xfId="0" applyNumberFormat="1" applyBorder="1" applyAlignment="1">
      <alignment horizontal="left"/>
    </xf>
    <xf numFmtId="3" fontId="29" fillId="0" borderId="18" xfId="0" applyNumberFormat="1" applyFont="1" applyBorder="1" applyAlignment="1">
      <alignment horizontal="left"/>
    </xf>
    <xf numFmtId="3" fontId="8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3" fontId="29" fillId="0" borderId="0" xfId="0" applyNumberFormat="1" applyFont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0" fillId="1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523829</xdr:colOff>
      <xdr:row>11</xdr:row>
      <xdr:rowOff>928</xdr:rowOff>
    </xdr:from>
    <xdr:to>
      <xdr:col>16</xdr:col>
      <xdr:colOff>39184</xdr:colOff>
      <xdr:row>13</xdr:row>
      <xdr:rowOff>126923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82591C4-7A57-7948-A23D-65021450B54C}"/>
            </a:ext>
          </a:extLst>
        </xdr:cNvPr>
        <xdr:cNvSpPr/>
      </xdr:nvSpPr>
      <xdr:spPr>
        <a:xfrm>
          <a:off x="11877629" y="2299628"/>
          <a:ext cx="1166355" cy="5069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Relaves</a:t>
          </a:r>
        </a:p>
      </xdr:txBody>
    </xdr:sp>
    <xdr:clientData/>
  </xdr:twoCellAnchor>
  <xdr:twoCellAnchor>
    <xdr:from>
      <xdr:col>6</xdr:col>
      <xdr:colOff>423165</xdr:colOff>
      <xdr:row>25</xdr:row>
      <xdr:rowOff>103966</xdr:rowOff>
    </xdr:from>
    <xdr:to>
      <xdr:col>6</xdr:col>
      <xdr:colOff>645659</xdr:colOff>
      <xdr:row>26</xdr:row>
      <xdr:rowOff>116849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BC2AF5F7-652A-BA42-A95D-C6B428B5D3C6}"/>
            </a:ext>
          </a:extLst>
        </xdr:cNvPr>
        <xdr:cNvSpPr/>
      </xdr:nvSpPr>
      <xdr:spPr>
        <a:xfrm>
          <a:off x="4969765" y="5069666"/>
          <a:ext cx="222494" cy="20338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612635</xdr:colOff>
      <xdr:row>2</xdr:row>
      <xdr:rowOff>61856</xdr:rowOff>
    </xdr:from>
    <xdr:to>
      <xdr:col>9</xdr:col>
      <xdr:colOff>630009</xdr:colOff>
      <xdr:row>6</xdr:row>
      <xdr:rowOff>38801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B511871-837D-E24F-A355-C79FA5D8BE25}"/>
            </a:ext>
          </a:extLst>
        </xdr:cNvPr>
        <xdr:cNvCxnSpPr>
          <a:cxnSpLocks/>
          <a:stCxn id="23" idx="2"/>
          <a:endCxn id="15" idx="0"/>
        </xdr:cNvCxnSpPr>
      </xdr:nvCxnSpPr>
      <xdr:spPr>
        <a:xfrm flipH="1">
          <a:off x="7635735" y="646056"/>
          <a:ext cx="17374" cy="738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751089</xdr:colOff>
      <xdr:row>7</xdr:row>
      <xdr:rowOff>8283</xdr:rowOff>
    </xdr:from>
    <xdr:to>
      <xdr:col>4</xdr:col>
      <xdr:colOff>567574</xdr:colOff>
      <xdr:row>9</xdr:row>
      <xdr:rowOff>160553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7B21DCF2-444B-5F49-AB64-C9F54550DEFE}"/>
            </a:ext>
          </a:extLst>
        </xdr:cNvPr>
        <xdr:cNvSpPr/>
      </xdr:nvSpPr>
      <xdr:spPr>
        <a:xfrm>
          <a:off x="2694189" y="1544983"/>
          <a:ext cx="641985" cy="53327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282074</xdr:colOff>
      <xdr:row>5</xdr:row>
      <xdr:rowOff>174873</xdr:rowOff>
    </xdr:from>
    <xdr:to>
      <xdr:col>4</xdr:col>
      <xdr:colOff>534801</xdr:colOff>
      <xdr:row>7</xdr:row>
      <xdr:rowOff>159168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8CEDF67-F7E1-E54D-B780-B0310CF54803}"/>
            </a:ext>
          </a:extLst>
        </xdr:cNvPr>
        <xdr:cNvSpPr/>
      </xdr:nvSpPr>
      <xdr:spPr>
        <a:xfrm>
          <a:off x="2225174" y="1330573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P55</a:t>
          </a:r>
        </a:p>
      </xdr:txBody>
    </xdr:sp>
    <xdr:clientData/>
  </xdr:twoCellAnchor>
  <xdr:twoCellAnchor>
    <xdr:from>
      <xdr:col>3</xdr:col>
      <xdr:colOff>751089</xdr:colOff>
      <xdr:row>18</xdr:row>
      <xdr:rowOff>165944</xdr:rowOff>
    </xdr:from>
    <xdr:to>
      <xdr:col>4</xdr:col>
      <xdr:colOff>567574</xdr:colOff>
      <xdr:row>21</xdr:row>
      <xdr:rowOff>134064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72EEBCE9-6BEE-7645-8C4D-B64FE5EB8C46}"/>
            </a:ext>
          </a:extLst>
        </xdr:cNvPr>
        <xdr:cNvSpPr/>
      </xdr:nvSpPr>
      <xdr:spPr>
        <a:xfrm>
          <a:off x="2694189" y="3798144"/>
          <a:ext cx="6419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243725</xdr:colOff>
      <xdr:row>17</xdr:row>
      <xdr:rowOff>173796</xdr:rowOff>
    </xdr:from>
    <xdr:to>
      <xdr:col>4</xdr:col>
      <xdr:colOff>496452</xdr:colOff>
      <xdr:row>19</xdr:row>
      <xdr:rowOff>158091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64C3737-1C90-ED42-9407-B036A8D6AA30}"/>
            </a:ext>
          </a:extLst>
        </xdr:cNvPr>
        <xdr:cNvSpPr/>
      </xdr:nvSpPr>
      <xdr:spPr>
        <a:xfrm>
          <a:off x="2186825" y="3615496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Alianza</a:t>
          </a:r>
        </a:p>
      </xdr:txBody>
    </xdr:sp>
    <xdr:clientData/>
  </xdr:twoCellAnchor>
  <xdr:twoCellAnchor>
    <xdr:from>
      <xdr:col>3</xdr:col>
      <xdr:colOff>743235</xdr:colOff>
      <xdr:row>29</xdr:row>
      <xdr:rowOff>1613</xdr:rowOff>
    </xdr:from>
    <xdr:to>
      <xdr:col>4</xdr:col>
      <xdr:colOff>559720</xdr:colOff>
      <xdr:row>31</xdr:row>
      <xdr:rowOff>154460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42A613B1-428C-B646-9102-8FA45BF5697B}"/>
            </a:ext>
          </a:extLst>
        </xdr:cNvPr>
        <xdr:cNvSpPr/>
      </xdr:nvSpPr>
      <xdr:spPr>
        <a:xfrm>
          <a:off x="2686335" y="5729313"/>
          <a:ext cx="641985" cy="53384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224326</xdr:colOff>
      <xdr:row>28</xdr:row>
      <xdr:rowOff>90283</xdr:rowOff>
    </xdr:from>
    <xdr:to>
      <xdr:col>4</xdr:col>
      <xdr:colOff>477053</xdr:colOff>
      <xdr:row>30</xdr:row>
      <xdr:rowOff>74578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393DD46-FE4D-584A-BA0C-6F49F543844F}"/>
            </a:ext>
          </a:extLst>
        </xdr:cNvPr>
        <xdr:cNvSpPr/>
      </xdr:nvSpPr>
      <xdr:spPr>
        <a:xfrm>
          <a:off x="2167426" y="5627483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P40</a:t>
          </a:r>
        </a:p>
      </xdr:txBody>
    </xdr:sp>
    <xdr:clientData/>
  </xdr:twoCellAnchor>
  <xdr:twoCellAnchor>
    <xdr:from>
      <xdr:col>3</xdr:col>
      <xdr:colOff>744681</xdr:colOff>
      <xdr:row>39</xdr:row>
      <xdr:rowOff>37790</xdr:rowOff>
    </xdr:from>
    <xdr:to>
      <xdr:col>4</xdr:col>
      <xdr:colOff>561166</xdr:colOff>
      <xdr:row>42</xdr:row>
      <xdr:rowOff>5910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29B75CB-D744-6643-AE38-227A10070712}"/>
            </a:ext>
          </a:extLst>
        </xdr:cNvPr>
        <xdr:cNvSpPr/>
      </xdr:nvSpPr>
      <xdr:spPr>
        <a:xfrm>
          <a:off x="2687781" y="7670490"/>
          <a:ext cx="6419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264531</xdr:colOff>
      <xdr:row>38</xdr:row>
      <xdr:rowOff>81927</xdr:rowOff>
    </xdr:from>
    <xdr:to>
      <xdr:col>4</xdr:col>
      <xdr:colOff>517258</xdr:colOff>
      <xdr:row>40</xdr:row>
      <xdr:rowOff>66222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7F7C4197-5946-D44A-B80B-CA79C3D4E20E}"/>
            </a:ext>
          </a:extLst>
        </xdr:cNvPr>
        <xdr:cNvSpPr/>
      </xdr:nvSpPr>
      <xdr:spPr>
        <a:xfrm>
          <a:off x="2207631" y="7524127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MLC-SF</a:t>
          </a:r>
        </a:p>
      </xdr:txBody>
    </xdr:sp>
    <xdr:clientData/>
  </xdr:twoCellAnchor>
  <xdr:twoCellAnchor>
    <xdr:from>
      <xdr:col>4</xdr:col>
      <xdr:colOff>9895</xdr:colOff>
      <xdr:row>49</xdr:row>
      <xdr:rowOff>37334</xdr:rowOff>
    </xdr:from>
    <xdr:to>
      <xdr:col>4</xdr:col>
      <xdr:colOff>588380</xdr:colOff>
      <xdr:row>52</xdr:row>
      <xdr:rowOff>5454</xdr:rowOff>
    </xdr:to>
    <xdr:sp macro="" textlink="">
      <xdr:nvSpPr>
        <xdr:cNvPr id="13" name="Triángulo isósceles 12">
          <a:extLst>
            <a:ext uri="{FF2B5EF4-FFF2-40B4-BE49-F238E27FC236}">
              <a16:creationId xmlns:a16="http://schemas.microsoft.com/office/drawing/2014/main" id="{A51B9ABB-84EC-1B4F-B06F-26DABA09488C}"/>
            </a:ext>
          </a:extLst>
        </xdr:cNvPr>
        <xdr:cNvSpPr/>
      </xdr:nvSpPr>
      <xdr:spPr>
        <a:xfrm>
          <a:off x="2778495" y="9575034"/>
          <a:ext cx="5784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282074</xdr:colOff>
      <xdr:row>49</xdr:row>
      <xdr:rowOff>42730</xdr:rowOff>
    </xdr:from>
    <xdr:to>
      <xdr:col>4</xdr:col>
      <xdr:colOff>98559</xdr:colOff>
      <xdr:row>50</xdr:row>
      <xdr:rowOff>132200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E85395F6-3555-DA40-A084-6BE1B75659C2}"/>
            </a:ext>
          </a:extLst>
        </xdr:cNvPr>
        <xdr:cNvSpPr/>
      </xdr:nvSpPr>
      <xdr:spPr>
        <a:xfrm>
          <a:off x="2225174" y="9580430"/>
          <a:ext cx="641985" cy="2799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GC</a:t>
          </a:r>
        </a:p>
      </xdr:txBody>
    </xdr:sp>
    <xdr:clientData/>
  </xdr:twoCellAnchor>
  <xdr:twoCellAnchor>
    <xdr:from>
      <xdr:col>9</xdr:col>
      <xdr:colOff>19035</xdr:colOff>
      <xdr:row>6</xdr:row>
      <xdr:rowOff>38801</xdr:rowOff>
    </xdr:from>
    <xdr:to>
      <xdr:col>10</xdr:col>
      <xdr:colOff>444235</xdr:colOff>
      <xdr:row>8</xdr:row>
      <xdr:rowOff>164796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9B6F8F96-CA69-4345-84F1-6EC568E727E4}"/>
            </a:ext>
          </a:extLst>
        </xdr:cNvPr>
        <xdr:cNvSpPr/>
      </xdr:nvSpPr>
      <xdr:spPr>
        <a:xfrm>
          <a:off x="7042135" y="1385001"/>
          <a:ext cx="1250700" cy="5069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Rougher 1</a:t>
          </a:r>
        </a:p>
      </xdr:txBody>
    </xdr:sp>
    <xdr:clientData/>
  </xdr:twoCellAnchor>
  <xdr:twoCellAnchor>
    <xdr:from>
      <xdr:col>9</xdr:col>
      <xdr:colOff>9512</xdr:colOff>
      <xdr:row>14</xdr:row>
      <xdr:rowOff>27971</xdr:rowOff>
    </xdr:from>
    <xdr:to>
      <xdr:col>10</xdr:col>
      <xdr:colOff>434712</xdr:colOff>
      <xdr:row>16</xdr:row>
      <xdr:rowOff>147616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9219847-EFD3-CB4A-B717-BEDE17068940}"/>
            </a:ext>
          </a:extLst>
        </xdr:cNvPr>
        <xdr:cNvSpPr/>
      </xdr:nvSpPr>
      <xdr:spPr>
        <a:xfrm>
          <a:off x="7032612" y="2898171"/>
          <a:ext cx="1250700" cy="50064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Rougher 2</a:t>
          </a:r>
        </a:p>
      </xdr:txBody>
    </xdr:sp>
    <xdr:clientData/>
  </xdr:twoCellAnchor>
  <xdr:twoCellAnchor>
    <xdr:from>
      <xdr:col>8</xdr:col>
      <xdr:colOff>710901</xdr:colOff>
      <xdr:row>25</xdr:row>
      <xdr:rowOff>113988</xdr:rowOff>
    </xdr:from>
    <xdr:to>
      <xdr:col>10</xdr:col>
      <xdr:colOff>489604</xdr:colOff>
      <xdr:row>28</xdr:row>
      <xdr:rowOff>58554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A5441D86-70D6-4F43-8593-76A1F80E4292}"/>
            </a:ext>
          </a:extLst>
        </xdr:cNvPr>
        <xdr:cNvSpPr/>
      </xdr:nvSpPr>
      <xdr:spPr>
        <a:xfrm>
          <a:off x="6908501" y="5079688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HIDROSEPARACIÓN</a:t>
          </a:r>
        </a:p>
      </xdr:txBody>
    </xdr:sp>
    <xdr:clientData/>
  </xdr:twoCellAnchor>
  <xdr:twoCellAnchor>
    <xdr:from>
      <xdr:col>8</xdr:col>
      <xdr:colOff>709072</xdr:colOff>
      <xdr:row>32</xdr:row>
      <xdr:rowOff>110981</xdr:rowOff>
    </xdr:from>
    <xdr:to>
      <xdr:col>10</xdr:col>
      <xdr:colOff>487775</xdr:colOff>
      <xdr:row>35</xdr:row>
      <xdr:rowOff>55547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D52132C1-ACDE-BF4E-8450-4E779765036E}"/>
            </a:ext>
          </a:extLst>
        </xdr:cNvPr>
        <xdr:cNvSpPr/>
      </xdr:nvSpPr>
      <xdr:spPr>
        <a:xfrm>
          <a:off x="6906672" y="6410181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FINISHER</a:t>
          </a:r>
        </a:p>
      </xdr:txBody>
    </xdr:sp>
    <xdr:clientData/>
  </xdr:twoCellAnchor>
  <xdr:twoCellAnchor>
    <xdr:from>
      <xdr:col>8</xdr:col>
      <xdr:colOff>708466</xdr:colOff>
      <xdr:row>39</xdr:row>
      <xdr:rowOff>48229</xdr:rowOff>
    </xdr:from>
    <xdr:to>
      <xdr:col>10</xdr:col>
      <xdr:colOff>487169</xdr:colOff>
      <xdr:row>41</xdr:row>
      <xdr:rowOff>176945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B0D1A24-726D-554A-A7E7-164FA915CB95}"/>
            </a:ext>
          </a:extLst>
        </xdr:cNvPr>
        <xdr:cNvSpPr/>
      </xdr:nvSpPr>
      <xdr:spPr>
        <a:xfrm>
          <a:off x="6906066" y="7680929"/>
          <a:ext cx="1429703" cy="5097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FLOTACIÓN </a:t>
          </a:r>
        </a:p>
      </xdr:txBody>
    </xdr:sp>
    <xdr:clientData/>
  </xdr:twoCellAnchor>
  <xdr:twoCellAnchor>
    <xdr:from>
      <xdr:col>8</xdr:col>
      <xdr:colOff>699394</xdr:colOff>
      <xdr:row>46</xdr:row>
      <xdr:rowOff>98164</xdr:rowOff>
    </xdr:from>
    <xdr:to>
      <xdr:col>10</xdr:col>
      <xdr:colOff>478097</xdr:colOff>
      <xdr:row>49</xdr:row>
      <xdr:rowOff>42730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A93BCCE3-194F-1246-8031-00D2C0384E25}"/>
            </a:ext>
          </a:extLst>
        </xdr:cNvPr>
        <xdr:cNvSpPr/>
      </xdr:nvSpPr>
      <xdr:spPr>
        <a:xfrm>
          <a:off x="6896994" y="9064364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ESPESADOR </a:t>
          </a:r>
        </a:p>
      </xdr:txBody>
    </xdr:sp>
    <xdr:clientData/>
  </xdr:twoCellAnchor>
  <xdr:twoCellAnchor>
    <xdr:from>
      <xdr:col>6</xdr:col>
      <xdr:colOff>248497</xdr:colOff>
      <xdr:row>55</xdr:row>
      <xdr:rowOff>114415</xdr:rowOff>
    </xdr:from>
    <xdr:to>
      <xdr:col>7</xdr:col>
      <xdr:colOff>64982</xdr:colOff>
      <xdr:row>58</xdr:row>
      <xdr:rowOff>82535</xdr:rowOff>
    </xdr:to>
    <xdr:sp macro="" textlink="">
      <xdr:nvSpPr>
        <xdr:cNvPr id="21" name="Triángulo isósceles 20">
          <a:extLst>
            <a:ext uri="{FF2B5EF4-FFF2-40B4-BE49-F238E27FC236}">
              <a16:creationId xmlns:a16="http://schemas.microsoft.com/office/drawing/2014/main" id="{3F036A88-0446-CA4A-B635-D56E5B6FE761}"/>
            </a:ext>
          </a:extLst>
        </xdr:cNvPr>
        <xdr:cNvSpPr/>
      </xdr:nvSpPr>
      <xdr:spPr>
        <a:xfrm>
          <a:off x="4795097" y="10858615"/>
          <a:ext cx="641985" cy="5269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702298</xdr:colOff>
      <xdr:row>56</xdr:row>
      <xdr:rowOff>91324</xdr:rowOff>
    </xdr:from>
    <xdr:to>
      <xdr:col>7</xdr:col>
      <xdr:colOff>77570</xdr:colOff>
      <xdr:row>58</xdr:row>
      <xdr:rowOff>75619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89254F07-7287-5341-995D-E9D84EB2524E}"/>
            </a:ext>
          </a:extLst>
        </xdr:cNvPr>
        <xdr:cNvSpPr/>
      </xdr:nvSpPr>
      <xdr:spPr>
        <a:xfrm>
          <a:off x="4296398" y="11013324"/>
          <a:ext cx="1153272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INTERMEDIO</a:t>
          </a:r>
        </a:p>
      </xdr:txBody>
    </xdr:sp>
    <xdr:clientData/>
  </xdr:twoCellAnchor>
  <xdr:twoCellAnchor>
    <xdr:from>
      <xdr:col>9</xdr:col>
      <xdr:colOff>122645</xdr:colOff>
      <xdr:row>0</xdr:row>
      <xdr:rowOff>83911</xdr:rowOff>
    </xdr:from>
    <xdr:to>
      <xdr:col>10</xdr:col>
      <xdr:colOff>375372</xdr:colOff>
      <xdr:row>2</xdr:row>
      <xdr:rowOff>61856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F6B91CED-08C9-224E-90F1-BBE52F4C40F1}"/>
            </a:ext>
          </a:extLst>
        </xdr:cNvPr>
        <xdr:cNvSpPr/>
      </xdr:nvSpPr>
      <xdr:spPr>
        <a:xfrm>
          <a:off x="7145745" y="287111"/>
          <a:ext cx="1078227" cy="358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ALIMENTACIÓN CMCC</a:t>
          </a:r>
        </a:p>
      </xdr:txBody>
    </xdr:sp>
    <xdr:clientData/>
  </xdr:twoCellAnchor>
  <xdr:twoCellAnchor>
    <xdr:from>
      <xdr:col>3</xdr:col>
      <xdr:colOff>194235</xdr:colOff>
      <xdr:row>8</xdr:row>
      <xdr:rowOff>74706</xdr:rowOff>
    </xdr:from>
    <xdr:to>
      <xdr:col>4</xdr:col>
      <xdr:colOff>133710</xdr:colOff>
      <xdr:row>8</xdr:row>
      <xdr:rowOff>84418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3E5DE8C2-A71D-154C-98DE-F450892CCF3C}"/>
            </a:ext>
          </a:extLst>
        </xdr:cNvPr>
        <xdr:cNvCxnSpPr>
          <a:cxnSpLocks/>
          <a:endCxn id="5" idx="1"/>
        </xdr:cNvCxnSpPr>
      </xdr:nvCxnSpPr>
      <xdr:spPr>
        <a:xfrm>
          <a:off x="2137335" y="1801906"/>
          <a:ext cx="764975" cy="9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117929</xdr:colOff>
      <xdr:row>20</xdr:row>
      <xdr:rowOff>54429</xdr:rowOff>
    </xdr:from>
    <xdr:to>
      <xdr:col>4</xdr:col>
      <xdr:colOff>133710</xdr:colOff>
      <xdr:row>20</xdr:row>
      <xdr:rowOff>59290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6619EE39-92DF-A649-91A7-3A7B22A2EE44}"/>
            </a:ext>
          </a:extLst>
        </xdr:cNvPr>
        <xdr:cNvCxnSpPr>
          <a:cxnSpLocks/>
          <a:endCxn id="7" idx="1"/>
        </xdr:cNvCxnSpPr>
      </xdr:nvCxnSpPr>
      <xdr:spPr>
        <a:xfrm>
          <a:off x="2061029" y="4067629"/>
          <a:ext cx="841281" cy="4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</xdr:colOff>
      <xdr:row>30</xdr:row>
      <xdr:rowOff>77748</xdr:rowOff>
    </xdr:from>
    <xdr:to>
      <xdr:col>4</xdr:col>
      <xdr:colOff>125856</xdr:colOff>
      <xdr:row>30</xdr:row>
      <xdr:rowOff>87404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031208F-DC08-A042-8545-DE7A90C934F0}"/>
            </a:ext>
          </a:extLst>
        </xdr:cNvPr>
        <xdr:cNvCxnSpPr>
          <a:cxnSpLocks/>
          <a:endCxn id="9" idx="1"/>
        </xdr:cNvCxnSpPr>
      </xdr:nvCxnSpPr>
      <xdr:spPr>
        <a:xfrm flipV="1">
          <a:off x="1954645" y="5995948"/>
          <a:ext cx="939811" cy="9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108253</xdr:colOff>
      <xdr:row>40</xdr:row>
      <xdr:rowOff>113925</xdr:rowOff>
    </xdr:from>
    <xdr:to>
      <xdr:col>4</xdr:col>
      <xdr:colOff>127302</xdr:colOff>
      <xdr:row>40</xdr:row>
      <xdr:rowOff>113925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C2DECBEF-D6D0-4D43-9E25-0F3EC257C1A2}"/>
            </a:ext>
          </a:extLst>
        </xdr:cNvPr>
        <xdr:cNvCxnSpPr>
          <a:cxnSpLocks/>
          <a:endCxn id="11" idx="1"/>
        </xdr:cNvCxnSpPr>
      </xdr:nvCxnSpPr>
      <xdr:spPr>
        <a:xfrm>
          <a:off x="2051353" y="7937125"/>
          <a:ext cx="8445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422953</xdr:colOff>
      <xdr:row>20</xdr:row>
      <xdr:rowOff>59290</xdr:rowOff>
    </xdr:from>
    <xdr:to>
      <xdr:col>6</xdr:col>
      <xdr:colOff>423165</xdr:colOff>
      <xdr:row>26</xdr:row>
      <xdr:rowOff>19694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781E4D06-1F98-4143-8D2D-21F7DC1A788C}"/>
            </a:ext>
          </a:extLst>
        </xdr:cNvPr>
        <xdr:cNvCxnSpPr>
          <a:cxnSpLocks/>
          <a:stCxn id="7" idx="5"/>
          <a:endCxn id="3" idx="2"/>
        </xdr:cNvCxnSpPr>
      </xdr:nvCxnSpPr>
      <xdr:spPr>
        <a:xfrm>
          <a:off x="3191553" y="4072490"/>
          <a:ext cx="1778212" cy="11034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415099</xdr:colOff>
      <xdr:row>26</xdr:row>
      <xdr:rowOff>19694</xdr:rowOff>
    </xdr:from>
    <xdr:to>
      <xdr:col>6</xdr:col>
      <xdr:colOff>423165</xdr:colOff>
      <xdr:row>30</xdr:row>
      <xdr:rowOff>78036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18634DC-835A-8049-9FF7-19978311CF72}"/>
            </a:ext>
          </a:extLst>
        </xdr:cNvPr>
        <xdr:cNvCxnSpPr>
          <a:cxnSpLocks/>
          <a:stCxn id="9" idx="5"/>
          <a:endCxn id="3" idx="2"/>
        </xdr:cNvCxnSpPr>
      </xdr:nvCxnSpPr>
      <xdr:spPr>
        <a:xfrm flipV="1">
          <a:off x="3183699" y="5175894"/>
          <a:ext cx="1786066" cy="8203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416545</xdr:colOff>
      <xdr:row>26</xdr:row>
      <xdr:rowOff>19694</xdr:rowOff>
    </xdr:from>
    <xdr:to>
      <xdr:col>6</xdr:col>
      <xdr:colOff>423165</xdr:colOff>
      <xdr:row>40</xdr:row>
      <xdr:rowOff>112565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D11469AD-B0AE-F743-9982-3D63CE5C103F}"/>
            </a:ext>
          </a:extLst>
        </xdr:cNvPr>
        <xdr:cNvCxnSpPr>
          <a:cxnSpLocks/>
          <a:stCxn id="11" idx="5"/>
          <a:endCxn id="3" idx="2"/>
        </xdr:cNvCxnSpPr>
      </xdr:nvCxnSpPr>
      <xdr:spPr>
        <a:xfrm flipV="1">
          <a:off x="3185145" y="5175894"/>
          <a:ext cx="1784620" cy="27598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443759</xdr:colOff>
      <xdr:row>26</xdr:row>
      <xdr:rowOff>19694</xdr:rowOff>
    </xdr:from>
    <xdr:to>
      <xdr:col>6</xdr:col>
      <xdr:colOff>423165</xdr:colOff>
      <xdr:row>50</xdr:row>
      <xdr:rowOff>112109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B0D9BA64-4AA5-B14F-AA98-9B530D784B1C}"/>
            </a:ext>
          </a:extLst>
        </xdr:cNvPr>
        <xdr:cNvCxnSpPr>
          <a:cxnSpLocks/>
          <a:stCxn id="13" idx="5"/>
          <a:endCxn id="3" idx="2"/>
        </xdr:cNvCxnSpPr>
      </xdr:nvCxnSpPr>
      <xdr:spPr>
        <a:xfrm flipV="1">
          <a:off x="3212359" y="5175894"/>
          <a:ext cx="1757406" cy="46644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422953</xdr:colOff>
      <xdr:row>8</xdr:row>
      <xdr:rowOff>84419</xdr:rowOff>
    </xdr:from>
    <xdr:to>
      <xdr:col>6</xdr:col>
      <xdr:colOff>423165</xdr:colOff>
      <xdr:row>26</xdr:row>
      <xdr:rowOff>19694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8EA199CA-50E8-574C-8DDD-05711B64871D}"/>
            </a:ext>
          </a:extLst>
        </xdr:cNvPr>
        <xdr:cNvCxnSpPr>
          <a:cxnSpLocks/>
          <a:stCxn id="5" idx="5"/>
          <a:endCxn id="3" idx="2"/>
        </xdr:cNvCxnSpPr>
      </xdr:nvCxnSpPr>
      <xdr:spPr>
        <a:xfrm>
          <a:off x="3191553" y="1811619"/>
          <a:ext cx="1778212" cy="3364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95262</xdr:colOff>
      <xdr:row>50</xdr:row>
      <xdr:rowOff>113469</xdr:rowOff>
    </xdr:from>
    <xdr:to>
      <xdr:col>4</xdr:col>
      <xdr:colOff>154516</xdr:colOff>
      <xdr:row>50</xdr:row>
      <xdr:rowOff>113469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557E38E-E836-B54D-AC4C-7B8AEBCAA9E6}"/>
            </a:ext>
          </a:extLst>
        </xdr:cNvPr>
        <xdr:cNvCxnSpPr>
          <a:cxnSpLocks/>
          <a:endCxn id="13" idx="1"/>
        </xdr:cNvCxnSpPr>
      </xdr:nvCxnSpPr>
      <xdr:spPr>
        <a:xfrm>
          <a:off x="2038362" y="9841669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534412</xdr:colOff>
      <xdr:row>26</xdr:row>
      <xdr:rowOff>116849</xdr:rowOff>
    </xdr:from>
    <xdr:to>
      <xdr:col>6</xdr:col>
      <xdr:colOff>537740</xdr:colOff>
      <xdr:row>55</xdr:row>
      <xdr:rowOff>114415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3BA65B5-DF76-8243-8F50-EB9746C841EC}"/>
            </a:ext>
          </a:extLst>
        </xdr:cNvPr>
        <xdr:cNvCxnSpPr>
          <a:cxnSpLocks/>
          <a:stCxn id="21" idx="0"/>
          <a:endCxn id="3" idx="4"/>
        </xdr:cNvCxnSpPr>
      </xdr:nvCxnSpPr>
      <xdr:spPr>
        <a:xfrm flipH="1" flipV="1">
          <a:off x="5081012" y="5273049"/>
          <a:ext cx="3328" cy="5585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600253</xdr:colOff>
      <xdr:row>22</xdr:row>
      <xdr:rowOff>36285</xdr:rowOff>
    </xdr:from>
    <xdr:to>
      <xdr:col>9</xdr:col>
      <xdr:colOff>603111</xdr:colOff>
      <xdr:row>25</xdr:row>
      <xdr:rowOff>113988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537D96E9-2293-1D49-9C05-E93B25CFCB19}"/>
            </a:ext>
          </a:extLst>
        </xdr:cNvPr>
        <xdr:cNvCxnSpPr>
          <a:cxnSpLocks/>
          <a:stCxn id="50" idx="2"/>
          <a:endCxn id="17" idx="0"/>
        </xdr:cNvCxnSpPr>
      </xdr:nvCxnSpPr>
      <xdr:spPr>
        <a:xfrm rot="5400000">
          <a:off x="7300180" y="4753658"/>
          <a:ext cx="649203" cy="28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603112</xdr:colOff>
      <xdr:row>8</xdr:row>
      <xdr:rowOff>164796</xdr:rowOff>
    </xdr:from>
    <xdr:to>
      <xdr:col>9</xdr:col>
      <xdr:colOff>612635</xdr:colOff>
      <xdr:row>14</xdr:row>
      <xdr:rowOff>27971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8C106878-C5E8-DE4D-9049-462795FC01F2}"/>
            </a:ext>
          </a:extLst>
        </xdr:cNvPr>
        <xdr:cNvCxnSpPr>
          <a:cxnSpLocks/>
          <a:stCxn id="15" idx="2"/>
          <a:endCxn id="16" idx="0"/>
        </xdr:cNvCxnSpPr>
      </xdr:nvCxnSpPr>
      <xdr:spPr>
        <a:xfrm flipH="1">
          <a:off x="7626212" y="1891996"/>
          <a:ext cx="9523" cy="100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603111</xdr:colOff>
      <xdr:row>16</xdr:row>
      <xdr:rowOff>147616</xdr:rowOff>
    </xdr:from>
    <xdr:to>
      <xdr:col>9</xdr:col>
      <xdr:colOff>603112</xdr:colOff>
      <xdr:row>20</xdr:row>
      <xdr:rowOff>37044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C7BF3D9-25A7-3948-A983-A9065BA8557F}"/>
            </a:ext>
          </a:extLst>
        </xdr:cNvPr>
        <xdr:cNvCxnSpPr>
          <a:cxnSpLocks/>
          <a:stCxn id="16" idx="2"/>
          <a:endCxn id="50" idx="0"/>
        </xdr:cNvCxnSpPr>
      </xdr:nvCxnSpPr>
      <xdr:spPr>
        <a:xfrm flipH="1">
          <a:off x="7626211" y="3398816"/>
          <a:ext cx="1" cy="65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598424</xdr:colOff>
      <xdr:row>28</xdr:row>
      <xdr:rowOff>58554</xdr:rowOff>
    </xdr:from>
    <xdr:to>
      <xdr:col>9</xdr:col>
      <xdr:colOff>600253</xdr:colOff>
      <xdr:row>32</xdr:row>
      <xdr:rowOff>110981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059B9FB-9350-3E42-9AD6-368E2F14468E}"/>
            </a:ext>
          </a:extLst>
        </xdr:cNvPr>
        <xdr:cNvCxnSpPr>
          <a:cxnSpLocks/>
          <a:stCxn id="17" idx="2"/>
          <a:endCxn id="18" idx="0"/>
        </xdr:cNvCxnSpPr>
      </xdr:nvCxnSpPr>
      <xdr:spPr>
        <a:xfrm flipH="1">
          <a:off x="7621524" y="5595754"/>
          <a:ext cx="1829" cy="814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597818</xdr:colOff>
      <xdr:row>35</xdr:row>
      <xdr:rowOff>55547</xdr:rowOff>
    </xdr:from>
    <xdr:to>
      <xdr:col>9</xdr:col>
      <xdr:colOff>598424</xdr:colOff>
      <xdr:row>39</xdr:row>
      <xdr:rowOff>48229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90906A45-CC5C-9F41-84A7-B42A7D010344}"/>
            </a:ext>
          </a:extLst>
        </xdr:cNvPr>
        <xdr:cNvCxnSpPr>
          <a:cxnSpLocks/>
          <a:stCxn id="18" idx="2"/>
          <a:endCxn id="19" idx="0"/>
        </xdr:cNvCxnSpPr>
      </xdr:nvCxnSpPr>
      <xdr:spPr>
        <a:xfrm flipH="1">
          <a:off x="7620918" y="6926247"/>
          <a:ext cx="606" cy="754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588746</xdr:colOff>
      <xdr:row>41</xdr:row>
      <xdr:rowOff>176945</xdr:rowOff>
    </xdr:from>
    <xdr:to>
      <xdr:col>9</xdr:col>
      <xdr:colOff>597818</xdr:colOff>
      <xdr:row>46</xdr:row>
      <xdr:rowOff>98164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2972FC75-FA70-8941-B9CF-0D066914A713}"/>
            </a:ext>
          </a:extLst>
        </xdr:cNvPr>
        <xdr:cNvCxnSpPr>
          <a:cxnSpLocks/>
          <a:stCxn id="19" idx="2"/>
          <a:endCxn id="20" idx="0"/>
        </xdr:cNvCxnSpPr>
      </xdr:nvCxnSpPr>
      <xdr:spPr>
        <a:xfrm flipH="1">
          <a:off x="7611846" y="8190645"/>
          <a:ext cx="9072" cy="873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699394</xdr:colOff>
      <xdr:row>40</xdr:row>
      <xdr:rowOff>112588</xdr:rowOff>
    </xdr:from>
    <xdr:to>
      <xdr:col>8</xdr:col>
      <xdr:colOff>708466</xdr:colOff>
      <xdr:row>47</xdr:row>
      <xdr:rowOff>161162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C1FEFAE-01E4-7749-8FE1-C62EC7A0BBDF}"/>
            </a:ext>
          </a:extLst>
        </xdr:cNvPr>
        <xdr:cNvCxnSpPr>
          <a:cxnSpLocks/>
          <a:stCxn id="20" idx="1"/>
          <a:endCxn id="19" idx="1"/>
        </xdr:cNvCxnSpPr>
      </xdr:nvCxnSpPr>
      <xdr:spPr>
        <a:xfrm rot="10800000" flipH="1">
          <a:off x="6896994" y="7935788"/>
          <a:ext cx="9072" cy="1382074"/>
        </a:xfrm>
        <a:prstGeom prst="bentConnector3">
          <a:avLst>
            <a:gd name="adj1" fmla="val -93194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682362</xdr:colOff>
      <xdr:row>49</xdr:row>
      <xdr:rowOff>42730</xdr:rowOff>
    </xdr:from>
    <xdr:to>
      <xdr:col>9</xdr:col>
      <xdr:colOff>588747</xdr:colOff>
      <xdr:row>57</xdr:row>
      <xdr:rowOff>7761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F925906E-690F-E647-A90F-FA1DB686C5B8}"/>
            </a:ext>
          </a:extLst>
        </xdr:cNvPr>
        <xdr:cNvCxnSpPr>
          <a:cxnSpLocks/>
          <a:stCxn id="20" idx="2"/>
          <a:endCxn id="21" idx="5"/>
        </xdr:cNvCxnSpPr>
      </xdr:nvCxnSpPr>
      <xdr:spPr>
        <a:xfrm rot="5400000">
          <a:off x="5644139" y="9165253"/>
          <a:ext cx="1552531" cy="23828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478097</xdr:colOff>
      <xdr:row>47</xdr:row>
      <xdr:rowOff>162522</xdr:rowOff>
    </xdr:from>
    <xdr:to>
      <xdr:col>10</xdr:col>
      <xdr:colOff>670681</xdr:colOff>
      <xdr:row>58</xdr:row>
      <xdr:rowOff>146641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B95DD37B-AC24-524D-BC31-7E72D30BB3DD}"/>
            </a:ext>
          </a:extLst>
        </xdr:cNvPr>
        <xdr:cNvCxnSpPr>
          <a:cxnSpLocks/>
          <a:stCxn id="20" idx="3"/>
        </xdr:cNvCxnSpPr>
      </xdr:nvCxnSpPr>
      <xdr:spPr>
        <a:xfrm>
          <a:off x="8326697" y="9319222"/>
          <a:ext cx="192584" cy="21304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487169</xdr:colOff>
      <xdr:row>12</xdr:row>
      <xdr:rowOff>63926</xdr:rowOff>
    </xdr:from>
    <xdr:to>
      <xdr:col>14</xdr:col>
      <xdr:colOff>523829</xdr:colOff>
      <xdr:row>40</xdr:row>
      <xdr:rowOff>112588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447CD08E-88C1-2145-8E70-8F2DA04AEBAB}"/>
            </a:ext>
          </a:extLst>
        </xdr:cNvPr>
        <xdr:cNvCxnSpPr>
          <a:cxnSpLocks/>
          <a:stCxn id="19" idx="3"/>
          <a:endCxn id="2" idx="1"/>
        </xdr:cNvCxnSpPr>
      </xdr:nvCxnSpPr>
      <xdr:spPr>
        <a:xfrm flipV="1">
          <a:off x="8335769" y="2553126"/>
          <a:ext cx="3541860" cy="5382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487775</xdr:colOff>
      <xdr:row>12</xdr:row>
      <xdr:rowOff>63926</xdr:rowOff>
    </xdr:from>
    <xdr:to>
      <xdr:col>14</xdr:col>
      <xdr:colOff>523829</xdr:colOff>
      <xdr:row>33</xdr:row>
      <xdr:rowOff>173979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C2C2149B-06FE-2445-B055-093728EB4FA7}"/>
            </a:ext>
          </a:extLst>
        </xdr:cNvPr>
        <xdr:cNvCxnSpPr>
          <a:cxnSpLocks/>
          <a:stCxn id="18" idx="3"/>
          <a:endCxn id="2" idx="1"/>
        </xdr:cNvCxnSpPr>
      </xdr:nvCxnSpPr>
      <xdr:spPr>
        <a:xfrm flipV="1">
          <a:off x="8336375" y="2553126"/>
          <a:ext cx="3541254" cy="41105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489604</xdr:colOff>
      <xdr:row>12</xdr:row>
      <xdr:rowOff>63926</xdr:rowOff>
    </xdr:from>
    <xdr:to>
      <xdr:col>14</xdr:col>
      <xdr:colOff>523829</xdr:colOff>
      <xdr:row>26</xdr:row>
      <xdr:rowOff>176986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152D7AFA-5836-0B46-A63B-F10A87AD5FD9}"/>
            </a:ext>
          </a:extLst>
        </xdr:cNvPr>
        <xdr:cNvCxnSpPr>
          <a:cxnSpLocks/>
          <a:stCxn id="17" idx="3"/>
          <a:endCxn id="2" idx="1"/>
        </xdr:cNvCxnSpPr>
      </xdr:nvCxnSpPr>
      <xdr:spPr>
        <a:xfrm flipV="1">
          <a:off x="8338204" y="2553126"/>
          <a:ext cx="3539425" cy="2780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434712</xdr:colOff>
      <xdr:row>12</xdr:row>
      <xdr:rowOff>63926</xdr:rowOff>
    </xdr:from>
    <xdr:to>
      <xdr:col>14</xdr:col>
      <xdr:colOff>523829</xdr:colOff>
      <xdr:row>15</xdr:row>
      <xdr:rowOff>87794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FAA0D5FC-5F13-6D42-B8CE-08B0E21BFCDF}"/>
            </a:ext>
          </a:extLst>
        </xdr:cNvPr>
        <xdr:cNvCxnSpPr>
          <a:cxnSpLocks/>
          <a:stCxn id="16" idx="3"/>
          <a:endCxn id="2" idx="1"/>
        </xdr:cNvCxnSpPr>
      </xdr:nvCxnSpPr>
      <xdr:spPr>
        <a:xfrm flipV="1">
          <a:off x="8283312" y="2553126"/>
          <a:ext cx="3594317" cy="595368"/>
        </a:xfrm>
        <a:prstGeom prst="bentConnector3">
          <a:avLst>
            <a:gd name="adj1" fmla="val 508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444235</xdr:colOff>
      <xdr:row>7</xdr:row>
      <xdr:rowOff>101799</xdr:rowOff>
    </xdr:from>
    <xdr:to>
      <xdr:col>14</xdr:col>
      <xdr:colOff>523829</xdr:colOff>
      <xdr:row>12</xdr:row>
      <xdr:rowOff>63925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6B8DEDF7-9571-8E40-8477-83A45A70F0A0}"/>
            </a:ext>
          </a:extLst>
        </xdr:cNvPr>
        <xdr:cNvCxnSpPr>
          <a:cxnSpLocks/>
          <a:stCxn id="15" idx="3"/>
          <a:endCxn id="2" idx="1"/>
        </xdr:cNvCxnSpPr>
      </xdr:nvCxnSpPr>
      <xdr:spPr>
        <a:xfrm>
          <a:off x="8292835" y="1638499"/>
          <a:ext cx="3584794" cy="914626"/>
        </a:xfrm>
        <a:prstGeom prst="bentConnector3">
          <a:avLst>
            <a:gd name="adj1" fmla="val 505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534413</xdr:colOff>
      <xdr:row>21</xdr:row>
      <xdr:rowOff>36665</xdr:rowOff>
    </xdr:from>
    <xdr:to>
      <xdr:col>9</xdr:col>
      <xdr:colOff>63475</xdr:colOff>
      <xdr:row>25</xdr:row>
      <xdr:rowOff>103966</xdr:rowOff>
    </xdr:to>
    <xdr:cxnSp macro="">
      <xdr:nvCxnSpPr>
        <xdr:cNvPr id="49" name="Conector: angular 56">
          <a:extLst>
            <a:ext uri="{FF2B5EF4-FFF2-40B4-BE49-F238E27FC236}">
              <a16:creationId xmlns:a16="http://schemas.microsoft.com/office/drawing/2014/main" id="{FE2A1ECB-6982-9441-8BC6-26F52BE95D74}"/>
            </a:ext>
          </a:extLst>
        </xdr:cNvPr>
        <xdr:cNvCxnSpPr>
          <a:cxnSpLocks/>
          <a:stCxn id="3" idx="0"/>
          <a:endCxn id="50" idx="1"/>
        </xdr:cNvCxnSpPr>
      </xdr:nvCxnSpPr>
      <xdr:spPr>
        <a:xfrm rot="5400000" flipH="1" flipV="1">
          <a:off x="5669143" y="3652235"/>
          <a:ext cx="829301" cy="2005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63474</xdr:colOff>
      <xdr:row>20</xdr:row>
      <xdr:rowOff>37044</xdr:rowOff>
    </xdr:from>
    <xdr:to>
      <xdr:col>10</xdr:col>
      <xdr:colOff>380747</xdr:colOff>
      <xdr:row>22</xdr:row>
      <xdr:rowOff>36285</xdr:rowOff>
    </xdr:to>
    <xdr:sp macro="" textlink="">
      <xdr:nvSpPr>
        <xdr:cNvPr id="50" name="Rectángulo 66">
          <a:extLst>
            <a:ext uri="{FF2B5EF4-FFF2-40B4-BE49-F238E27FC236}">
              <a16:creationId xmlns:a16="http://schemas.microsoft.com/office/drawing/2014/main" id="{1907BE04-94A6-F943-9A80-E6F67A9019FC}"/>
            </a:ext>
          </a:extLst>
        </xdr:cNvPr>
        <xdr:cNvSpPr/>
      </xdr:nvSpPr>
      <xdr:spPr>
        <a:xfrm>
          <a:off x="7086574" y="4050244"/>
          <a:ext cx="1142773" cy="38024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/clasif</a:t>
          </a:r>
        </a:p>
      </xdr:txBody>
    </xdr:sp>
    <xdr:clientData/>
  </xdr:twoCellAnchor>
  <xdr:twoCellAnchor>
    <xdr:from>
      <xdr:col>10</xdr:col>
      <xdr:colOff>380747</xdr:colOff>
      <xdr:row>12</xdr:row>
      <xdr:rowOff>63925</xdr:rowOff>
    </xdr:from>
    <xdr:to>
      <xdr:col>14</xdr:col>
      <xdr:colOff>523829</xdr:colOff>
      <xdr:row>21</xdr:row>
      <xdr:rowOff>36665</xdr:rowOff>
    </xdr:to>
    <xdr:cxnSp macro="">
      <xdr:nvCxnSpPr>
        <xdr:cNvPr id="51" name="Conector: angular 69">
          <a:extLst>
            <a:ext uri="{FF2B5EF4-FFF2-40B4-BE49-F238E27FC236}">
              <a16:creationId xmlns:a16="http://schemas.microsoft.com/office/drawing/2014/main" id="{AF299374-DFC1-0746-90C6-871C9A47DB8F}"/>
            </a:ext>
          </a:extLst>
        </xdr:cNvPr>
        <xdr:cNvCxnSpPr>
          <a:cxnSpLocks/>
          <a:stCxn id="50" idx="3"/>
          <a:endCxn id="2" idx="1"/>
        </xdr:cNvCxnSpPr>
      </xdr:nvCxnSpPr>
      <xdr:spPr>
        <a:xfrm flipV="1">
          <a:off x="8229347" y="2553125"/>
          <a:ext cx="3648282" cy="1687240"/>
        </a:xfrm>
        <a:prstGeom prst="bentConnector3">
          <a:avLst>
            <a:gd name="adj1" fmla="val 518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</xdr:colOff>
      <xdr:row>56</xdr:row>
      <xdr:rowOff>28262</xdr:rowOff>
    </xdr:from>
    <xdr:to>
      <xdr:col>4</xdr:col>
      <xdr:colOff>579309</xdr:colOff>
      <xdr:row>58</xdr:row>
      <xdr:rowOff>177811</xdr:rowOff>
    </xdr:to>
    <xdr:sp macro="" textlink="">
      <xdr:nvSpPr>
        <xdr:cNvPr id="52" name="Triángulo isósceles 79">
          <a:extLst>
            <a:ext uri="{FF2B5EF4-FFF2-40B4-BE49-F238E27FC236}">
              <a16:creationId xmlns:a16="http://schemas.microsoft.com/office/drawing/2014/main" id="{05F4D993-6BC1-0E4C-BBCA-0AC1AD374B74}"/>
            </a:ext>
          </a:extLst>
        </xdr:cNvPr>
        <xdr:cNvSpPr/>
      </xdr:nvSpPr>
      <xdr:spPr>
        <a:xfrm>
          <a:off x="2769424" y="10950262"/>
          <a:ext cx="578485" cy="530549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706581</xdr:colOff>
      <xdr:row>63</xdr:row>
      <xdr:rowOff>135305</xdr:rowOff>
    </xdr:from>
    <xdr:to>
      <xdr:col>4</xdr:col>
      <xdr:colOff>523066</xdr:colOff>
      <xdr:row>66</xdr:row>
      <xdr:rowOff>103425</xdr:rowOff>
    </xdr:to>
    <xdr:sp macro="" textlink="">
      <xdr:nvSpPr>
        <xdr:cNvPr id="53" name="Triángulo isósceles 80">
          <a:extLst>
            <a:ext uri="{FF2B5EF4-FFF2-40B4-BE49-F238E27FC236}">
              <a16:creationId xmlns:a16="http://schemas.microsoft.com/office/drawing/2014/main" id="{41B5A891-22AC-944C-BB53-2E9AF391E06B}"/>
            </a:ext>
          </a:extLst>
        </xdr:cNvPr>
        <xdr:cNvSpPr/>
      </xdr:nvSpPr>
      <xdr:spPr>
        <a:xfrm>
          <a:off x="2649681" y="12378105"/>
          <a:ext cx="641985" cy="6031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676728</xdr:colOff>
      <xdr:row>70</xdr:row>
      <xdr:rowOff>87309</xdr:rowOff>
    </xdr:from>
    <xdr:to>
      <xdr:col>4</xdr:col>
      <xdr:colOff>493213</xdr:colOff>
      <xdr:row>73</xdr:row>
      <xdr:rowOff>52130</xdr:rowOff>
    </xdr:to>
    <xdr:sp macro="" textlink="">
      <xdr:nvSpPr>
        <xdr:cNvPr id="54" name="Triángulo isósceles 81">
          <a:extLst>
            <a:ext uri="{FF2B5EF4-FFF2-40B4-BE49-F238E27FC236}">
              <a16:creationId xmlns:a16="http://schemas.microsoft.com/office/drawing/2014/main" id="{FEAFCD7B-A987-6147-A704-A0DCE683C0DA}"/>
            </a:ext>
          </a:extLst>
        </xdr:cNvPr>
        <xdr:cNvSpPr/>
      </xdr:nvSpPr>
      <xdr:spPr>
        <a:xfrm>
          <a:off x="2619828" y="13790609"/>
          <a:ext cx="641985" cy="6125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0</xdr:colOff>
      <xdr:row>58</xdr:row>
      <xdr:rowOff>18143</xdr:rowOff>
    </xdr:from>
    <xdr:to>
      <xdr:col>4</xdr:col>
      <xdr:colOff>59254</xdr:colOff>
      <xdr:row>58</xdr:row>
      <xdr:rowOff>18143</xdr:rowOff>
    </xdr:to>
    <xdr:cxnSp macro="">
      <xdr:nvCxnSpPr>
        <xdr:cNvPr id="55" name="Conector recto de flecha 55">
          <a:extLst>
            <a:ext uri="{FF2B5EF4-FFF2-40B4-BE49-F238E27FC236}">
              <a16:creationId xmlns:a16="http://schemas.microsoft.com/office/drawing/2014/main" id="{400BDD9C-E6CF-D94C-8FFC-5F6234051128}"/>
            </a:ext>
          </a:extLst>
        </xdr:cNvPr>
        <xdr:cNvCxnSpPr>
          <a:cxnSpLocks/>
        </xdr:cNvCxnSpPr>
      </xdr:nvCxnSpPr>
      <xdr:spPr>
        <a:xfrm>
          <a:off x="1943100" y="11321143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760185</xdr:colOff>
      <xdr:row>65</xdr:row>
      <xdr:rowOff>97971</xdr:rowOff>
    </xdr:from>
    <xdr:to>
      <xdr:col>4</xdr:col>
      <xdr:colOff>57439</xdr:colOff>
      <xdr:row>65</xdr:row>
      <xdr:rowOff>97971</xdr:rowOff>
    </xdr:to>
    <xdr:cxnSp macro="">
      <xdr:nvCxnSpPr>
        <xdr:cNvPr id="56" name="Conector recto de flecha 57">
          <a:extLst>
            <a:ext uri="{FF2B5EF4-FFF2-40B4-BE49-F238E27FC236}">
              <a16:creationId xmlns:a16="http://schemas.microsoft.com/office/drawing/2014/main" id="{3067EBDE-E7AF-E44F-B01E-6E2725A7031B}"/>
            </a:ext>
          </a:extLst>
        </xdr:cNvPr>
        <xdr:cNvCxnSpPr>
          <a:cxnSpLocks/>
        </xdr:cNvCxnSpPr>
      </xdr:nvCxnSpPr>
      <xdr:spPr>
        <a:xfrm>
          <a:off x="1877785" y="12785271"/>
          <a:ext cx="9482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12864</xdr:colOff>
      <xdr:row>72</xdr:row>
      <xdr:rowOff>23585</xdr:rowOff>
    </xdr:from>
    <xdr:to>
      <xdr:col>4</xdr:col>
      <xdr:colOff>72118</xdr:colOff>
      <xdr:row>72</xdr:row>
      <xdr:rowOff>23585</xdr:rowOff>
    </xdr:to>
    <xdr:cxnSp macro="">
      <xdr:nvCxnSpPr>
        <xdr:cNvPr id="57" name="Conector recto de flecha 58">
          <a:extLst>
            <a:ext uri="{FF2B5EF4-FFF2-40B4-BE49-F238E27FC236}">
              <a16:creationId xmlns:a16="http://schemas.microsoft.com/office/drawing/2014/main" id="{C7DC51FF-D750-B74B-B682-C80264D5C501}"/>
            </a:ext>
          </a:extLst>
        </xdr:cNvPr>
        <xdr:cNvCxnSpPr>
          <a:cxnSpLocks/>
        </xdr:cNvCxnSpPr>
      </xdr:nvCxnSpPr>
      <xdr:spPr>
        <a:xfrm>
          <a:off x="1955964" y="14171385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434688</xdr:colOff>
      <xdr:row>26</xdr:row>
      <xdr:rowOff>174625</xdr:rowOff>
    </xdr:from>
    <xdr:to>
      <xdr:col>5</xdr:col>
      <xdr:colOff>492125</xdr:colOff>
      <xdr:row>57</xdr:row>
      <xdr:rowOff>103037</xdr:rowOff>
    </xdr:to>
    <xdr:cxnSp macro="">
      <xdr:nvCxnSpPr>
        <xdr:cNvPr id="58" name="Conector: angular 59">
          <a:extLst>
            <a:ext uri="{FF2B5EF4-FFF2-40B4-BE49-F238E27FC236}">
              <a16:creationId xmlns:a16="http://schemas.microsoft.com/office/drawing/2014/main" id="{28B3A7A9-4C51-A44E-AA0A-2D171364F4C0}"/>
            </a:ext>
          </a:extLst>
        </xdr:cNvPr>
        <xdr:cNvCxnSpPr>
          <a:cxnSpLocks/>
          <a:stCxn id="52" idx="5"/>
        </xdr:cNvCxnSpPr>
      </xdr:nvCxnSpPr>
      <xdr:spPr>
        <a:xfrm flipV="1">
          <a:off x="3203288" y="5330825"/>
          <a:ext cx="882937" cy="58974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378445</xdr:colOff>
      <xdr:row>27</xdr:row>
      <xdr:rowOff>79375</xdr:rowOff>
    </xdr:from>
    <xdr:to>
      <xdr:col>5</xdr:col>
      <xdr:colOff>476250</xdr:colOff>
      <xdr:row>65</xdr:row>
      <xdr:rowOff>24115</xdr:rowOff>
    </xdr:to>
    <xdr:cxnSp macro="">
      <xdr:nvCxnSpPr>
        <xdr:cNvPr id="59" name="Conector: angular 61">
          <a:extLst>
            <a:ext uri="{FF2B5EF4-FFF2-40B4-BE49-F238E27FC236}">
              <a16:creationId xmlns:a16="http://schemas.microsoft.com/office/drawing/2014/main" id="{2A8219AE-2CE4-4940-9086-DE08B3499C3A}"/>
            </a:ext>
          </a:extLst>
        </xdr:cNvPr>
        <xdr:cNvCxnSpPr>
          <a:cxnSpLocks/>
          <a:stCxn id="53" idx="5"/>
        </xdr:cNvCxnSpPr>
      </xdr:nvCxnSpPr>
      <xdr:spPr>
        <a:xfrm flipV="1">
          <a:off x="3147045" y="5426075"/>
          <a:ext cx="923305" cy="72853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348592</xdr:colOff>
      <xdr:row>27</xdr:row>
      <xdr:rowOff>183369</xdr:rowOff>
    </xdr:from>
    <xdr:to>
      <xdr:col>5</xdr:col>
      <xdr:colOff>512754</xdr:colOff>
      <xdr:row>71</xdr:row>
      <xdr:rowOff>162084</xdr:rowOff>
    </xdr:to>
    <xdr:cxnSp macro="">
      <xdr:nvCxnSpPr>
        <xdr:cNvPr id="60" name="Conector: angular 64">
          <a:extLst>
            <a:ext uri="{FF2B5EF4-FFF2-40B4-BE49-F238E27FC236}">
              <a16:creationId xmlns:a16="http://schemas.microsoft.com/office/drawing/2014/main" id="{80EC4457-170B-AD4A-8215-1428E16190D9}"/>
            </a:ext>
          </a:extLst>
        </xdr:cNvPr>
        <xdr:cNvCxnSpPr>
          <a:cxnSpLocks/>
          <a:stCxn id="54" idx="5"/>
        </xdr:cNvCxnSpPr>
      </xdr:nvCxnSpPr>
      <xdr:spPr>
        <a:xfrm flipV="1">
          <a:off x="3117192" y="5530069"/>
          <a:ext cx="989662" cy="85766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-mac/Desktop/BALANCE%20mensual%20Julio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 Planta"/>
      <sheetName val="Calc Nodos Stock"/>
      <sheetName val="Bal Fe Tot"/>
      <sheetName val="Bal Fe Mag"/>
      <sheetName val="Reporte"/>
      <sheetName val="Diagrama Fe T"/>
    </sheetNames>
    <sheetDataSet>
      <sheetData sheetId="0"/>
      <sheetData sheetId="1"/>
      <sheetData sheetId="2">
        <row r="51">
          <cell r="O51" t="str">
            <v>TMS</v>
          </cell>
          <cell r="P51" t="str">
            <v>%FeT</v>
          </cell>
          <cell r="Q51" t="str">
            <v>TMF Fe</v>
          </cell>
        </row>
        <row r="52">
          <cell r="O52">
            <v>10590.195200000004</v>
          </cell>
          <cell r="P52">
            <v>0.5946070573377733</v>
          </cell>
          <cell r="Q52">
            <v>6297.0048045046142</v>
          </cell>
        </row>
        <row r="53">
          <cell r="O53">
            <v>1179.0912000000044</v>
          </cell>
          <cell r="Q53">
            <v>702.41463620181344</v>
          </cell>
        </row>
        <row r="54">
          <cell r="O54">
            <v>9411.1039999999994</v>
          </cell>
          <cell r="P54">
            <v>0.59446693696114739</v>
          </cell>
          <cell r="Q54">
            <v>5594.5901683028014</v>
          </cell>
        </row>
        <row r="55">
          <cell r="O55">
            <v>4946.938778831196</v>
          </cell>
          <cell r="Q55">
            <v>2126.1868606704375</v>
          </cell>
        </row>
        <row r="56">
          <cell r="O56">
            <v>6331.2064022236336</v>
          </cell>
          <cell r="P56">
            <v>0.42946989250089573</v>
          </cell>
          <cell r="Q56">
            <v>2719.062532963967</v>
          </cell>
        </row>
        <row r="57">
          <cell r="O57">
            <v>11278.14518105483</v>
          </cell>
          <cell r="P57">
            <v>0.42961402924434744</v>
          </cell>
          <cell r="Q57">
            <v>4845.2493936356859</v>
          </cell>
        </row>
        <row r="58">
          <cell r="O58">
            <v>14155.084933000002</v>
          </cell>
          <cell r="Q58">
            <v>6338.1574311699114</v>
          </cell>
        </row>
        <row r="59">
          <cell r="O59">
            <v>17272.342980199999</v>
          </cell>
          <cell r="P59">
            <v>0.44667881855571506</v>
          </cell>
          <cell r="Q59">
            <v>7715.1897560848338</v>
          </cell>
        </row>
        <row r="60">
          <cell r="O60">
            <v>31427.427913200001</v>
          </cell>
          <cell r="P60">
            <v>0.44716822598619738</v>
          </cell>
          <cell r="Q60">
            <v>14053.347187254745</v>
          </cell>
        </row>
        <row r="61">
          <cell r="O61">
            <v>0</v>
          </cell>
          <cell r="Q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</row>
        <row r="64">
          <cell r="O64">
            <v>0</v>
          </cell>
          <cell r="Q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</row>
        <row r="66">
          <cell r="O66">
            <v>0</v>
          </cell>
          <cell r="Q66">
            <v>0</v>
          </cell>
        </row>
        <row r="67">
          <cell r="O67">
            <v>82</v>
          </cell>
          <cell r="Q67">
            <v>33.745144798627614</v>
          </cell>
        </row>
        <row r="68">
          <cell r="O68">
            <v>1182.8172880254308</v>
          </cell>
          <cell r="P68">
            <v>0.4112671097311294</v>
          </cell>
          <cell r="Q68">
            <v>486.45384738623176</v>
          </cell>
        </row>
        <row r="69">
          <cell r="O69">
            <v>1264.8172880254308</v>
          </cell>
          <cell r="P69">
            <v>0.41128390409413823</v>
          </cell>
          <cell r="Q69">
            <v>520.19899218485932</v>
          </cell>
        </row>
        <row r="70">
          <cell r="O70">
            <v>4972.4866576199074</v>
          </cell>
          <cell r="Q70">
            <v>2523.9227107876786</v>
          </cell>
        </row>
        <row r="71">
          <cell r="O71">
            <v>4972.4866576199074</v>
          </cell>
          <cell r="P71">
            <v>0.50757757326909758</v>
          </cell>
          <cell r="Q71">
            <v>2523.9227107876786</v>
          </cell>
        </row>
        <row r="72">
          <cell r="O72">
            <v>0</v>
          </cell>
          <cell r="P72">
            <v>0</v>
          </cell>
          <cell r="Q72">
            <v>0</v>
          </cell>
        </row>
        <row r="73">
          <cell r="O73">
            <v>8594.5835851428656</v>
          </cell>
          <cell r="Q73">
            <v>4366.7606438773519</v>
          </cell>
        </row>
        <row r="74">
          <cell r="O74">
            <v>5651.121271066173</v>
          </cell>
          <cell r="P74">
            <v>0.50872577900648142</v>
          </cell>
          <cell r="Q74">
            <v>2874.8710708832364</v>
          </cell>
        </row>
        <row r="75">
          <cell r="O75">
            <v>2943.462314076693</v>
          </cell>
          <cell r="P75">
            <v>0.50684853883107817</v>
          </cell>
          <cell r="Q75">
            <v>1491.889572994116</v>
          </cell>
        </row>
        <row r="76">
          <cell r="O76">
            <v>0</v>
          </cell>
          <cell r="Q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</row>
        <row r="79">
          <cell r="O79">
            <v>1306055.4733624873</v>
          </cell>
          <cell r="P79">
            <v>0.15986515728933584</v>
          </cell>
          <cell r="Q79">
            <v>208792.76367769201</v>
          </cell>
        </row>
        <row r="80">
          <cell r="O80">
            <v>745435.87394205853</v>
          </cell>
          <cell r="P80">
            <v>5.8870051917735776E-2</v>
          </cell>
          <cell r="Q80">
            <v>43883.848600311729</v>
          </cell>
        </row>
        <row r="81">
          <cell r="O81">
            <v>560619.59942042874</v>
          </cell>
          <cell r="P81">
            <v>0.29415474458592822</v>
          </cell>
          <cell r="Q81">
            <v>164908.91507738162</v>
          </cell>
        </row>
        <row r="82">
          <cell r="O82">
            <v>131707.02285804838</v>
          </cell>
          <cell r="P82">
            <v>6.3753470010810262E-2</v>
          </cell>
          <cell r="Q82">
            <v>8396.779731993689</v>
          </cell>
        </row>
        <row r="84">
          <cell r="O84">
            <v>0</v>
          </cell>
          <cell r="P84">
            <v>0</v>
          </cell>
          <cell r="Q84">
            <v>0</v>
          </cell>
        </row>
        <row r="86">
          <cell r="O86">
            <v>485237.53325873724</v>
          </cell>
          <cell r="P86">
            <v>0.37717076300893287</v>
          </cell>
          <cell r="Q86">
            <v>183017.41065977036</v>
          </cell>
        </row>
        <row r="87">
          <cell r="O87">
            <v>120122.59998160222</v>
          </cell>
          <cell r="P87">
            <v>5.9027619443946258E-2</v>
          </cell>
          <cell r="Q87">
            <v>7090.551118331402</v>
          </cell>
        </row>
        <row r="88">
          <cell r="O88">
            <v>365114.93327713502</v>
          </cell>
          <cell r="P88">
            <v>0.48183967158607427</v>
          </cell>
          <cell r="Q88">
            <v>175926.85954142615</v>
          </cell>
        </row>
        <row r="89">
          <cell r="O89">
            <v>79142.297460037342</v>
          </cell>
          <cell r="P89">
            <v>8.2243767021714709E-2</v>
          </cell>
          <cell r="Q89">
            <v>6508.9606738665552</v>
          </cell>
        </row>
        <row r="90">
          <cell r="O90">
            <v>285972.63581709767</v>
          </cell>
          <cell r="P90">
            <v>0.59242695855668626</v>
          </cell>
          <cell r="Q90">
            <v>169417.89886756206</v>
          </cell>
        </row>
        <row r="91">
          <cell r="O91">
            <v>156923.6358170977</v>
          </cell>
          <cell r="P91">
            <v>0.54738335382242032</v>
          </cell>
          <cell r="Q91">
            <v>85897.386067571017</v>
          </cell>
        </row>
        <row r="92">
          <cell r="O92">
            <v>129612.17039575435</v>
          </cell>
          <cell r="P92">
            <v>0.64655244164111236</v>
          </cell>
          <cell r="Q92">
            <v>83801.065235778879</v>
          </cell>
        </row>
        <row r="94">
          <cell r="O94">
            <v>0</v>
          </cell>
          <cell r="P94">
            <v>0</v>
          </cell>
          <cell r="Q94">
            <v>0</v>
          </cell>
        </row>
        <row r="100">
          <cell r="S100" t="str">
            <v>TMS</v>
          </cell>
          <cell r="T100" t="str">
            <v>%FeT</v>
          </cell>
          <cell r="U100" t="str">
            <v>TMF FeT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09" customWidth="1"/>
    <col min="4" max="4" width="15.5" bestFit="1" customWidth="1"/>
  </cols>
  <sheetData>
    <row r="4" spans="2:9">
      <c r="C4" s="109" t="s">
        <v>95</v>
      </c>
      <c r="D4" t="s">
        <v>34</v>
      </c>
      <c r="E4" t="s">
        <v>35</v>
      </c>
      <c r="F4" t="s">
        <v>9</v>
      </c>
    </row>
    <row r="5" spans="2:9" hidden="1" outlineLevel="1">
      <c r="B5" s="35" t="s">
        <v>21</v>
      </c>
      <c r="C5" s="111"/>
      <c r="D5" s="93" t="e">
        <f>+#REF!</f>
        <v>#REF!</v>
      </c>
      <c r="E5" s="94" t="e">
        <f t="shared" ref="E5:E10" si="0">+ABS(D5)</f>
        <v>#REF!</v>
      </c>
      <c r="F5" s="95" t="e">
        <f>+#REF!</f>
        <v>#REF!</v>
      </c>
      <c r="G5" s="96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22</v>
      </c>
      <c r="C6" s="111"/>
      <c r="D6" s="93" t="e">
        <f>+#REF!</f>
        <v>#REF!</v>
      </c>
      <c r="E6" s="94" t="e">
        <f t="shared" ref="E6" si="1">+ABS(D6)</f>
        <v>#REF!</v>
      </c>
      <c r="F6" s="95" t="e">
        <f>+#REF!</f>
        <v>#REF!</v>
      </c>
      <c r="G6" s="96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23</v>
      </c>
      <c r="C7" s="111"/>
      <c r="D7" s="103" t="e">
        <f>+'Bal Los Colorados'!D56</f>
        <v>#REF!</v>
      </c>
      <c r="E7" s="94" t="e">
        <f t="shared" si="0"/>
        <v>#REF!</v>
      </c>
      <c r="F7" s="95" t="e">
        <f>+'Bal Los Colorados'!F56</f>
        <v>#REF!</v>
      </c>
      <c r="G7" s="96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02" t="s">
        <v>25</v>
      </c>
      <c r="C8" s="102"/>
      <c r="D8" s="103" t="e">
        <f>+#REF!</f>
        <v>#REF!</v>
      </c>
      <c r="E8" s="94" t="e">
        <f t="shared" si="0"/>
        <v>#REF!</v>
      </c>
      <c r="F8" s="95" t="e">
        <f>+#REF!</f>
        <v>#REF!</v>
      </c>
      <c r="G8" s="96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11"/>
      <c r="D9" s="93" t="e">
        <f>+#REF!</f>
        <v>#REF!</v>
      </c>
      <c r="E9" s="94" t="e">
        <f t="shared" si="0"/>
        <v>#REF!</v>
      </c>
      <c r="F9" s="95" t="e">
        <f>+#REF!</f>
        <v>#REF!</v>
      </c>
      <c r="G9" s="96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97" t="s">
        <v>37</v>
      </c>
      <c r="C10" s="114" t="e">
        <f>+#REF!</f>
        <v>#REF!</v>
      </c>
      <c r="D10" s="98" t="e">
        <f>+#REF!</f>
        <v>#REF!</v>
      </c>
      <c r="E10" s="99" t="e">
        <f t="shared" si="0"/>
        <v>#REF!</v>
      </c>
      <c r="F10" s="100" t="e">
        <f>+#REF!</f>
        <v>#REF!</v>
      </c>
      <c r="G10" s="101" t="e">
        <f>+IF(D10=0,0,IF(D10&lt;0,1,-1))</f>
        <v>#REF!</v>
      </c>
      <c r="H10" s="97" t="e">
        <f t="shared" si="3"/>
        <v>#REF!</v>
      </c>
      <c r="I10" t="e">
        <f t="shared" si="4"/>
        <v>#REF!</v>
      </c>
    </row>
    <row r="11" spans="2:9">
      <c r="B11" s="97" t="s">
        <v>29</v>
      </c>
      <c r="C11" s="114" t="e">
        <f>+#REF!</f>
        <v>#REF!</v>
      </c>
      <c r="D11" s="98" t="e">
        <f>+#REF!</f>
        <v>#REF!</v>
      </c>
      <c r="E11" s="99" t="e">
        <f t="shared" ref="E11:E22" si="6">+ABS(D11)</f>
        <v>#REF!</v>
      </c>
      <c r="F11" s="100" t="e">
        <f>+#REF!</f>
        <v>#REF!</v>
      </c>
      <c r="G11" s="101" t="e">
        <f t="shared" ref="G11" si="7">+IF(D11=0,0,IF(D11&lt;0,1,-1))</f>
        <v>#REF!</v>
      </c>
      <c r="H11" s="97" t="e">
        <f t="shared" si="3"/>
        <v>#REF!</v>
      </c>
      <c r="I11" t="e">
        <f t="shared" si="4"/>
        <v>#REF!</v>
      </c>
    </row>
    <row r="12" spans="2:9">
      <c r="B12" s="97" t="s">
        <v>54</v>
      </c>
      <c r="C12" s="114" t="e">
        <f>+#REF!</f>
        <v>#REF!</v>
      </c>
      <c r="D12" s="98" t="e">
        <f>+#REF!</f>
        <v>#REF!</v>
      </c>
      <c r="E12" s="99" t="e">
        <f t="shared" si="6"/>
        <v>#REF!</v>
      </c>
      <c r="F12" s="100" t="e">
        <f>+#REF!</f>
        <v>#REF!</v>
      </c>
      <c r="G12" s="101" t="e">
        <f t="shared" ref="G12" si="8">+IF(D12=0,0,IF(D12&lt;0,1,-1))</f>
        <v>#REF!</v>
      </c>
      <c r="H12" s="97" t="e">
        <f t="shared" si="3"/>
        <v>#REF!</v>
      </c>
      <c r="I12" t="e">
        <f t="shared" si="4"/>
        <v>#REF!</v>
      </c>
    </row>
    <row r="13" spans="2:9">
      <c r="B13" s="97" t="s">
        <v>12</v>
      </c>
      <c r="C13" s="114" t="e">
        <f>+#REF!</f>
        <v>#REF!</v>
      </c>
      <c r="D13" s="98" t="e">
        <f>+#REF!</f>
        <v>#REF!</v>
      </c>
      <c r="E13" s="99" t="e">
        <f t="shared" si="6"/>
        <v>#REF!</v>
      </c>
      <c r="F13" s="100" t="e">
        <f>+#REF!</f>
        <v>#REF!</v>
      </c>
      <c r="G13" s="101" t="e">
        <f>+IF(D13=0,0,IF(D13&lt;0,1,-1))</f>
        <v>#REF!</v>
      </c>
      <c r="H13" s="97" t="e">
        <f t="shared" si="3"/>
        <v>#REF!</v>
      </c>
      <c r="I13" t="e">
        <f t="shared" si="4"/>
        <v>#REF!</v>
      </c>
    </row>
    <row r="14" spans="2:9">
      <c r="B14" s="97" t="s">
        <v>13</v>
      </c>
      <c r="C14" s="114" t="e">
        <f>+#REF!</f>
        <v>#REF!</v>
      </c>
      <c r="D14" s="98" t="e">
        <f>+#REF!</f>
        <v>#REF!</v>
      </c>
      <c r="E14" s="99" t="e">
        <f t="shared" si="6"/>
        <v>#REF!</v>
      </c>
      <c r="F14" s="100" t="e">
        <f>+#REF!</f>
        <v>#REF!</v>
      </c>
      <c r="G14" s="101" t="e">
        <f t="shared" ref="G14" si="9">+IF(D14=0,0,IF(D14&lt;0,1,-1))</f>
        <v>#REF!</v>
      </c>
      <c r="H14" s="97" t="e">
        <f t="shared" si="3"/>
        <v>#REF!</v>
      </c>
      <c r="I14" t="e">
        <f t="shared" si="4"/>
        <v>#REF!</v>
      </c>
    </row>
    <row r="15" spans="2:9">
      <c r="B15" s="97" t="s">
        <v>65</v>
      </c>
      <c r="C15" s="114"/>
      <c r="D15" s="112">
        <f>+Utilidad!D95</f>
        <v>0</v>
      </c>
      <c r="E15" s="99">
        <f t="shared" si="6"/>
        <v>0</v>
      </c>
      <c r="F15" s="100" t="e">
        <f>+#REF!</f>
        <v>#REF!</v>
      </c>
      <c r="G15" s="101">
        <f t="shared" ref="G15" si="10">+IF(D15=0,0,IF(D15&lt;0,1,-1))</f>
        <v>0</v>
      </c>
      <c r="H15" s="97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97" t="s">
        <v>68</v>
      </c>
      <c r="C16" s="114"/>
      <c r="D16" s="112">
        <f>+Utilidad!D93</f>
        <v>0</v>
      </c>
      <c r="E16" s="99">
        <f t="shared" si="6"/>
        <v>0</v>
      </c>
      <c r="F16" s="100" t="e">
        <f>+#REF!</f>
        <v>#REF!</v>
      </c>
      <c r="G16" s="101">
        <f t="shared" ref="G16" si="13">+IF(D16=0,0,IF(D16&lt;0,1,-1))</f>
        <v>0</v>
      </c>
      <c r="H16" s="97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97" t="s">
        <v>30</v>
      </c>
      <c r="C17" s="114" t="e">
        <f>+#REF!</f>
        <v>#REF!</v>
      </c>
      <c r="D17" s="112">
        <f>+Utilidad!D100</f>
        <v>0</v>
      </c>
      <c r="E17" s="99">
        <f t="shared" si="6"/>
        <v>0</v>
      </c>
      <c r="F17" s="113">
        <f>+Utilidad!F100</f>
        <v>0</v>
      </c>
      <c r="G17" s="101">
        <f t="shared" ref="G17:G19" si="15">+IF(D17=0,0,IF(D17&lt;0,1,-1))</f>
        <v>0</v>
      </c>
      <c r="H17" s="97" t="str">
        <f>+IF(G17=1,"consume",IF(G17=0,"mantiene","aumenta"))</f>
        <v>mantiene</v>
      </c>
      <c r="I17">
        <f>+IF(D17&gt;0,1,IF(D17&lt;&gt;0,-1,0))</f>
        <v>0</v>
      </c>
    </row>
    <row r="18" spans="2:9">
      <c r="B18" s="97" t="s">
        <v>66</v>
      </c>
      <c r="C18" s="114" t="e">
        <f>+#REF!</f>
        <v>#REF!</v>
      </c>
      <c r="D18" s="112">
        <f>+Utilidad!D102</f>
        <v>0</v>
      </c>
      <c r="E18" s="99">
        <f t="shared" si="6"/>
        <v>0</v>
      </c>
      <c r="F18" s="100" t="e">
        <f>+#REF!</f>
        <v>#REF!</v>
      </c>
      <c r="G18" s="101">
        <f t="shared" si="15"/>
        <v>0</v>
      </c>
      <c r="H18" s="97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97" t="s">
        <v>15</v>
      </c>
      <c r="C19" s="114" t="e">
        <f>+#REF!</f>
        <v>#REF!</v>
      </c>
      <c r="D19" s="112">
        <f>+Utilidad!D104</f>
        <v>0</v>
      </c>
      <c r="E19" s="99">
        <f t="shared" si="6"/>
        <v>0</v>
      </c>
      <c r="F19" s="100" t="e">
        <f>+#REF!</f>
        <v>#REF!</v>
      </c>
      <c r="G19" s="101">
        <f t="shared" si="15"/>
        <v>0</v>
      </c>
      <c r="H19" s="97" t="str">
        <f>+IF(G19=1,"consume",IF(G19=0,"mantiene","aumenta"))</f>
        <v>mantiene</v>
      </c>
      <c r="I19">
        <f>+IF(D19&gt;0,1,IF(D19&lt;&gt;0,-1,0))</f>
        <v>0</v>
      </c>
    </row>
    <row r="20" spans="2:9">
      <c r="B20" s="97" t="s">
        <v>14</v>
      </c>
      <c r="C20" s="114" t="e">
        <f>+#REF!</f>
        <v>#REF!</v>
      </c>
      <c r="D20" s="112">
        <f>+Utilidad!D121</f>
        <v>0</v>
      </c>
      <c r="E20" s="99">
        <f t="shared" si="6"/>
        <v>0</v>
      </c>
      <c r="F20" s="113">
        <f>+Utilidad!F121</f>
        <v>0</v>
      </c>
      <c r="G20" s="101">
        <f t="shared" ref="G20" si="18">+IF(D20=0,0,IF(D20&lt;0,1,-1))</f>
        <v>0</v>
      </c>
      <c r="H20" s="97" t="str">
        <f>+IF(G20=1,"consume",IF(G20=0,"mantiene","aumenta"))</f>
        <v>mantiene</v>
      </c>
      <c r="I20">
        <f>+IF(D20&gt;0,1,IF(D20&lt;&gt;0,-1,0))</f>
        <v>0</v>
      </c>
    </row>
    <row r="21" spans="2:9">
      <c r="B21" s="97" t="s">
        <v>31</v>
      </c>
      <c r="C21" s="114" t="e">
        <f>+#REF!</f>
        <v>#REF!</v>
      </c>
      <c r="D21" s="112">
        <f>+Utilidad!D123</f>
        <v>0</v>
      </c>
      <c r="E21" s="99">
        <f t="shared" si="6"/>
        <v>0</v>
      </c>
      <c r="F21" s="100" t="e">
        <f>+#REF!</f>
        <v>#REF!</v>
      </c>
      <c r="G21" s="101">
        <f t="shared" ref="G21" si="19">+IF(D21=0,0,IF(D21&lt;0,1,-1))</f>
        <v>0</v>
      </c>
      <c r="H21" s="97" t="str">
        <f>+IF(G21=1,"consume",IF(G21=0,"mantiene","aumenta"))</f>
        <v>mantiene</v>
      </c>
      <c r="I21">
        <f>+IF(D21&gt;0,1,IF(D21&lt;&gt;0,-1,0))</f>
        <v>0</v>
      </c>
    </row>
    <row r="22" spans="2:9">
      <c r="B22" s="97" t="s">
        <v>32</v>
      </c>
      <c r="C22" s="114" t="e">
        <f>+#REF!</f>
        <v>#REF!</v>
      </c>
      <c r="D22" s="112">
        <f>+Utilidad!D125</f>
        <v>0</v>
      </c>
      <c r="E22" s="99">
        <f t="shared" si="6"/>
        <v>0</v>
      </c>
      <c r="F22" s="113">
        <f>+Utilidad!F125</f>
        <v>0</v>
      </c>
      <c r="G22" s="101">
        <f t="shared" ref="G22" si="20">+IF(D22=0,0,IF(D22&lt;0,1,-1))</f>
        <v>0</v>
      </c>
      <c r="H22" s="97" t="str">
        <f>+IF(G22=1,"consume",IF(G22=0,"mantiene","aumenta"))</f>
        <v>mantiene</v>
      </c>
      <c r="I22">
        <f>+IF(D22&gt;0,1,IF(D22&lt;&gt;0,-1,0))</f>
        <v>0</v>
      </c>
    </row>
    <row r="26" spans="2:9">
      <c r="D26" s="1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50</v>
      </c>
      <c r="S3" s="3" t="s">
        <v>24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58</v>
      </c>
      <c r="H4">
        <v>1</v>
      </c>
      <c r="I4" s="6" t="s">
        <v>16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58</v>
      </c>
      <c r="H5">
        <v>2</v>
      </c>
      <c r="I5" s="6" t="s">
        <v>45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58</v>
      </c>
      <c r="H6">
        <v>3</v>
      </c>
      <c r="I6" s="6" t="s">
        <v>17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58</v>
      </c>
      <c r="H7">
        <v>4</v>
      </c>
      <c r="I7" s="6" t="s">
        <v>21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58</v>
      </c>
      <c r="H8">
        <v>5</v>
      </c>
      <c r="I8" s="6" t="s">
        <v>18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58</v>
      </c>
      <c r="H9">
        <v>6</v>
      </c>
      <c r="I9" s="6" t="s">
        <v>19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58</v>
      </c>
      <c r="H10">
        <v>7</v>
      </c>
      <c r="I10" s="6" t="s">
        <v>20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58</v>
      </c>
      <c r="H11">
        <v>8</v>
      </c>
      <c r="I11" s="6" t="s">
        <v>22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58</v>
      </c>
      <c r="H12">
        <v>9</v>
      </c>
      <c r="I12" s="6" t="s">
        <v>46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58</v>
      </c>
      <c r="H13">
        <v>10</v>
      </c>
      <c r="I13" s="6" t="s">
        <v>94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58</v>
      </c>
      <c r="H14">
        <v>11</v>
      </c>
      <c r="I14" s="6" t="s">
        <v>23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58</v>
      </c>
      <c r="H15">
        <v>12</v>
      </c>
      <c r="I15" s="6" t="s">
        <v>48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58</v>
      </c>
      <c r="H16">
        <v>13</v>
      </c>
      <c r="I16" s="6" t="s">
        <v>47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58</v>
      </c>
      <c r="H17">
        <v>14</v>
      </c>
      <c r="I17" s="6" t="s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58</v>
      </c>
      <c r="H18">
        <v>15</v>
      </c>
      <c r="I18" s="6" t="s">
        <v>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33</v>
      </c>
      <c r="AH18" t="s">
        <v>10</v>
      </c>
    </row>
    <row r="19" spans="7:36" outlineLevel="1">
      <c r="G19" s="16" t="s">
        <v>58</v>
      </c>
      <c r="H19">
        <v>16</v>
      </c>
      <c r="I19" s="6" t="s">
        <v>146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58</v>
      </c>
      <c r="H20">
        <v>17</v>
      </c>
      <c r="I20" s="6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58</v>
      </c>
      <c r="H21">
        <v>18</v>
      </c>
      <c r="I21" s="6" t="s">
        <v>147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58</v>
      </c>
      <c r="H22">
        <v>19</v>
      </c>
      <c r="I22" s="6" t="s">
        <v>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58</v>
      </c>
      <c r="H23">
        <v>20</v>
      </c>
      <c r="I23" s="6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58</v>
      </c>
      <c r="H24">
        <v>21</v>
      </c>
      <c r="I24" s="6" t="s">
        <v>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58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58</v>
      </c>
      <c r="H26">
        <v>23</v>
      </c>
      <c r="I26" s="6" t="s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58</v>
      </c>
      <c r="H27">
        <v>24</v>
      </c>
      <c r="I27" s="27" t="s">
        <v>28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53</v>
      </c>
      <c r="AC43" s="20"/>
      <c r="AI43" s="31"/>
      <c r="AJ43" s="31"/>
    </row>
    <row r="44" spans="4:36" ht="32.25" customHeight="1">
      <c r="D44" s="7"/>
      <c r="J44" s="187" t="s">
        <v>38</v>
      </c>
      <c r="K44" s="188"/>
      <c r="M44" s="184" t="s">
        <v>39</v>
      </c>
      <c r="N44" s="185"/>
      <c r="O44" s="186"/>
      <c r="R44" s="190" t="s">
        <v>41</v>
      </c>
      <c r="S44" s="191"/>
      <c r="T44" s="40" t="s">
        <v>56</v>
      </c>
      <c r="V44" s="38" t="s">
        <v>57</v>
      </c>
      <c r="AB44" s="20" t="s">
        <v>33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33</v>
      </c>
      <c r="K45" s="34" t="s">
        <v>9</v>
      </c>
      <c r="M45" s="11" t="s">
        <v>33</v>
      </c>
      <c r="N45" s="12" t="s">
        <v>9</v>
      </c>
      <c r="O45" s="13" t="s">
        <v>40</v>
      </c>
      <c r="R45" s="14" t="s">
        <v>33</v>
      </c>
      <c r="S45" s="14" t="s">
        <v>36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60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04" t="e">
        <f>+IF(R46&lt;&gt;"",ABS(R46),0)</f>
        <v>#REF!</v>
      </c>
      <c r="U46" s="108"/>
      <c r="V46" s="104" t="e">
        <f t="shared" ref="V46:V69" si="3">+IF(S46&lt;&gt;"",ABS(S46),0)</f>
        <v>#REF!</v>
      </c>
      <c r="W46" s="10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08"/>
      <c r="V47" s="36" t="e">
        <f t="shared" si="3"/>
        <v>#REF!</v>
      </c>
      <c r="W47" s="10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34</v>
      </c>
      <c r="E48" t="s">
        <v>35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08">
        <v>0</v>
      </c>
      <c r="V48" s="36" t="e">
        <f t="shared" si="3"/>
        <v>#REF!</v>
      </c>
      <c r="W48" s="10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61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08"/>
      <c r="V49" s="36" t="e">
        <f t="shared" si="3"/>
        <v>#REF!</v>
      </c>
      <c r="W49" s="10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08"/>
      <c r="V50" s="36" t="e">
        <f t="shared" si="3"/>
        <v>#REF!</v>
      </c>
      <c r="W50" s="10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08"/>
      <c r="V51" s="36">
        <f t="shared" si="3"/>
        <v>0</v>
      </c>
      <c r="W51" s="10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08"/>
      <c r="V52" s="36" t="e">
        <f t="shared" si="3"/>
        <v>#REF!</v>
      </c>
      <c r="W52" s="10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61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08">
        <v>0.1</v>
      </c>
      <c r="V53" s="36" t="e">
        <f t="shared" si="3"/>
        <v>#REF!</v>
      </c>
      <c r="W53" s="108"/>
      <c r="AA53" s="44" t="s">
        <v>50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08"/>
      <c r="V54" s="36" t="e">
        <f t="shared" si="3"/>
        <v>#REF!</v>
      </c>
      <c r="W54" s="108"/>
      <c r="AA54" s="44" t="s">
        <v>24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08">
        <v>0</v>
      </c>
      <c r="V55" s="36" t="e">
        <f t="shared" si="3"/>
        <v>#REF!</v>
      </c>
      <c r="W55" s="10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61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08"/>
      <c r="V56" s="36" t="e">
        <f t="shared" si="3"/>
        <v>#REF!</v>
      </c>
      <c r="W56" s="10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62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08">
        <v>0</v>
      </c>
      <c r="V57" s="36" t="e">
        <f t="shared" si="3"/>
        <v>#REF!</v>
      </c>
      <c r="W57" s="108">
        <v>0.01</v>
      </c>
      <c r="AA57" s="16" t="s">
        <v>67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04" t="e">
        <f t="shared" si="8"/>
        <v>#REF!</v>
      </c>
      <c r="U58" s="108">
        <v>0.03</v>
      </c>
      <c r="V58" s="36" t="e">
        <f t="shared" si="3"/>
        <v>#REF!</v>
      </c>
      <c r="W58" s="108"/>
      <c r="AA58" s="16" t="s">
        <v>52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08">
        <v>0.02</v>
      </c>
      <c r="V59" s="36" t="e">
        <f t="shared" si="3"/>
        <v>#REF!</v>
      </c>
      <c r="W59" s="10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08"/>
      <c r="V60" s="36" t="e">
        <f t="shared" si="3"/>
        <v>#REF!</v>
      </c>
      <c r="W60" s="10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08"/>
      <c r="V61" s="36" t="e">
        <f t="shared" si="3"/>
        <v>#REF!</v>
      </c>
      <c r="W61" s="10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61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08"/>
      <c r="V62" s="36" t="e">
        <f t="shared" si="3"/>
        <v>#REF!</v>
      </c>
      <c r="W62" s="10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08"/>
      <c r="V63" s="36" t="e">
        <f t="shared" si="3"/>
        <v>#REF!</v>
      </c>
      <c r="W63" s="10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08"/>
      <c r="V64" s="36" t="e">
        <f t="shared" si="3"/>
        <v>#REF!</v>
      </c>
      <c r="W64" s="10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63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08"/>
      <c r="V65" s="36" t="e">
        <f t="shared" si="3"/>
        <v>#REF!</v>
      </c>
      <c r="W65" s="10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08"/>
      <c r="V66" s="36" t="e">
        <f t="shared" si="3"/>
        <v>#REF!</v>
      </c>
      <c r="W66" s="10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61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08"/>
      <c r="V67" s="36" t="e">
        <f t="shared" si="3"/>
        <v>#REF!</v>
      </c>
      <c r="W67" s="10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62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08">
        <v>0</v>
      </c>
      <c r="V68" s="36" t="e">
        <f t="shared" si="3"/>
        <v>#REF!</v>
      </c>
      <c r="W68" s="10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64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08">
        <v>0</v>
      </c>
      <c r="V69" s="36" t="e">
        <f t="shared" si="3"/>
        <v>#REF!</v>
      </c>
      <c r="W69" s="10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189" t="s">
        <v>59</v>
      </c>
      <c r="K71" s="189"/>
      <c r="M71" s="24" t="s">
        <v>43</v>
      </c>
      <c r="N71" s="24"/>
      <c r="R71" s="10" t="e">
        <f>+#REF!</f>
        <v>#REF!</v>
      </c>
      <c r="V71" s="7"/>
    </row>
    <row r="72" spans="4:29" ht="16" thickBot="1">
      <c r="J72" s="15" t="s">
        <v>42</v>
      </c>
      <c r="K72" s="15" t="s">
        <v>36</v>
      </c>
      <c r="M72" s="24" t="s">
        <v>42</v>
      </c>
      <c r="N72" s="24" t="s">
        <v>36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44</v>
      </c>
      <c r="K98" s="24"/>
    </row>
    <row r="99" spans="9:11" ht="16" thickBot="1">
      <c r="J99" s="15" t="s">
        <v>42</v>
      </c>
      <c r="K99" s="15" t="s">
        <v>36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3">
        <f>+'Bal Los Colorados'!M47</f>
        <v>0</v>
      </c>
      <c r="G6" s="23"/>
      <c r="H6" s="23"/>
      <c r="I6" s="85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2">
        <f>+-C8+D16-F6</f>
        <v>1770.5761999999995</v>
      </c>
      <c r="F7" s="84">
        <f>+'Bal Los Colorados'!N47</f>
        <v>0</v>
      </c>
      <c r="G7" s="23"/>
      <c r="H7" s="23"/>
      <c r="I7" s="87">
        <f>+'Bal Los Colorados'!N46</f>
        <v>0.46140050554742984</v>
      </c>
      <c r="J7" s="23"/>
      <c r="K7" s="23"/>
      <c r="L7" s="23"/>
      <c r="M7" s="23"/>
      <c r="N7" s="23"/>
      <c r="O7" s="23"/>
      <c r="P7" s="203" t="s">
        <v>90</v>
      </c>
      <c r="Q7" s="203"/>
      <c r="R7" s="23"/>
      <c r="S7" s="23"/>
      <c r="T7" s="81"/>
    </row>
    <row r="8" spans="2:20" ht="16">
      <c r="B8" s="80"/>
      <c r="C8" s="85">
        <f>+'Bal Los Colorados'!M48</f>
        <v>12961.629000000001</v>
      </c>
      <c r="D8" s="23"/>
      <c r="E8" s="23"/>
      <c r="F8" s="86">
        <f>+'Bal Los Colorados'!O47</f>
        <v>0</v>
      </c>
      <c r="G8" s="23"/>
      <c r="H8" s="23"/>
      <c r="I8" s="88">
        <f>+'Bal Los Colorados'!O46</f>
        <v>231983.78607040126</v>
      </c>
      <c r="J8" s="23"/>
      <c r="K8" s="23"/>
      <c r="L8" s="23"/>
      <c r="M8" s="23"/>
      <c r="N8" s="23"/>
      <c r="O8" s="23"/>
      <c r="P8" s="105" t="s">
        <v>91</v>
      </c>
      <c r="Q8" s="106">
        <f>+I25/K20</f>
        <v>0.75353481009949175</v>
      </c>
      <c r="R8" s="23"/>
      <c r="S8" s="23"/>
      <c r="T8" s="81"/>
    </row>
    <row r="9" spans="2:20" ht="16">
      <c r="B9" s="80"/>
      <c r="C9" s="87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05" t="s">
        <v>92</v>
      </c>
      <c r="Q9" s="106">
        <f>+I27/K22</f>
        <v>0.91700160865247149</v>
      </c>
      <c r="R9" s="23"/>
      <c r="S9" s="23"/>
      <c r="T9" s="81"/>
    </row>
    <row r="10" spans="2:20" ht="16">
      <c r="B10" s="80"/>
      <c r="C10" s="88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03" t="s">
        <v>24</v>
      </c>
      <c r="Q10" s="203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5">
        <f>+'Bal Los Colorados'!M52</f>
        <v>502781.82030850503</v>
      </c>
      <c r="K11" s="23"/>
      <c r="L11" s="23"/>
      <c r="M11" s="23"/>
      <c r="N11" s="23"/>
      <c r="O11" s="23"/>
      <c r="P11" s="105" t="s">
        <v>91</v>
      </c>
      <c r="Q11" s="106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5">
        <f>+'Bal Los Colorados'!M50</f>
        <v>502781.82030850503</v>
      </c>
      <c r="I12" s="23"/>
      <c r="J12" s="87">
        <f>+'Bal Los Colorados'!N52</f>
        <v>0.46140050554742978</v>
      </c>
      <c r="K12" s="23"/>
      <c r="L12" s="23"/>
      <c r="M12" s="23"/>
      <c r="N12" s="23"/>
      <c r="O12" s="23"/>
      <c r="P12" s="105" t="s">
        <v>92</v>
      </c>
      <c r="Q12" s="106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87">
        <f>+'Bal Los Colorados'!N50</f>
        <v>0.46140050554742978</v>
      </c>
      <c r="I13" s="23"/>
      <c r="J13" s="88">
        <f>+'Bal Los Colorados'!O52</f>
        <v>231983.78607040123</v>
      </c>
      <c r="K13" s="23"/>
      <c r="L13" s="23"/>
      <c r="M13" s="23"/>
      <c r="N13" s="23"/>
      <c r="O13" s="23"/>
      <c r="P13" s="204" t="s">
        <v>93</v>
      </c>
      <c r="Q13" s="204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88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05" t="s">
        <v>91</v>
      </c>
      <c r="Q14" s="106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3">
        <f>+'Bal Los Colorados'!M60</f>
        <v>30174.414309067877</v>
      </c>
      <c r="N15" s="23"/>
      <c r="O15" s="23"/>
      <c r="P15" s="105" t="s">
        <v>92</v>
      </c>
      <c r="Q15" s="106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3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4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4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86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86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5"/>
      <c r="I19" s="23"/>
      <c r="J19" s="82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87"/>
      <c r="I20" s="23"/>
      <c r="J20" s="23"/>
      <c r="K20" s="85">
        <f>+'Bal Los Colorados'!M54</f>
        <v>458196.92982851854</v>
      </c>
      <c r="L20" s="23"/>
      <c r="M20" s="23"/>
      <c r="N20" s="23"/>
      <c r="O20" s="82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88"/>
      <c r="I21" s="23"/>
      <c r="J21" s="23"/>
      <c r="K21" s="87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07"/>
      <c r="C22" s="23"/>
      <c r="D22" s="23"/>
      <c r="E22" s="23"/>
      <c r="F22" s="23"/>
      <c r="G22" s="23"/>
      <c r="H22" s="23"/>
      <c r="I22" s="23"/>
      <c r="J22" s="23"/>
      <c r="K22" s="88">
        <f>+'Bal Los Colorados'!O54</f>
        <v>216121.49720061384</v>
      </c>
      <c r="L22" s="23"/>
      <c r="M22" s="23"/>
      <c r="N22" s="23"/>
      <c r="O22" s="23"/>
      <c r="P22" s="83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4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86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5">
        <f>+'Bal Los Colorados'!M58</f>
        <v>345267.33650650288</v>
      </c>
      <c r="J25" s="23"/>
      <c r="K25" s="23"/>
      <c r="L25" s="85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87">
        <f>+'Bal Los Colorados'!N58</f>
        <v>0.57400089624061745</v>
      </c>
      <c r="J26" s="23"/>
      <c r="K26" s="23"/>
      <c r="L26" s="87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92">
        <f>+I25-C28-G36-D16</f>
        <v>-359512.14169349719</v>
      </c>
      <c r="H27" s="23"/>
      <c r="I27" s="88">
        <f>+'Bal Los Colorados'!O58</f>
        <v>198183.7605973435</v>
      </c>
      <c r="J27" s="23"/>
      <c r="K27" s="23"/>
      <c r="L27" s="88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5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3">
        <f>+'Bal Los Colorados'!M65</f>
        <v>108284.65870939114</v>
      </c>
      <c r="T28" s="81"/>
    </row>
    <row r="29" spans="2:25" ht="16">
      <c r="B29" s="80"/>
      <c r="C29" s="87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4">
        <f>+'Bal Los Colorados'!N65</f>
        <v>0.12974457621375801</v>
      </c>
      <c r="T29" s="81"/>
    </row>
    <row r="30" spans="2:25" ht="16">
      <c r="B30" s="80"/>
      <c r="C30" s="88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3">
        <f>+'Bal Los Colorados'!M61</f>
        <v>82755.179012932131</v>
      </c>
      <c r="N30" s="23"/>
      <c r="O30" s="23"/>
      <c r="P30" s="23"/>
      <c r="Q30" s="23"/>
      <c r="R30" s="23"/>
      <c r="S30" s="86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4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86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3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4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86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3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3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4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4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86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86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2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6">
      <c r="E43" s="75" t="s">
        <v>87</v>
      </c>
    </row>
    <row r="44" spans="2:20" ht="32.25" customHeight="1">
      <c r="E44" s="205" t="s">
        <v>70</v>
      </c>
      <c r="F44" s="205"/>
      <c r="G44" s="206"/>
      <c r="H44" s="205" t="s">
        <v>81</v>
      </c>
      <c r="I44" s="205"/>
      <c r="J44" s="205"/>
      <c r="K44" s="202" t="s">
        <v>69</v>
      </c>
      <c r="L44" s="202"/>
      <c r="M44" s="202"/>
      <c r="N44" s="202"/>
    </row>
    <row r="45" spans="2:20">
      <c r="E45" s="68" t="s">
        <v>71</v>
      </c>
      <c r="F45" s="68"/>
      <c r="G45" s="66">
        <f>+I6</f>
        <v>502781.82030850503</v>
      </c>
      <c r="H45" s="196" t="s">
        <v>72</v>
      </c>
      <c r="I45" s="196"/>
      <c r="J45" s="66">
        <f>+E7</f>
        <v>1770.5761999999995</v>
      </c>
      <c r="K45" s="196" t="s">
        <v>77</v>
      </c>
      <c r="L45" s="196"/>
      <c r="M45" s="196"/>
      <c r="N45" s="66">
        <f>+C8</f>
        <v>12961.629000000001</v>
      </c>
    </row>
    <row r="46" spans="2:20">
      <c r="E46" s="197"/>
      <c r="F46" s="198"/>
      <c r="G46" s="20"/>
      <c r="H46" s="196" t="s">
        <v>73</v>
      </c>
      <c r="I46" s="196"/>
      <c r="J46" s="66">
        <f>+J19</f>
        <v>44584.890479986498</v>
      </c>
      <c r="K46" s="196" t="s">
        <v>78</v>
      </c>
      <c r="L46" s="196"/>
      <c r="M46" s="196"/>
      <c r="N46" s="66">
        <f>+C28</f>
        <v>16162.331</v>
      </c>
    </row>
    <row r="47" spans="2:20">
      <c r="E47" s="197"/>
      <c r="F47" s="198"/>
      <c r="G47" s="20"/>
      <c r="H47" s="196" t="s">
        <v>74</v>
      </c>
      <c r="I47" s="196"/>
      <c r="J47" s="66">
        <f>+G27</f>
        <v>-359512.14169349719</v>
      </c>
      <c r="K47" s="196" t="s">
        <v>79</v>
      </c>
      <c r="L47" s="196"/>
      <c r="M47" s="196"/>
      <c r="N47" s="66">
        <f>+S36</f>
        <v>19130.865000000002</v>
      </c>
    </row>
    <row r="48" spans="2:20">
      <c r="E48" s="197"/>
      <c r="F48" s="198"/>
      <c r="G48" s="20"/>
      <c r="H48" s="67" t="s">
        <v>75</v>
      </c>
      <c r="I48" s="67"/>
      <c r="J48" s="66">
        <f>+O20</f>
        <v>-14174.322317347061</v>
      </c>
      <c r="K48" s="196" t="s">
        <v>80</v>
      </c>
      <c r="L48" s="196"/>
      <c r="M48" s="196"/>
      <c r="N48" s="66">
        <f>+S28</f>
        <v>108284.65870939114</v>
      </c>
    </row>
    <row r="49" spans="5:14">
      <c r="E49" s="197"/>
      <c r="F49" s="198"/>
      <c r="G49" s="20"/>
      <c r="H49" s="196" t="s">
        <v>76</v>
      </c>
      <c r="I49" s="196"/>
      <c r="J49" s="66">
        <f>+P40</f>
        <v>-311.60807004405433</v>
      </c>
      <c r="K49" s="196" t="s">
        <v>85</v>
      </c>
      <c r="L49" s="196"/>
      <c r="M49" s="196"/>
      <c r="N49" s="66">
        <f>+G36</f>
        <v>673884.94200000004</v>
      </c>
    </row>
    <row r="50" spans="5:14" ht="19">
      <c r="E50" s="192" t="s">
        <v>83</v>
      </c>
      <c r="F50" s="193"/>
      <c r="G50" s="69">
        <f>+G45</f>
        <v>502781.82030850503</v>
      </c>
      <c r="H50" s="194" t="s">
        <v>82</v>
      </c>
      <c r="I50" s="194"/>
      <c r="J50" s="77">
        <f>+SUM(J45:J49)</f>
        <v>-327642.60540090181</v>
      </c>
      <c r="K50" s="195" t="s">
        <v>84</v>
      </c>
      <c r="L50" s="195"/>
      <c r="M50" s="195"/>
      <c r="N50" s="69">
        <f>+SUM(N45:N49)</f>
        <v>830424.42570939125</v>
      </c>
    </row>
    <row r="52" spans="5:14" ht="19">
      <c r="J52" s="76" t="s">
        <v>86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88</v>
      </c>
    </row>
    <row r="55" spans="5:14" ht="19">
      <c r="E55" s="199" t="s">
        <v>70</v>
      </c>
      <c r="F55" s="199"/>
      <c r="G55" s="200"/>
      <c r="H55" s="199" t="s">
        <v>81</v>
      </c>
      <c r="I55" s="199"/>
      <c r="J55" s="199"/>
      <c r="K55" s="201" t="s">
        <v>69</v>
      </c>
      <c r="L55" s="201"/>
      <c r="M55" s="201"/>
      <c r="N55" s="201"/>
    </row>
    <row r="56" spans="5:14">
      <c r="E56" s="68" t="s">
        <v>71</v>
      </c>
      <c r="F56" s="68"/>
      <c r="G56" s="66">
        <f>+I8</f>
        <v>231983.78607040126</v>
      </c>
      <c r="H56" s="196" t="s">
        <v>72</v>
      </c>
      <c r="I56" s="196"/>
      <c r="J56" s="66" t="e">
        <f>+'Bal Los Colorados'!O49*'Bal Los Colorados'!G49</f>
        <v>#REF!</v>
      </c>
      <c r="K56" s="196" t="s">
        <v>77</v>
      </c>
      <c r="L56" s="196"/>
      <c r="M56" s="196"/>
      <c r="N56" s="66">
        <f>+C10</f>
        <v>7704.8210577451482</v>
      </c>
    </row>
    <row r="57" spans="5:14">
      <c r="E57" s="197"/>
      <c r="F57" s="198"/>
      <c r="G57" s="20"/>
      <c r="H57" s="196" t="s">
        <v>73</v>
      </c>
      <c r="I57" s="196"/>
      <c r="J57" s="66" t="e">
        <f>+'Bal Los Colorados'!O53*'Bal Los Colorados'!G53</f>
        <v>#REF!</v>
      </c>
      <c r="K57" s="196" t="s">
        <v>78</v>
      </c>
      <c r="L57" s="196"/>
      <c r="M57" s="196"/>
      <c r="N57" s="66">
        <f>+C30</f>
        <v>9675.4587302503223</v>
      </c>
    </row>
    <row r="58" spans="5:14">
      <c r="E58" s="197"/>
      <c r="F58" s="198"/>
      <c r="G58" s="20"/>
      <c r="H58" s="196" t="s">
        <v>74</v>
      </c>
      <c r="I58" s="196"/>
      <c r="J58" s="66" t="e">
        <f>+'Bal Los Colorados'!O56*'Bal Los Colorados'!G56</f>
        <v>#REF!</v>
      </c>
      <c r="K58" s="196" t="s">
        <v>79</v>
      </c>
      <c r="L58" s="196"/>
      <c r="M58" s="196"/>
      <c r="N58" s="66">
        <f>+S38</f>
        <v>7620.3234035700007</v>
      </c>
    </row>
    <row r="59" spans="5:14">
      <c r="E59" s="197"/>
      <c r="F59" s="198"/>
      <c r="G59" s="20"/>
      <c r="H59" s="67" t="s">
        <v>75</v>
      </c>
      <c r="I59" s="67"/>
      <c r="J59" s="66" t="e">
        <f>+'Bal Los Colorados'!O62*'Bal Los Colorados'!G62</f>
        <v>#REF!</v>
      </c>
      <c r="K59" s="196" t="s">
        <v>80</v>
      </c>
      <c r="L59" s="196"/>
      <c r="M59" s="196"/>
      <c r="N59" s="66">
        <f>+S30</f>
        <v>14049.347154701374</v>
      </c>
    </row>
    <row r="60" spans="5:14">
      <c r="E60" s="197"/>
      <c r="F60" s="198"/>
      <c r="G60" s="20"/>
      <c r="H60" s="196" t="s">
        <v>76</v>
      </c>
      <c r="I60" s="196"/>
      <c r="J60" s="66" t="e">
        <f>+'Bal Los Colorados'!O67*'Bal Los Colorados'!G67</f>
        <v>#REF!</v>
      </c>
      <c r="K60" s="196" t="s">
        <v>85</v>
      </c>
      <c r="L60" s="196"/>
      <c r="M60" s="196"/>
      <c r="N60" s="66">
        <f>+G38</f>
        <v>410848.95586592209</v>
      </c>
    </row>
    <row r="61" spans="5:14" ht="19">
      <c r="E61" s="192" t="s">
        <v>83</v>
      </c>
      <c r="F61" s="193"/>
      <c r="G61" s="69">
        <f>+G56</f>
        <v>231983.78607040126</v>
      </c>
      <c r="H61" s="194" t="s">
        <v>82</v>
      </c>
      <c r="I61" s="194"/>
      <c r="J61" s="77" t="e">
        <f>+SUM(J56:J60)</f>
        <v>#REF!</v>
      </c>
      <c r="K61" s="195" t="s">
        <v>84</v>
      </c>
      <c r="L61" s="195"/>
      <c r="M61" s="195"/>
      <c r="N61" s="69">
        <f>+SUM(N56:N60)</f>
        <v>449898.90621218894</v>
      </c>
    </row>
    <row r="63" spans="5:14" ht="19">
      <c r="J63" s="76" t="s">
        <v>86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" zoomScale="150" zoomScaleNormal="150" workbookViewId="0">
      <selection activeCell="B94" sqref="B94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23">
        <v>261455.17020557521</v>
      </c>
      <c r="B1" s="123">
        <v>0.58909999999999996</v>
      </c>
      <c r="C1" s="162">
        <v>0</v>
      </c>
      <c r="D1" s="123">
        <f t="shared" ref="D1:D32" si="0">A1*B1</f>
        <v>154023.24076810436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23">
        <v>11473.344999999999</v>
      </c>
      <c r="B2" s="123">
        <v>0.62939999999999996</v>
      </c>
      <c r="C2" s="162">
        <v>0</v>
      </c>
      <c r="D2" s="123">
        <f t="shared" si="0"/>
        <v>7221.3233429999991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23">
        <v>249981.82520557521</v>
      </c>
      <c r="B3" s="123">
        <v>0.58720000000000006</v>
      </c>
      <c r="C3" s="162">
        <v>0</v>
      </c>
      <c r="D3" s="123">
        <f t="shared" si="0"/>
        <v>146789.32776071379</v>
      </c>
      <c r="E3" s="124"/>
      <c r="F3" s="124"/>
      <c r="G3" s="124"/>
      <c r="H3" s="124"/>
      <c r="I3" s="124"/>
      <c r="J3" s="124"/>
      <c r="K3" s="125"/>
      <c r="L3" s="125"/>
      <c r="M3" s="125"/>
      <c r="N3" s="125"/>
      <c r="O3" s="125"/>
      <c r="P3" s="125"/>
      <c r="Q3" s="125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</row>
    <row r="4" spans="1:99" s="2" customFormat="1" ht="83" customHeight="1">
      <c r="A4" s="123">
        <v>-4116.7369201152997</v>
      </c>
      <c r="B4" s="123">
        <v>0.6</v>
      </c>
      <c r="C4" s="162">
        <v>6.2619431891058099E-3</v>
      </c>
      <c r="D4" s="123">
        <f t="shared" si="0"/>
        <v>-2470.0421520691798</v>
      </c>
      <c r="E4" s="124"/>
      <c r="F4" s="124"/>
      <c r="G4" s="124"/>
      <c r="H4" s="124"/>
      <c r="I4" s="123"/>
      <c r="J4" s="123"/>
      <c r="K4" s="123"/>
      <c r="L4" s="123"/>
      <c r="M4" s="123"/>
      <c r="N4" s="123"/>
      <c r="O4" s="123"/>
      <c r="P4" s="123"/>
      <c r="Q4" s="123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16"/>
      <c r="AK4" s="117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6"/>
      <c r="CU4" s="116"/>
    </row>
    <row r="5" spans="1:99">
      <c r="A5" s="123">
        <v>254098.5621256904</v>
      </c>
      <c r="B5" s="123">
        <v>0.6</v>
      </c>
      <c r="C5" s="162">
        <v>1</v>
      </c>
      <c r="D5" s="123">
        <f t="shared" si="0"/>
        <v>152459.13727541422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23">
        <v>693.98717870610005</v>
      </c>
      <c r="B6" s="123">
        <v>0.6</v>
      </c>
      <c r="C6" s="162">
        <v>0</v>
      </c>
      <c r="D6" s="123">
        <f t="shared" si="0"/>
        <v>416.39230722366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23">
        <v>253404.5749469843</v>
      </c>
      <c r="B7" s="123">
        <v>0.6</v>
      </c>
      <c r="C7" s="162">
        <v>1</v>
      </c>
      <c r="D7" s="123">
        <f t="shared" si="0"/>
        <v>152042.74496819059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23">
        <v>1500</v>
      </c>
      <c r="B8" s="123">
        <v>0.6</v>
      </c>
      <c r="C8" s="162">
        <v>0</v>
      </c>
      <c r="D8" s="123">
        <f t="shared" si="0"/>
        <v>900</v>
      </c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23">
        <v>43011</v>
      </c>
      <c r="B9" s="123">
        <v>9.9900000000000003E-2</v>
      </c>
      <c r="C9" s="162">
        <v>0</v>
      </c>
      <c r="D9" s="123">
        <f t="shared" si="0"/>
        <v>4296.7988999999998</v>
      </c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23">
        <v>208893.5749469843</v>
      </c>
      <c r="B10" s="123">
        <v>0.68630000000000002</v>
      </c>
      <c r="C10" s="162">
        <v>1</v>
      </c>
      <c r="D10" s="123">
        <f t="shared" si="0"/>
        <v>143363.66048611532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23">
        <v>-870</v>
      </c>
      <c r="B11" s="123">
        <v>0.68469999999999998</v>
      </c>
      <c r="C11" s="162">
        <v>9.8899999999999995E-3</v>
      </c>
      <c r="D11" s="123">
        <f t="shared" si="0"/>
        <v>-595.68899999999996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23">
        <v>0</v>
      </c>
      <c r="B12" s="123">
        <v>0</v>
      </c>
      <c r="C12" s="162">
        <v>0</v>
      </c>
      <c r="D12" s="123">
        <f t="shared" si="0"/>
        <v>0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23">
        <v>209763.5749469843</v>
      </c>
      <c r="B13" s="123">
        <v>0.68479999999999996</v>
      </c>
      <c r="C13" s="162">
        <v>1</v>
      </c>
      <c r="D13" s="123">
        <f t="shared" si="0"/>
        <v>143646.09612369485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23">
        <v>84629.508799999996</v>
      </c>
      <c r="B14" s="123">
        <v>0.68479999999999996</v>
      </c>
      <c r="C14" s="162">
        <v>1</v>
      </c>
      <c r="D14" s="123">
        <f t="shared" si="0"/>
        <v>57954.287626239995</v>
      </c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23">
        <v>125134.0661469843</v>
      </c>
      <c r="B15" s="123">
        <v>0.68479999999999996</v>
      </c>
      <c r="C15" s="162">
        <v>1</v>
      </c>
      <c r="D15" s="123">
        <f t="shared" si="0"/>
        <v>85691.80849745484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23">
        <v>0</v>
      </c>
      <c r="B16" s="123">
        <v>0</v>
      </c>
      <c r="C16" s="162">
        <v>0</v>
      </c>
      <c r="D16" s="123">
        <f t="shared" si="0"/>
        <v>0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23">
        <v>1151.136</v>
      </c>
      <c r="B17" s="123">
        <v>0.68479999999999996</v>
      </c>
      <c r="C17" s="162">
        <v>1</v>
      </c>
      <c r="D17" s="123">
        <f t="shared" si="0"/>
        <v>788.2979327999999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23">
        <v>0</v>
      </c>
      <c r="B18" s="123">
        <v>0</v>
      </c>
      <c r="C18" s="162">
        <v>0</v>
      </c>
      <c r="D18" s="123">
        <f t="shared" si="0"/>
        <v>0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23">
        <v>0</v>
      </c>
      <c r="B19" s="123">
        <v>0</v>
      </c>
      <c r="C19" s="162">
        <v>0</v>
      </c>
      <c r="D19" s="123">
        <f t="shared" si="0"/>
        <v>0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23">
        <v>1151.136</v>
      </c>
      <c r="B20" s="123">
        <v>0.68469999999999998</v>
      </c>
      <c r="C20" s="162">
        <v>0</v>
      </c>
      <c r="D20" s="123">
        <f t="shared" si="0"/>
        <v>788.18281919999993</v>
      </c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23">
        <v>83478.372799999997</v>
      </c>
      <c r="B21" s="123">
        <v>0.68469999999999998</v>
      </c>
      <c r="C21" s="162">
        <v>0</v>
      </c>
      <c r="D21" s="123">
        <f t="shared" si="0"/>
        <v>57157.641856159993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23">
        <v>87216.858032629694</v>
      </c>
      <c r="B22" s="123">
        <v>0.68469999999999998</v>
      </c>
      <c r="C22" s="162">
        <v>0</v>
      </c>
      <c r="D22" s="123">
        <f t="shared" si="0"/>
        <v>59717.382694941552</v>
      </c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23">
        <v>0</v>
      </c>
      <c r="B23" s="123">
        <v>0</v>
      </c>
      <c r="C23" s="162">
        <v>0</v>
      </c>
      <c r="D23" s="123">
        <f t="shared" si="0"/>
        <v>0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23">
        <v>7011</v>
      </c>
      <c r="B24" s="123">
        <v>0</v>
      </c>
      <c r="C24" s="162">
        <v>0</v>
      </c>
      <c r="D24" s="123">
        <f t="shared" si="0"/>
        <v>0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23">
        <v>132145.06614698429</v>
      </c>
      <c r="B25" s="123">
        <v>0.64849999999999997</v>
      </c>
      <c r="C25" s="162">
        <v>1</v>
      </c>
      <c r="D25" s="123">
        <f t="shared" si="0"/>
        <v>85696.075396319313</v>
      </c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23">
        <v>11983.055953228601</v>
      </c>
      <c r="B26" s="123">
        <v>0.64359999999999995</v>
      </c>
      <c r="C26" s="162">
        <v>1</v>
      </c>
      <c r="D26" s="123">
        <f t="shared" si="0"/>
        <v>7712.2948114979272</v>
      </c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23">
        <v>13097.735953228599</v>
      </c>
      <c r="B27" s="123">
        <v>0</v>
      </c>
      <c r="C27" s="162">
        <v>1</v>
      </c>
      <c r="D27" s="123">
        <f t="shared" si="0"/>
        <v>0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23">
        <v>1189.3055953229</v>
      </c>
      <c r="B28" s="123">
        <v>0.64359999999999995</v>
      </c>
      <c r="C28" s="162">
        <v>1</v>
      </c>
      <c r="D28" s="123">
        <f t="shared" si="0"/>
        <v>765.43708114981837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23">
        <v>1189.3055953229</v>
      </c>
      <c r="B29" s="123">
        <v>0.65410000000000001</v>
      </c>
      <c r="C29" s="162">
        <v>0</v>
      </c>
      <c r="D29" s="123">
        <f t="shared" si="0"/>
        <v>777.9247899007089</v>
      </c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23">
        <v>1000</v>
      </c>
      <c r="B30" s="123">
        <v>0</v>
      </c>
      <c r="C30" s="162">
        <v>0</v>
      </c>
      <c r="D30" s="123">
        <f t="shared" si="0"/>
        <v>0</v>
      </c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7"/>
      <c r="S30" s="127"/>
      <c r="T30" s="127"/>
      <c r="U30" s="127"/>
      <c r="V30" s="127"/>
      <c r="W30" s="127"/>
      <c r="X30" s="127"/>
      <c r="Y30" s="127"/>
      <c r="Z30" s="127"/>
      <c r="AA30" s="126"/>
      <c r="AB30" s="127"/>
      <c r="AC30" s="126"/>
      <c r="AD30" s="126"/>
      <c r="AE30" s="127"/>
      <c r="AF30" s="127"/>
      <c r="AG30" s="127"/>
      <c r="AH30" s="127"/>
      <c r="AI30" s="127"/>
      <c r="AJ30" s="127"/>
      <c r="AK30" s="128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23">
        <v>3287.8954015671002</v>
      </c>
      <c r="B31" s="123">
        <v>0.64359999999999995</v>
      </c>
      <c r="C31" s="162">
        <v>0</v>
      </c>
      <c r="D31" s="123">
        <f t="shared" si="0"/>
        <v>2116.0894804485856</v>
      </c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6"/>
      <c r="S31" s="126"/>
      <c r="T31" s="126"/>
      <c r="U31" s="127"/>
      <c r="V31" s="127"/>
      <c r="W31" s="127"/>
      <c r="X31" s="127"/>
      <c r="Y31" s="127"/>
      <c r="Z31" s="127"/>
      <c r="AA31" s="126"/>
      <c r="AB31" s="127"/>
      <c r="AC31" s="126"/>
      <c r="AD31" s="126"/>
      <c r="AE31" s="127"/>
      <c r="AF31" s="127"/>
      <c r="AG31" s="127"/>
      <c r="AH31" s="127"/>
      <c r="AI31" s="127"/>
      <c r="AJ31" s="127"/>
      <c r="AK31" s="128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23">
        <v>123260.6</v>
      </c>
      <c r="B32" s="123">
        <v>0.65410000000000001</v>
      </c>
      <c r="C32" s="162">
        <v>0</v>
      </c>
      <c r="D32" s="123">
        <f t="shared" si="0"/>
        <v>80624.758460000012</v>
      </c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6"/>
      <c r="S32" s="126"/>
      <c r="T32" s="126"/>
      <c r="U32" s="126"/>
      <c r="V32" s="126"/>
      <c r="W32" s="126"/>
      <c r="X32" s="126"/>
      <c r="Y32" s="127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7"/>
      <c r="AK32" s="128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23">
        <v>0</v>
      </c>
      <c r="B33" s="123">
        <v>0</v>
      </c>
      <c r="C33" s="162">
        <v>0</v>
      </c>
      <c r="D33" s="123">
        <f t="shared" ref="D33:D60" si="1">A33*B33</f>
        <v>0</v>
      </c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7"/>
      <c r="S33" s="127"/>
      <c r="T33" s="127"/>
      <c r="U33" s="127"/>
      <c r="V33" s="127"/>
      <c r="W33" s="127"/>
      <c r="X33" s="127"/>
      <c r="Y33" s="127"/>
      <c r="Z33" s="126"/>
      <c r="AA33" s="126"/>
      <c r="AB33" s="127"/>
      <c r="AC33" s="126"/>
      <c r="AD33" s="126"/>
      <c r="AE33" s="127"/>
      <c r="AF33" s="127"/>
      <c r="AG33" s="127"/>
      <c r="AH33" s="127"/>
      <c r="AI33" s="127"/>
      <c r="AJ33" s="127"/>
      <c r="AK33" s="128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23">
        <v>-3287.8954015671002</v>
      </c>
      <c r="B34" s="123">
        <v>0</v>
      </c>
      <c r="C34" s="162">
        <v>0</v>
      </c>
      <c r="D34" s="123">
        <f t="shared" si="1"/>
        <v>0</v>
      </c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7"/>
      <c r="S34" s="127"/>
      <c r="T34" s="127"/>
      <c r="U34" s="127"/>
      <c r="V34" s="127"/>
      <c r="W34" s="127"/>
      <c r="X34" s="127"/>
      <c r="Y34" s="127"/>
      <c r="Z34" s="126"/>
      <c r="AA34" s="126"/>
      <c r="AB34" s="127"/>
      <c r="AC34" s="126"/>
      <c r="AD34" s="126"/>
      <c r="AE34" s="127"/>
      <c r="AF34" s="127"/>
      <c r="AG34" s="127"/>
      <c r="AH34" s="127"/>
      <c r="AI34" s="127"/>
      <c r="AJ34" s="127"/>
      <c r="AK34" s="128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23">
        <v>4312.5021039050998</v>
      </c>
      <c r="B35" s="123">
        <v>0.65410000000000001</v>
      </c>
      <c r="C35" s="162">
        <v>0</v>
      </c>
      <c r="D35" s="123">
        <f t="shared" si="1"/>
        <v>2820.8076261643259</v>
      </c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7"/>
      <c r="S35" s="127"/>
      <c r="T35" s="127"/>
      <c r="U35" s="127"/>
      <c r="V35" s="127"/>
      <c r="W35" s="127"/>
      <c r="X35" s="127"/>
      <c r="Y35" s="127"/>
      <c r="Z35" s="126"/>
      <c r="AA35" s="126"/>
      <c r="AB35" s="127"/>
      <c r="AC35" s="126"/>
      <c r="AD35" s="126"/>
      <c r="AE35" s="127"/>
      <c r="AF35" s="127"/>
      <c r="AG35" s="127"/>
      <c r="AH35" s="127"/>
      <c r="AI35" s="127"/>
      <c r="AJ35" s="127"/>
      <c r="AK35" s="128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23">
        <v>-6548.9178960949002</v>
      </c>
      <c r="B36" s="123">
        <v>0</v>
      </c>
      <c r="C36" s="162">
        <v>0</v>
      </c>
      <c r="D36" s="123">
        <f t="shared" si="1"/>
        <v>0</v>
      </c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6"/>
      <c r="AD36" s="126"/>
      <c r="AE36" s="127"/>
      <c r="AF36" s="127"/>
      <c r="AG36" s="127"/>
      <c r="AH36" s="127"/>
      <c r="AI36" s="127"/>
      <c r="AJ36" s="127"/>
      <c r="AK36" s="128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23">
        <v>108207.245</v>
      </c>
      <c r="B37" s="123">
        <v>0.65410000000000001</v>
      </c>
      <c r="C37" s="162">
        <v>0</v>
      </c>
      <c r="D37" s="123">
        <f t="shared" si="1"/>
        <v>70778.3589545</v>
      </c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6"/>
      <c r="AD37" s="126"/>
      <c r="AE37" s="127"/>
      <c r="AF37" s="127"/>
      <c r="AG37" s="127"/>
      <c r="AH37" s="127"/>
      <c r="AI37" s="127"/>
      <c r="AJ37" s="127"/>
      <c r="AK37" s="128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23">
        <v>117765.29459999999</v>
      </c>
      <c r="B38" s="123">
        <v>0.65539999999999998</v>
      </c>
      <c r="C38" s="162">
        <v>0</v>
      </c>
      <c r="D38" s="123">
        <f t="shared" si="1"/>
        <v>77183.374080839989</v>
      </c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7"/>
      <c r="AK38" s="128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23">
        <v>0</v>
      </c>
      <c r="B39" s="123">
        <v>0</v>
      </c>
      <c r="C39" s="162">
        <v>0</v>
      </c>
      <c r="D39" s="123">
        <f t="shared" si="1"/>
        <v>0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6"/>
      <c r="S39" s="126"/>
      <c r="T39" s="126"/>
      <c r="U39" s="126"/>
      <c r="V39" s="126"/>
      <c r="W39" s="126"/>
      <c r="X39" s="126"/>
      <c r="Y39" s="126"/>
      <c r="Z39" s="127"/>
      <c r="AA39" s="126"/>
      <c r="AB39" s="126"/>
      <c r="AC39" s="126"/>
      <c r="AD39" s="126"/>
      <c r="AE39" s="126"/>
      <c r="AF39" s="126"/>
      <c r="AG39" s="126"/>
      <c r="AH39" s="126"/>
      <c r="AI39" s="126"/>
      <c r="AJ39" s="127"/>
      <c r="AK39" s="128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23">
        <v>1926.6</v>
      </c>
      <c r="B40" s="123">
        <v>0.57999999999999996</v>
      </c>
      <c r="C40" s="162">
        <v>0</v>
      </c>
      <c r="D40" s="123">
        <f t="shared" si="1"/>
        <v>1117.4279999999999</v>
      </c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7"/>
      <c r="S40" s="127"/>
      <c r="T40" s="127"/>
      <c r="U40" s="127"/>
      <c r="V40" s="127"/>
      <c r="W40" s="127"/>
      <c r="X40" s="127"/>
      <c r="Y40" s="127"/>
      <c r="Z40" s="127"/>
      <c r="AA40" s="126"/>
      <c r="AB40" s="127"/>
      <c r="AC40" s="126"/>
      <c r="AD40" s="126"/>
      <c r="AE40" s="127"/>
      <c r="AF40" s="127"/>
      <c r="AG40" s="127"/>
      <c r="AH40" s="127"/>
      <c r="AI40" s="127"/>
      <c r="AJ40" s="127"/>
      <c r="AK40" s="128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23">
        <v>1541.28</v>
      </c>
      <c r="B41" s="123">
        <v>0.57999999999999996</v>
      </c>
      <c r="C41" s="162">
        <v>1</v>
      </c>
      <c r="D41" s="123">
        <f t="shared" si="1"/>
        <v>893.94239999999991</v>
      </c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7"/>
      <c r="S41" s="127"/>
      <c r="T41" s="127"/>
      <c r="U41" s="127"/>
      <c r="V41" s="127"/>
      <c r="W41" s="127"/>
      <c r="X41" s="127"/>
      <c r="Y41" s="127"/>
      <c r="Z41" s="127"/>
      <c r="AA41" s="126"/>
      <c r="AB41" s="127"/>
      <c r="AC41" s="126"/>
      <c r="AD41" s="126"/>
      <c r="AE41" s="127"/>
      <c r="AF41" s="127"/>
      <c r="AG41" s="127"/>
      <c r="AH41" s="127"/>
      <c r="AI41" s="127"/>
      <c r="AJ41" s="127"/>
      <c r="AK41" s="128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23">
        <v>385.32</v>
      </c>
      <c r="B42" s="123">
        <v>0.60029999999999994</v>
      </c>
      <c r="C42" s="162">
        <v>1</v>
      </c>
      <c r="D42" s="123">
        <f t="shared" si="1"/>
        <v>231.30759599999996</v>
      </c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7"/>
      <c r="S42" s="127"/>
      <c r="T42" s="127"/>
      <c r="U42" s="127"/>
      <c r="V42" s="127"/>
      <c r="W42" s="127"/>
      <c r="X42" s="127"/>
      <c r="Y42" s="127"/>
      <c r="Z42" s="127"/>
      <c r="AA42" s="126"/>
      <c r="AB42" s="127"/>
      <c r="AC42" s="126"/>
      <c r="AD42" s="126"/>
      <c r="AE42" s="127"/>
      <c r="AF42" s="127"/>
      <c r="AG42" s="127"/>
      <c r="AH42" s="127"/>
      <c r="AI42" s="127"/>
      <c r="AJ42" s="127"/>
      <c r="AK42" s="128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23">
        <v>385.32</v>
      </c>
      <c r="B43" s="123">
        <v>0.60029999999999994</v>
      </c>
      <c r="C43" s="162">
        <v>0</v>
      </c>
      <c r="D43" s="123">
        <f t="shared" si="1"/>
        <v>231.30759599999996</v>
      </c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7"/>
      <c r="S43" s="127"/>
      <c r="T43" s="127"/>
      <c r="U43" s="127"/>
      <c r="V43" s="127"/>
      <c r="W43" s="127"/>
      <c r="X43" s="127"/>
      <c r="Y43" s="127"/>
      <c r="Z43" s="127"/>
      <c r="AA43" s="126"/>
      <c r="AB43" s="127"/>
      <c r="AC43" s="126"/>
      <c r="AD43" s="126"/>
      <c r="AE43" s="127"/>
      <c r="AF43" s="127"/>
      <c r="AG43" s="127"/>
      <c r="AH43" s="127"/>
      <c r="AI43" s="127"/>
      <c r="AJ43" s="127"/>
      <c r="AK43" s="128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23">
        <v>0</v>
      </c>
      <c r="B44" s="123">
        <v>0</v>
      </c>
      <c r="C44" s="162">
        <v>1</v>
      </c>
      <c r="D44" s="123">
        <f t="shared" si="1"/>
        <v>0</v>
      </c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6"/>
      <c r="S44" s="126"/>
      <c r="T44" s="126"/>
      <c r="U44" s="126"/>
      <c r="V44" s="127"/>
      <c r="W44" s="127"/>
      <c r="X44" s="127"/>
      <c r="Y44" s="127"/>
      <c r="Z44" s="127"/>
      <c r="AA44" s="126"/>
      <c r="AB44" s="127"/>
      <c r="AC44" s="127"/>
      <c r="AD44" s="127"/>
      <c r="AE44" s="127"/>
      <c r="AF44" s="127"/>
      <c r="AG44" s="127"/>
      <c r="AH44" s="127"/>
      <c r="AI44" s="127"/>
      <c r="AJ44" s="127"/>
      <c r="AK44" s="128"/>
      <c r="AL44" s="51"/>
      <c r="AM44" s="51"/>
      <c r="AN44" s="51"/>
      <c r="AO44" s="44"/>
      <c r="AP44" s="44"/>
      <c r="BE44"/>
      <c r="BF44"/>
      <c r="CN44" s="46"/>
      <c r="CO44" s="46"/>
    </row>
    <row r="45" spans="1:93" s="109" customFormat="1">
      <c r="A45" s="123">
        <v>0</v>
      </c>
      <c r="B45" s="123">
        <v>0</v>
      </c>
      <c r="C45" s="162">
        <v>1</v>
      </c>
      <c r="D45" s="123">
        <f t="shared" si="1"/>
        <v>0</v>
      </c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7"/>
      <c r="AC45" s="127"/>
      <c r="AD45" s="127"/>
      <c r="AE45" s="127"/>
      <c r="AF45" s="127"/>
      <c r="AG45" s="127"/>
      <c r="AH45" s="127"/>
      <c r="AI45" s="127"/>
      <c r="AJ45" s="127"/>
      <c r="AK45" s="128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23">
        <v>0</v>
      </c>
      <c r="B46" s="123">
        <v>0</v>
      </c>
      <c r="C46" s="162">
        <v>1</v>
      </c>
      <c r="D46" s="123">
        <f t="shared" si="1"/>
        <v>0</v>
      </c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7"/>
      <c r="AG46" s="127"/>
      <c r="AH46" s="127"/>
      <c r="AI46" s="127"/>
      <c r="AJ46" s="127"/>
      <c r="AK46" s="128"/>
      <c r="AL46" s="51"/>
      <c r="AM46" s="51"/>
      <c r="AN46" s="51"/>
      <c r="AO46" s="44"/>
      <c r="AP46" s="44"/>
      <c r="BE46"/>
      <c r="BF46"/>
      <c r="CN46" s="46"/>
      <c r="CO46" s="46"/>
    </row>
    <row r="47" spans="1:93" s="109" customFormat="1">
      <c r="A47" s="123">
        <v>0</v>
      </c>
      <c r="B47" s="123">
        <v>0.60029999999999994</v>
      </c>
      <c r="C47" s="162">
        <v>0</v>
      </c>
      <c r="D47" s="123">
        <f t="shared" si="1"/>
        <v>0</v>
      </c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7"/>
      <c r="AK47" s="128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09" customFormat="1">
      <c r="A48" s="123">
        <v>0</v>
      </c>
      <c r="B48" s="123">
        <v>0</v>
      </c>
      <c r="C48" s="162">
        <v>1</v>
      </c>
      <c r="D48" s="123">
        <f t="shared" si="1"/>
        <v>0</v>
      </c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7"/>
      <c r="S48" s="127"/>
      <c r="T48" s="127"/>
      <c r="U48" s="127"/>
      <c r="V48" s="127"/>
      <c r="W48" s="127"/>
      <c r="X48" s="127"/>
      <c r="Y48" s="127"/>
      <c r="Z48" s="127"/>
      <c r="AA48" s="126"/>
      <c r="AB48" s="127"/>
      <c r="AC48" s="127"/>
      <c r="AD48" s="127"/>
      <c r="AE48" s="127"/>
      <c r="AF48" s="127"/>
      <c r="AG48" s="127"/>
      <c r="AH48" s="127"/>
      <c r="AI48" s="127"/>
      <c r="AJ48" s="127"/>
      <c r="AK48" s="128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09" customFormat="1">
      <c r="A49" s="123">
        <v>10861.42</v>
      </c>
      <c r="B49" s="123">
        <v>0.65410000000000001</v>
      </c>
      <c r="C49" s="162">
        <v>0</v>
      </c>
      <c r="D49" s="123">
        <f t="shared" si="1"/>
        <v>7104.4548220000006</v>
      </c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6"/>
      <c r="S49" s="126"/>
      <c r="T49" s="126"/>
      <c r="U49" s="126"/>
      <c r="V49" s="126"/>
      <c r="W49" s="126"/>
      <c r="X49" s="126"/>
      <c r="Y49" s="127"/>
      <c r="Z49" s="127"/>
      <c r="AA49" s="126"/>
      <c r="AB49" s="127"/>
      <c r="AC49" s="127"/>
      <c r="AD49" s="127"/>
      <c r="AE49" s="127"/>
      <c r="AF49" s="127"/>
      <c r="AG49" s="127"/>
      <c r="AH49" s="127"/>
      <c r="AI49" s="127"/>
      <c r="AJ49" s="127"/>
      <c r="AK49" s="128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23">
        <v>1303.3704</v>
      </c>
      <c r="B50" s="123">
        <v>0.65410000000000001</v>
      </c>
      <c r="C50" s="162">
        <v>1</v>
      </c>
      <c r="D50" s="123">
        <f t="shared" si="1"/>
        <v>852.53457864000006</v>
      </c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7"/>
      <c r="AK50" s="128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23">
        <v>0</v>
      </c>
      <c r="B51" s="123">
        <v>0</v>
      </c>
      <c r="C51" s="162">
        <v>0</v>
      </c>
      <c r="D51" s="123">
        <f t="shared" si="1"/>
        <v>0</v>
      </c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6"/>
      <c r="S51" s="126"/>
      <c r="T51" s="126"/>
      <c r="U51" s="126"/>
      <c r="V51" s="126"/>
      <c r="W51" s="127"/>
      <c r="X51" s="126"/>
      <c r="Y51" s="126"/>
      <c r="Z51" s="126"/>
      <c r="AA51" s="126"/>
      <c r="AB51" s="126"/>
      <c r="AC51" s="127"/>
      <c r="AD51" s="126"/>
      <c r="AE51" s="126"/>
      <c r="AF51" s="126"/>
      <c r="AG51" s="126"/>
      <c r="AH51" s="126"/>
      <c r="AI51" s="126"/>
      <c r="AJ51" s="127"/>
      <c r="AK51" s="128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23">
        <v>9558.0496000000003</v>
      </c>
      <c r="B52" s="123">
        <v>0.65410000000000001</v>
      </c>
      <c r="C52" s="162">
        <v>0</v>
      </c>
      <c r="D52" s="123">
        <f t="shared" si="1"/>
        <v>6251.9202433600003</v>
      </c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7"/>
      <c r="S52" s="127"/>
      <c r="T52" s="127"/>
      <c r="U52" s="127"/>
      <c r="V52" s="127"/>
      <c r="W52" s="127"/>
      <c r="X52" s="127"/>
      <c r="Y52" s="127"/>
      <c r="Z52" s="127"/>
      <c r="AA52" s="126"/>
      <c r="AB52" s="127"/>
      <c r="AC52" s="127"/>
      <c r="AD52" s="127"/>
      <c r="AE52" s="127"/>
      <c r="AF52" s="127"/>
      <c r="AG52" s="127"/>
      <c r="AH52" s="127"/>
      <c r="AI52" s="127"/>
      <c r="AJ52" s="127"/>
      <c r="AK52" s="128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23">
        <v>0</v>
      </c>
      <c r="B53" s="123">
        <v>0</v>
      </c>
      <c r="C53" s="162">
        <v>0</v>
      </c>
      <c r="D53" s="123">
        <f t="shared" si="1"/>
        <v>0</v>
      </c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7"/>
      <c r="S53" s="127"/>
      <c r="T53" s="127"/>
      <c r="U53" s="127"/>
      <c r="V53" s="127"/>
      <c r="W53" s="127"/>
      <c r="X53" s="127"/>
      <c r="Y53" s="127"/>
      <c r="Z53" s="127"/>
      <c r="AA53" s="126"/>
      <c r="AB53" s="127"/>
      <c r="AC53" s="127"/>
      <c r="AD53" s="127"/>
      <c r="AE53" s="127"/>
      <c r="AF53" s="127"/>
      <c r="AG53" s="127"/>
      <c r="AH53" s="127"/>
      <c r="AI53" s="127"/>
      <c r="AJ53" s="127"/>
      <c r="AK53" s="128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23">
        <v>0</v>
      </c>
      <c r="B54" s="123">
        <v>0</v>
      </c>
      <c r="C54" s="162">
        <v>0</v>
      </c>
      <c r="D54" s="123">
        <f t="shared" si="1"/>
        <v>0</v>
      </c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7"/>
      <c r="S54" s="127"/>
      <c r="T54" s="127"/>
      <c r="U54" s="127"/>
      <c r="V54" s="127"/>
      <c r="W54" s="127"/>
      <c r="X54" s="127"/>
      <c r="Y54" s="127"/>
      <c r="Z54" s="127"/>
      <c r="AA54" s="126"/>
      <c r="AB54" s="127"/>
      <c r="AC54" s="127"/>
      <c r="AD54" s="127"/>
      <c r="AE54" s="127"/>
      <c r="AF54" s="127"/>
      <c r="AG54" s="127"/>
      <c r="AH54" s="127"/>
      <c r="AI54" s="127"/>
      <c r="AJ54" s="127"/>
      <c r="AK54" s="128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23">
        <v>1688.6904</v>
      </c>
      <c r="B55" s="123">
        <v>0.64180000000000004</v>
      </c>
      <c r="C55" s="162">
        <v>0</v>
      </c>
      <c r="D55" s="123">
        <f t="shared" si="1"/>
        <v>1083.8014987199999</v>
      </c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7"/>
      <c r="AD55" s="127"/>
      <c r="AE55" s="127"/>
      <c r="AF55" s="127"/>
      <c r="AG55" s="127"/>
      <c r="AH55" s="127"/>
      <c r="AI55" s="127"/>
      <c r="AJ55" s="127"/>
      <c r="AK55" s="128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23">
        <v>0</v>
      </c>
      <c r="B56" s="123">
        <v>0</v>
      </c>
      <c r="C56" s="162">
        <v>0</v>
      </c>
      <c r="D56" s="123">
        <f t="shared" si="1"/>
        <v>0</v>
      </c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7"/>
      <c r="S56" s="127"/>
      <c r="T56" s="127"/>
      <c r="U56" s="127"/>
      <c r="V56" s="127"/>
      <c r="W56" s="127"/>
      <c r="X56" s="127"/>
      <c r="Y56" s="127"/>
      <c r="Z56" s="127"/>
      <c r="AA56" s="126"/>
      <c r="AB56" s="127"/>
      <c r="AC56" s="127"/>
      <c r="AD56" s="127"/>
      <c r="AE56" s="127"/>
      <c r="AF56" s="127"/>
      <c r="AG56" s="127"/>
      <c r="AH56" s="127"/>
      <c r="AI56" s="127"/>
      <c r="AJ56" s="127"/>
      <c r="AK56" s="128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23">
        <v>11473.344999999999</v>
      </c>
      <c r="B57" s="123">
        <v>0</v>
      </c>
      <c r="C57" s="162">
        <v>0</v>
      </c>
      <c r="D57" s="123">
        <f t="shared" si="1"/>
        <v>0</v>
      </c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7"/>
      <c r="S57" s="127"/>
      <c r="T57" s="127"/>
      <c r="U57" s="127"/>
      <c r="V57" s="127"/>
      <c r="W57" s="127"/>
      <c r="X57" s="127"/>
      <c r="Y57" s="127"/>
      <c r="Z57" s="127"/>
      <c r="AA57" s="126"/>
      <c r="AB57" s="127"/>
      <c r="AC57" s="127"/>
      <c r="AD57" s="127"/>
      <c r="AE57" s="127"/>
      <c r="AF57" s="127"/>
      <c r="AG57" s="127"/>
      <c r="AH57" s="127"/>
      <c r="AI57" s="127"/>
      <c r="AJ57" s="127"/>
      <c r="AK57" s="128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23">
        <v>0</v>
      </c>
      <c r="B58" s="123">
        <v>0</v>
      </c>
      <c r="C58" s="162">
        <v>1</v>
      </c>
      <c r="D58" s="123">
        <f t="shared" si="1"/>
        <v>0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7"/>
      <c r="S58" s="127"/>
      <c r="T58" s="127"/>
      <c r="U58" s="127"/>
      <c r="V58" s="127"/>
      <c r="W58" s="127"/>
      <c r="X58" s="127"/>
      <c r="Y58" s="127"/>
      <c r="Z58" s="127"/>
      <c r="AA58" s="126"/>
      <c r="AB58" s="127"/>
      <c r="AC58" s="127"/>
      <c r="AD58" s="127"/>
      <c r="AE58" s="127"/>
      <c r="AF58" s="127"/>
      <c r="AG58" s="127"/>
      <c r="AH58" s="127"/>
      <c r="AI58" s="127"/>
      <c r="AJ58" s="127"/>
      <c r="AK58" s="128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23">
        <v>0</v>
      </c>
      <c r="B59" s="123">
        <v>0</v>
      </c>
      <c r="C59" s="162">
        <v>0</v>
      </c>
      <c r="D59" s="123">
        <f t="shared" si="1"/>
        <v>0</v>
      </c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7"/>
      <c r="S59" s="127"/>
      <c r="T59" s="127"/>
      <c r="U59" s="127"/>
      <c r="V59" s="127"/>
      <c r="W59" s="127"/>
      <c r="X59" s="127"/>
      <c r="Y59" s="127"/>
      <c r="Z59" s="127"/>
      <c r="AA59" s="126"/>
      <c r="AB59" s="127"/>
      <c r="AC59" s="127"/>
      <c r="AD59" s="127"/>
      <c r="AE59" s="127"/>
      <c r="AF59" s="127"/>
      <c r="AG59" s="127"/>
      <c r="AH59" s="127"/>
      <c r="AI59" s="127"/>
      <c r="AJ59" s="127"/>
      <c r="AK59" s="128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23">
        <v>0</v>
      </c>
      <c r="B60" s="123">
        <v>0</v>
      </c>
      <c r="C60" s="162">
        <v>0</v>
      </c>
      <c r="D60" s="123">
        <f t="shared" si="1"/>
        <v>0</v>
      </c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7"/>
      <c r="S60" s="127"/>
      <c r="T60" s="127"/>
      <c r="U60" s="127"/>
      <c r="V60" s="127"/>
      <c r="W60" s="127"/>
      <c r="X60" s="127"/>
      <c r="Y60" s="127"/>
      <c r="Z60" s="127"/>
      <c r="AA60" s="126"/>
      <c r="AB60" s="127"/>
      <c r="AC60" s="127"/>
      <c r="AD60" s="127"/>
      <c r="AE60" s="127"/>
      <c r="AF60" s="127"/>
      <c r="AG60" s="127"/>
      <c r="AH60" s="127"/>
      <c r="AI60" s="127"/>
      <c r="AJ60" s="127"/>
      <c r="AK60" s="128"/>
      <c r="AL60" s="51"/>
      <c r="AM60" s="51"/>
      <c r="AN60" s="51"/>
      <c r="AO60" s="44"/>
      <c r="AP60" s="44"/>
      <c r="BE60"/>
      <c r="BF60"/>
      <c r="CN60" s="46"/>
      <c r="CO60" s="46"/>
    </row>
    <row r="61" spans="1:93" s="109" customForma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7"/>
      <c r="S61" s="127"/>
      <c r="T61" s="127"/>
      <c r="U61" s="127"/>
      <c r="V61" s="127"/>
      <c r="W61" s="127"/>
      <c r="X61" s="127"/>
      <c r="Y61" s="127"/>
      <c r="Z61" s="127"/>
      <c r="AA61" s="126"/>
      <c r="AB61" s="127"/>
      <c r="AC61" s="127"/>
      <c r="AD61" s="127"/>
      <c r="AE61" s="127"/>
      <c r="AF61" s="127"/>
      <c r="AG61" s="127"/>
      <c r="AH61" s="127"/>
      <c r="AI61" s="127"/>
      <c r="AJ61" s="128"/>
      <c r="AK61" s="128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09" customForma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7"/>
      <c r="S62" s="127"/>
      <c r="T62" s="127"/>
      <c r="U62" s="127"/>
      <c r="V62" s="127"/>
      <c r="W62" s="127"/>
      <c r="X62" s="127"/>
      <c r="Y62" s="127"/>
      <c r="Z62" s="127"/>
      <c r="AA62" s="126"/>
      <c r="AB62" s="127"/>
      <c r="AC62" s="127"/>
      <c r="AD62" s="127"/>
      <c r="AE62" s="127"/>
      <c r="AF62" s="127"/>
      <c r="AG62" s="127"/>
      <c r="AH62" s="127"/>
      <c r="AI62" s="127"/>
      <c r="AJ62" s="128"/>
      <c r="AK62" s="128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09" customForma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44"/>
      <c r="S63" s="44"/>
      <c r="T63" s="44"/>
      <c r="U63" s="44"/>
      <c r="V63" s="44"/>
      <c r="W63" s="44"/>
      <c r="X63" s="44"/>
      <c r="Y63" s="44"/>
      <c r="Z63" s="44"/>
      <c r="AA63" s="126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09" customFormat="1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207"/>
      <c r="L65" s="207"/>
      <c r="M65" s="123"/>
      <c r="N65" s="208" t="s">
        <v>39</v>
      </c>
      <c r="O65" s="208"/>
      <c r="P65" s="208"/>
      <c r="Q65" s="123"/>
      <c r="R65" s="210"/>
      <c r="S65" s="210"/>
      <c r="T65" s="126"/>
      <c r="U65" s="126"/>
      <c r="V65" s="126"/>
      <c r="W65" s="129"/>
      <c r="X65" s="126"/>
      <c r="Y65" s="126"/>
      <c r="Z65" s="126"/>
      <c r="AA65" s="126"/>
      <c r="AB65" s="126"/>
      <c r="AC65" s="130"/>
      <c r="AD65" s="130"/>
      <c r="AE65" s="130"/>
      <c r="AF65" s="128"/>
      <c r="AG65" s="127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31"/>
      <c r="L66" s="131"/>
      <c r="M66" s="123"/>
      <c r="N66" s="131" t="s">
        <v>33</v>
      </c>
      <c r="O66" s="131" t="s">
        <v>9</v>
      </c>
      <c r="P66" s="131" t="s">
        <v>40</v>
      </c>
      <c r="Q66" s="123" t="s">
        <v>145</v>
      </c>
      <c r="R66" s="163"/>
      <c r="S66" s="163"/>
      <c r="T66" s="126"/>
      <c r="U66" s="132"/>
      <c r="V66" s="126"/>
      <c r="W66" s="132"/>
      <c r="X66" s="126"/>
      <c r="Y66" s="126"/>
      <c r="Z66" s="126"/>
      <c r="AA66" s="126"/>
      <c r="AB66" s="133"/>
      <c r="AC66" s="134"/>
      <c r="AD66" s="130"/>
      <c r="AE66" s="130"/>
      <c r="AF66" s="128"/>
      <c r="AG66" s="127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35"/>
      <c r="L67" s="136"/>
      <c r="M67" s="123"/>
      <c r="N67" s="123">
        <f>A1</f>
        <v>261455.17020557521</v>
      </c>
      <c r="O67" s="123">
        <f t="shared" ref="O67" si="2">B1</f>
        <v>0.58909999999999996</v>
      </c>
      <c r="P67" s="123">
        <f t="shared" ref="P67:P98" si="3">D1</f>
        <v>154023.24076810436</v>
      </c>
      <c r="Q67" s="164">
        <f>C1</f>
        <v>0</v>
      </c>
      <c r="R67" s="165"/>
      <c r="S67" s="165"/>
      <c r="T67" s="126"/>
      <c r="U67" s="137"/>
      <c r="V67" s="138"/>
      <c r="W67" s="137"/>
      <c r="X67" s="138"/>
      <c r="Y67" s="126"/>
      <c r="Z67" s="126"/>
      <c r="AA67" s="139"/>
      <c r="AB67" s="130"/>
      <c r="AC67" s="130"/>
      <c r="AD67" s="126"/>
      <c r="AE67" s="126"/>
      <c r="AF67" s="128"/>
      <c r="AG67" s="127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40"/>
      <c r="L68" s="141"/>
      <c r="M68" s="140"/>
      <c r="N68" s="123">
        <f t="shared" ref="N68:N126" si="4">A2</f>
        <v>11473.344999999999</v>
      </c>
      <c r="O68" s="123">
        <f t="shared" ref="O68:O126" si="5">B2</f>
        <v>0.62939999999999996</v>
      </c>
      <c r="P68" s="123">
        <f t="shared" si="3"/>
        <v>7221.3233429999991</v>
      </c>
      <c r="Q68" s="164">
        <f t="shared" ref="Q68:Q126" si="6">C2</f>
        <v>0</v>
      </c>
      <c r="R68" s="165"/>
      <c r="S68" s="165"/>
      <c r="T68" s="126"/>
      <c r="U68" s="137"/>
      <c r="V68" s="138"/>
      <c r="W68" s="137"/>
      <c r="X68" s="138"/>
      <c r="Y68" s="126"/>
      <c r="Z68" s="126"/>
      <c r="AA68" s="139"/>
      <c r="AB68" s="130"/>
      <c r="AC68" s="130"/>
      <c r="AD68" s="126"/>
      <c r="AE68" s="126"/>
      <c r="AF68" s="128"/>
      <c r="AG68" s="127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40"/>
      <c r="L69" s="141"/>
      <c r="M69" s="123"/>
      <c r="N69" s="123">
        <f t="shared" si="4"/>
        <v>249981.82520557521</v>
      </c>
      <c r="O69" s="123">
        <f t="shared" si="5"/>
        <v>0.58720000000000006</v>
      </c>
      <c r="P69" s="123">
        <f t="shared" si="3"/>
        <v>146789.32776071379</v>
      </c>
      <c r="Q69" s="164">
        <f t="shared" si="6"/>
        <v>0</v>
      </c>
      <c r="R69" s="165"/>
      <c r="S69" s="165"/>
      <c r="T69" s="126"/>
      <c r="U69" s="137"/>
      <c r="V69" s="138"/>
      <c r="W69" s="137"/>
      <c r="X69" s="138"/>
      <c r="Y69" s="126"/>
      <c r="Z69" s="126"/>
      <c r="AA69" s="139"/>
      <c r="AB69" s="130"/>
      <c r="AC69" s="130"/>
      <c r="AD69" s="126"/>
      <c r="AE69" s="126"/>
      <c r="AF69" s="128"/>
      <c r="AG69" s="127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23"/>
      <c r="B70" s="123"/>
      <c r="C70" s="123"/>
      <c r="D70" s="140"/>
      <c r="E70" s="140"/>
      <c r="F70" s="142"/>
      <c r="G70" s="123"/>
      <c r="H70" s="123"/>
      <c r="I70" s="123"/>
      <c r="J70" s="123"/>
      <c r="K70" s="140"/>
      <c r="L70" s="141"/>
      <c r="M70" s="123"/>
      <c r="N70" s="123">
        <f t="shared" si="4"/>
        <v>-4116.7369201152997</v>
      </c>
      <c r="O70" s="123">
        <f t="shared" si="5"/>
        <v>0.6</v>
      </c>
      <c r="P70" s="123">
        <f t="shared" si="3"/>
        <v>-2470.0421520691798</v>
      </c>
      <c r="Q70" s="164">
        <f t="shared" si="6"/>
        <v>6.2619431891058099E-3</v>
      </c>
      <c r="R70" s="165"/>
      <c r="S70" s="165"/>
      <c r="T70" s="126"/>
      <c r="U70" s="137"/>
      <c r="V70" s="138"/>
      <c r="W70" s="137"/>
      <c r="X70" s="138"/>
      <c r="Y70" s="126"/>
      <c r="Z70" s="126"/>
      <c r="AA70" s="139"/>
      <c r="AB70" s="130"/>
      <c r="AC70" s="130"/>
      <c r="AD70" s="126"/>
      <c r="AE70" s="126"/>
      <c r="AF70" s="128"/>
      <c r="AG70" s="127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40"/>
      <c r="L71" s="141"/>
      <c r="M71" s="123"/>
      <c r="N71" s="123">
        <f t="shared" si="4"/>
        <v>254098.5621256904</v>
      </c>
      <c r="O71" s="123">
        <f t="shared" si="5"/>
        <v>0.6</v>
      </c>
      <c r="P71" s="123">
        <f t="shared" si="3"/>
        <v>152459.13727541422</v>
      </c>
      <c r="Q71" s="164">
        <f t="shared" si="6"/>
        <v>1</v>
      </c>
      <c r="R71" s="165"/>
      <c r="S71" s="165"/>
      <c r="T71" s="126"/>
      <c r="U71" s="137"/>
      <c r="V71" s="138"/>
      <c r="W71" s="137"/>
      <c r="X71" s="138"/>
      <c r="Y71" s="126"/>
      <c r="Z71" s="126"/>
      <c r="AA71" s="139"/>
      <c r="AB71" s="130"/>
      <c r="AC71" s="130"/>
      <c r="AD71" s="126"/>
      <c r="AE71" s="126"/>
      <c r="AF71" s="128"/>
      <c r="AG71" s="127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23"/>
      <c r="B72" s="123"/>
      <c r="C72" s="123"/>
      <c r="D72" s="140"/>
      <c r="E72" s="140"/>
      <c r="F72" s="142"/>
      <c r="G72" s="123"/>
      <c r="H72" s="123"/>
      <c r="I72" s="123"/>
      <c r="J72" s="123"/>
      <c r="K72" s="140"/>
      <c r="L72" s="141"/>
      <c r="M72" s="123"/>
      <c r="N72" s="123">
        <f t="shared" si="4"/>
        <v>693.98717870610005</v>
      </c>
      <c r="O72" s="123">
        <f t="shared" si="5"/>
        <v>0.6</v>
      </c>
      <c r="P72" s="123">
        <f t="shared" si="3"/>
        <v>416.39230722366</v>
      </c>
      <c r="Q72" s="164">
        <f t="shared" si="6"/>
        <v>0</v>
      </c>
      <c r="R72" s="165"/>
      <c r="S72" s="165"/>
      <c r="T72" s="126"/>
      <c r="U72" s="137"/>
      <c r="V72" s="138"/>
      <c r="W72" s="137"/>
      <c r="X72" s="138"/>
      <c r="Y72" s="126"/>
      <c r="Z72" s="126"/>
      <c r="AA72" s="139"/>
      <c r="AB72" s="130"/>
      <c r="AC72" s="130"/>
      <c r="AD72" s="126"/>
      <c r="AE72" s="126"/>
      <c r="AF72" s="128"/>
      <c r="AG72" s="127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23"/>
      <c r="B73" s="123"/>
      <c r="C73" s="140"/>
      <c r="D73" s="123"/>
      <c r="E73" s="123"/>
      <c r="F73" s="123"/>
      <c r="G73" s="123"/>
      <c r="H73" s="123"/>
      <c r="I73" s="123"/>
      <c r="J73" s="123"/>
      <c r="K73" s="140"/>
      <c r="L73" s="141"/>
      <c r="M73" s="123"/>
      <c r="N73" s="123">
        <f t="shared" si="4"/>
        <v>253404.5749469843</v>
      </c>
      <c r="O73" s="123">
        <f t="shared" si="5"/>
        <v>0.6</v>
      </c>
      <c r="P73" s="123">
        <f t="shared" si="3"/>
        <v>152042.74496819059</v>
      </c>
      <c r="Q73" s="164">
        <f t="shared" si="6"/>
        <v>1</v>
      </c>
      <c r="R73" s="165"/>
      <c r="S73" s="165"/>
      <c r="T73" s="126"/>
      <c r="U73" s="137"/>
      <c r="V73" s="138"/>
      <c r="W73" s="137"/>
      <c r="X73" s="138"/>
      <c r="Y73" s="126"/>
      <c r="Z73" s="126"/>
      <c r="AA73" s="139"/>
      <c r="AB73" s="130"/>
      <c r="AC73" s="130"/>
      <c r="AD73" s="126"/>
      <c r="AE73" s="126"/>
      <c r="AF73" s="128"/>
      <c r="AG73" s="127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23"/>
      <c r="B74" s="123"/>
      <c r="C74" s="123"/>
      <c r="D74" s="140"/>
      <c r="E74" s="140"/>
      <c r="F74" s="143"/>
      <c r="G74" s="143"/>
      <c r="H74" s="141"/>
      <c r="I74" s="123"/>
      <c r="J74" s="123"/>
      <c r="K74" s="140"/>
      <c r="L74" s="141"/>
      <c r="M74" s="123"/>
      <c r="N74" s="123">
        <f t="shared" si="4"/>
        <v>1500</v>
      </c>
      <c r="O74" s="123">
        <f t="shared" si="5"/>
        <v>0.6</v>
      </c>
      <c r="P74" s="123">
        <f t="shared" si="3"/>
        <v>900</v>
      </c>
      <c r="Q74" s="164">
        <f t="shared" si="6"/>
        <v>0</v>
      </c>
      <c r="R74" s="165"/>
      <c r="S74" s="165"/>
      <c r="T74" s="126"/>
      <c r="U74" s="137"/>
      <c r="V74" s="138"/>
      <c r="W74" s="137"/>
      <c r="X74" s="138"/>
      <c r="Y74" s="126"/>
      <c r="Z74" s="126"/>
      <c r="AA74" s="139"/>
      <c r="AB74" s="130"/>
      <c r="AC74" s="130"/>
      <c r="AD74" s="126"/>
      <c r="AE74" s="126"/>
      <c r="AF74" s="128"/>
      <c r="AG74" s="127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40"/>
      <c r="L75" s="141"/>
      <c r="M75" s="123"/>
      <c r="N75" s="123">
        <f t="shared" si="4"/>
        <v>43011</v>
      </c>
      <c r="O75" s="123">
        <f t="shared" si="5"/>
        <v>9.9900000000000003E-2</v>
      </c>
      <c r="P75" s="123">
        <f t="shared" si="3"/>
        <v>4296.7988999999998</v>
      </c>
      <c r="Q75" s="164">
        <f t="shared" si="6"/>
        <v>0</v>
      </c>
      <c r="R75" s="165"/>
      <c r="S75" s="165"/>
      <c r="T75" s="126"/>
      <c r="U75" s="137"/>
      <c r="V75" s="138"/>
      <c r="W75" s="137"/>
      <c r="X75" s="138"/>
      <c r="Y75" s="126"/>
      <c r="Z75" s="126"/>
      <c r="AA75" s="139"/>
      <c r="AB75" s="130"/>
      <c r="AC75" s="130"/>
      <c r="AD75" s="126"/>
      <c r="AE75" s="126"/>
      <c r="AF75" s="128"/>
      <c r="AG75" s="127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40"/>
      <c r="L76" s="141"/>
      <c r="M76" s="123"/>
      <c r="N76" s="123">
        <f t="shared" si="4"/>
        <v>208893.5749469843</v>
      </c>
      <c r="O76" s="123">
        <f t="shared" si="5"/>
        <v>0.68630000000000002</v>
      </c>
      <c r="P76" s="123">
        <f t="shared" si="3"/>
        <v>143363.66048611532</v>
      </c>
      <c r="Q76" s="164">
        <f t="shared" si="6"/>
        <v>1</v>
      </c>
      <c r="R76" s="165"/>
      <c r="S76" s="165"/>
      <c r="T76" s="126"/>
      <c r="U76" s="137"/>
      <c r="V76" s="138"/>
      <c r="W76" s="137"/>
      <c r="X76" s="138"/>
      <c r="Y76" s="126"/>
      <c r="Z76" s="126"/>
      <c r="AA76" s="139"/>
      <c r="AB76" s="130"/>
      <c r="AC76" s="130"/>
      <c r="AD76" s="126"/>
      <c r="AE76" s="126"/>
      <c r="AF76" s="128"/>
      <c r="AG76" s="127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23"/>
      <c r="B77" s="123"/>
      <c r="C77" s="123"/>
      <c r="D77" s="140"/>
      <c r="E77" s="140"/>
      <c r="F77" s="142"/>
      <c r="G77" s="123"/>
      <c r="H77" s="123"/>
      <c r="I77" s="123"/>
      <c r="J77" s="123"/>
      <c r="K77" s="140"/>
      <c r="L77" s="141"/>
      <c r="M77" s="123"/>
      <c r="N77" s="123">
        <f t="shared" si="4"/>
        <v>-870</v>
      </c>
      <c r="O77" s="123">
        <f t="shared" si="5"/>
        <v>0.68469999999999998</v>
      </c>
      <c r="P77" s="123">
        <f t="shared" si="3"/>
        <v>-595.68899999999996</v>
      </c>
      <c r="Q77" s="164">
        <f t="shared" si="6"/>
        <v>9.8899999999999995E-3</v>
      </c>
      <c r="R77" s="165"/>
      <c r="S77" s="165"/>
      <c r="T77" s="126"/>
      <c r="U77" s="137"/>
      <c r="V77" s="138"/>
      <c r="W77" s="137"/>
      <c r="X77" s="138"/>
      <c r="Y77" s="126"/>
      <c r="Z77" s="126"/>
      <c r="AA77" s="139"/>
      <c r="AB77" s="130"/>
      <c r="AC77" s="130"/>
      <c r="AD77" s="126"/>
      <c r="AE77" s="126"/>
      <c r="AF77" s="128"/>
      <c r="AG77" s="127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40"/>
      <c r="L78" s="141"/>
      <c r="M78" s="123"/>
      <c r="N78" s="123">
        <f t="shared" si="4"/>
        <v>0</v>
      </c>
      <c r="O78" s="123">
        <f t="shared" si="5"/>
        <v>0</v>
      </c>
      <c r="P78" s="123">
        <f t="shared" si="3"/>
        <v>0</v>
      </c>
      <c r="Q78" s="164">
        <f t="shared" si="6"/>
        <v>0</v>
      </c>
      <c r="R78" s="165"/>
      <c r="S78" s="165"/>
      <c r="T78" s="126"/>
      <c r="U78" s="137"/>
      <c r="V78" s="138"/>
      <c r="W78" s="137"/>
      <c r="X78" s="138"/>
      <c r="Y78" s="126"/>
      <c r="Z78" s="126"/>
      <c r="AA78" s="139"/>
      <c r="AB78" s="130"/>
      <c r="AC78" s="130"/>
      <c r="AD78" s="126"/>
      <c r="AE78" s="126"/>
      <c r="AF78" s="128"/>
      <c r="AG78" s="127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40"/>
      <c r="L79" s="141"/>
      <c r="M79" s="123"/>
      <c r="N79" s="123">
        <f t="shared" si="4"/>
        <v>209763.5749469843</v>
      </c>
      <c r="O79" s="123">
        <f t="shared" si="5"/>
        <v>0.68479999999999996</v>
      </c>
      <c r="P79" s="123">
        <f t="shared" si="3"/>
        <v>143646.09612369485</v>
      </c>
      <c r="Q79" s="164">
        <f t="shared" si="6"/>
        <v>1</v>
      </c>
      <c r="R79" s="165"/>
      <c r="S79" s="165"/>
      <c r="T79" s="126"/>
      <c r="U79" s="137"/>
      <c r="V79" s="138"/>
      <c r="W79" s="137"/>
      <c r="X79" s="138"/>
      <c r="Y79" s="126"/>
      <c r="Z79" s="126"/>
      <c r="AA79" s="139"/>
      <c r="AB79" s="130"/>
      <c r="AC79" s="130"/>
      <c r="AD79" s="126"/>
      <c r="AE79" s="126"/>
      <c r="AF79" s="128"/>
      <c r="AG79" s="127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23"/>
      <c r="B80" s="123"/>
      <c r="C80" s="123"/>
      <c r="D80" s="123"/>
      <c r="E80" s="140"/>
      <c r="F80" s="140"/>
      <c r="G80" s="140"/>
      <c r="H80" s="123"/>
      <c r="I80" s="123"/>
      <c r="J80" s="123"/>
      <c r="K80" s="140"/>
      <c r="L80" s="141"/>
      <c r="M80" s="123"/>
      <c r="N80" s="123">
        <f t="shared" si="4"/>
        <v>84629.508799999996</v>
      </c>
      <c r="O80" s="123">
        <f t="shared" si="5"/>
        <v>0.68479999999999996</v>
      </c>
      <c r="P80" s="123">
        <f t="shared" si="3"/>
        <v>57954.287626239995</v>
      </c>
      <c r="Q80" s="164">
        <f t="shared" si="6"/>
        <v>1</v>
      </c>
      <c r="R80" s="165"/>
      <c r="S80" s="165"/>
      <c r="T80" s="126"/>
      <c r="U80" s="137"/>
      <c r="V80" s="138"/>
      <c r="W80" s="137"/>
      <c r="X80" s="138"/>
      <c r="Y80" s="126"/>
      <c r="Z80" s="126"/>
      <c r="AA80" s="139"/>
      <c r="AB80" s="130"/>
      <c r="AC80" s="130"/>
      <c r="AD80" s="126"/>
      <c r="AE80" s="126"/>
      <c r="AF80" s="128"/>
      <c r="AG80" s="127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40"/>
      <c r="L81" s="141"/>
      <c r="M81" s="123"/>
      <c r="N81" s="123">
        <f t="shared" si="4"/>
        <v>125134.0661469843</v>
      </c>
      <c r="O81" s="123">
        <f t="shared" si="5"/>
        <v>0.68479999999999996</v>
      </c>
      <c r="P81" s="123">
        <f t="shared" si="3"/>
        <v>85691.80849745484</v>
      </c>
      <c r="Q81" s="164">
        <f t="shared" si="6"/>
        <v>1</v>
      </c>
      <c r="R81" s="165"/>
      <c r="S81" s="165"/>
      <c r="T81" s="126"/>
      <c r="U81" s="137"/>
      <c r="V81" s="138"/>
      <c r="W81" s="137"/>
      <c r="X81" s="138"/>
      <c r="Y81" s="126"/>
      <c r="Z81" s="126"/>
      <c r="AA81" s="139"/>
      <c r="AB81" s="130"/>
      <c r="AC81" s="130"/>
      <c r="AD81" s="126"/>
      <c r="AE81" s="126"/>
      <c r="AF81" s="128"/>
      <c r="AG81" s="127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23"/>
      <c r="B82" s="123"/>
      <c r="C82" s="123"/>
      <c r="D82" s="140"/>
      <c r="E82" s="123"/>
      <c r="F82" s="123"/>
      <c r="G82" s="123"/>
      <c r="H82" s="123"/>
      <c r="I82" s="123"/>
      <c r="J82" s="123"/>
      <c r="K82" s="140"/>
      <c r="L82" s="141"/>
      <c r="M82" s="123"/>
      <c r="N82" s="123">
        <f t="shared" si="4"/>
        <v>0</v>
      </c>
      <c r="O82" s="123">
        <f t="shared" si="5"/>
        <v>0</v>
      </c>
      <c r="P82" s="123">
        <f t="shared" si="3"/>
        <v>0</v>
      </c>
      <c r="Q82" s="164">
        <f t="shared" si="6"/>
        <v>0</v>
      </c>
      <c r="R82" s="165"/>
      <c r="S82" s="165"/>
      <c r="T82" s="126"/>
      <c r="U82" s="137"/>
      <c r="V82" s="138"/>
      <c r="W82" s="137"/>
      <c r="X82" s="138"/>
      <c r="Y82" s="126"/>
      <c r="Z82" s="126"/>
      <c r="AA82" s="139"/>
      <c r="AB82" s="130"/>
      <c r="AC82" s="130"/>
      <c r="AD82" s="126"/>
      <c r="AE82" s="126"/>
      <c r="AF82" s="128"/>
      <c r="AG82" s="127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40"/>
      <c r="L83" s="141"/>
      <c r="M83" s="123"/>
      <c r="N83" s="123">
        <f t="shared" si="4"/>
        <v>1151.136</v>
      </c>
      <c r="O83" s="123">
        <f t="shared" si="5"/>
        <v>0.68479999999999996</v>
      </c>
      <c r="P83" s="123">
        <f t="shared" si="3"/>
        <v>788.2979327999999</v>
      </c>
      <c r="Q83" s="164">
        <f t="shared" si="6"/>
        <v>1</v>
      </c>
      <c r="R83" s="165"/>
      <c r="S83" s="165"/>
      <c r="T83" s="126"/>
      <c r="U83" s="137"/>
      <c r="V83" s="138"/>
      <c r="W83" s="137"/>
      <c r="X83" s="138"/>
      <c r="Y83" s="126"/>
      <c r="Z83" s="126"/>
      <c r="AA83" s="139"/>
      <c r="AB83" s="130"/>
      <c r="AC83" s="130"/>
      <c r="AD83" s="126"/>
      <c r="AE83" s="126"/>
      <c r="AF83" s="128"/>
      <c r="AG83" s="127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23"/>
      <c r="B84" s="123"/>
      <c r="C84" s="123"/>
      <c r="D84" s="140"/>
      <c r="E84" s="140"/>
      <c r="F84" s="142"/>
      <c r="G84" s="142"/>
      <c r="H84" s="123"/>
      <c r="I84" s="123"/>
      <c r="J84" s="123"/>
      <c r="K84" s="140"/>
      <c r="L84" s="141"/>
      <c r="M84" s="123"/>
      <c r="N84" s="123">
        <f t="shared" si="4"/>
        <v>0</v>
      </c>
      <c r="O84" s="123">
        <f t="shared" si="5"/>
        <v>0</v>
      </c>
      <c r="P84" s="123">
        <f t="shared" si="3"/>
        <v>0</v>
      </c>
      <c r="Q84" s="164">
        <f t="shared" si="6"/>
        <v>0</v>
      </c>
      <c r="R84" s="165"/>
      <c r="S84" s="165"/>
      <c r="T84" s="126"/>
      <c r="U84" s="137"/>
      <c r="V84" s="138"/>
      <c r="W84" s="137"/>
      <c r="X84" s="138"/>
      <c r="Y84" s="126"/>
      <c r="Z84" s="126"/>
      <c r="AA84" s="139"/>
      <c r="AB84" s="130"/>
      <c r="AC84" s="130"/>
      <c r="AD84" s="126"/>
      <c r="AE84" s="126"/>
      <c r="AF84" s="128"/>
      <c r="AG84" s="127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40"/>
      <c r="L85" s="141"/>
      <c r="M85" s="123"/>
      <c r="N85" s="123">
        <f t="shared" si="4"/>
        <v>0</v>
      </c>
      <c r="O85" s="123">
        <f t="shared" si="5"/>
        <v>0</v>
      </c>
      <c r="P85" s="123">
        <f t="shared" si="3"/>
        <v>0</v>
      </c>
      <c r="Q85" s="164">
        <f t="shared" si="6"/>
        <v>0</v>
      </c>
      <c r="R85" s="165"/>
      <c r="S85" s="165"/>
      <c r="T85" s="126"/>
      <c r="U85" s="137"/>
      <c r="V85" s="138"/>
      <c r="W85" s="137"/>
      <c r="X85" s="138"/>
      <c r="Y85" s="126"/>
      <c r="Z85" s="126"/>
      <c r="AA85" s="139"/>
      <c r="AB85" s="130"/>
      <c r="AC85" s="130"/>
      <c r="AD85" s="126"/>
      <c r="AE85" s="126"/>
      <c r="AF85" s="128"/>
      <c r="AG85" s="127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40"/>
      <c r="L86" s="141"/>
      <c r="M86" s="123"/>
      <c r="N86" s="123">
        <f t="shared" si="4"/>
        <v>1151.136</v>
      </c>
      <c r="O86" s="123">
        <f t="shared" si="5"/>
        <v>0.68469999999999998</v>
      </c>
      <c r="P86" s="123">
        <f t="shared" si="3"/>
        <v>788.18281919999993</v>
      </c>
      <c r="Q86" s="164">
        <f t="shared" si="6"/>
        <v>0</v>
      </c>
      <c r="R86" s="165"/>
      <c r="S86" s="165"/>
      <c r="T86" s="126"/>
      <c r="U86" s="137"/>
      <c r="V86" s="138"/>
      <c r="W86" s="137"/>
      <c r="X86" s="138"/>
      <c r="Y86" s="126"/>
      <c r="Z86" s="126"/>
      <c r="AA86" s="139"/>
      <c r="AB86" s="130"/>
      <c r="AC86" s="130"/>
      <c r="AD86" s="126"/>
      <c r="AE86" s="126"/>
      <c r="AF86" s="128"/>
      <c r="AG86" s="127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40"/>
      <c r="L87" s="141"/>
      <c r="M87" s="140"/>
      <c r="N87" s="123">
        <f t="shared" si="4"/>
        <v>83478.372799999997</v>
      </c>
      <c r="O87" s="123">
        <f t="shared" si="5"/>
        <v>0.68469999999999998</v>
      </c>
      <c r="P87" s="123">
        <f t="shared" si="3"/>
        <v>57157.641856159993</v>
      </c>
      <c r="Q87" s="164">
        <f t="shared" si="6"/>
        <v>0</v>
      </c>
      <c r="R87" s="165"/>
      <c r="S87" s="165"/>
      <c r="T87" s="126"/>
      <c r="U87" s="137"/>
      <c r="V87" s="138"/>
      <c r="W87" s="137"/>
      <c r="X87" s="138"/>
      <c r="Y87" s="126"/>
      <c r="Z87" s="126"/>
      <c r="AA87" s="139"/>
      <c r="AB87" s="130"/>
      <c r="AC87" s="130"/>
      <c r="AD87" s="126"/>
      <c r="AE87" s="126"/>
      <c r="AF87" s="128"/>
      <c r="AG87" s="127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23"/>
      <c r="B88" s="123"/>
      <c r="C88" s="123"/>
      <c r="D88" s="140"/>
      <c r="E88" s="140"/>
      <c r="F88" s="142"/>
      <c r="G88" s="142"/>
      <c r="H88" s="123"/>
      <c r="I88" s="123"/>
      <c r="J88" s="123"/>
      <c r="K88" s="140"/>
      <c r="L88" s="141"/>
      <c r="M88" s="123"/>
      <c r="N88" s="123">
        <f t="shared" si="4"/>
        <v>87216.858032629694</v>
      </c>
      <c r="O88" s="123">
        <f t="shared" si="5"/>
        <v>0.68469999999999998</v>
      </c>
      <c r="P88" s="123">
        <f t="shared" si="3"/>
        <v>59717.382694941552</v>
      </c>
      <c r="Q88" s="164">
        <f t="shared" si="6"/>
        <v>0</v>
      </c>
      <c r="R88" s="165"/>
      <c r="S88" s="165"/>
      <c r="T88" s="126"/>
      <c r="U88" s="137"/>
      <c r="V88" s="138"/>
      <c r="W88" s="137"/>
      <c r="X88" s="138"/>
      <c r="Y88" s="126"/>
      <c r="Z88" s="126"/>
      <c r="AA88" s="139"/>
      <c r="AB88" s="130"/>
      <c r="AC88" s="130"/>
      <c r="AD88" s="126"/>
      <c r="AE88" s="126"/>
      <c r="AF88" s="127"/>
      <c r="AG88" s="127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40"/>
      <c r="L89" s="141"/>
      <c r="M89" s="123"/>
      <c r="N89" s="123">
        <f t="shared" si="4"/>
        <v>0</v>
      </c>
      <c r="O89" s="123">
        <f t="shared" si="5"/>
        <v>0</v>
      </c>
      <c r="P89" s="123">
        <f t="shared" si="3"/>
        <v>0</v>
      </c>
      <c r="Q89" s="164">
        <f t="shared" si="6"/>
        <v>0</v>
      </c>
      <c r="R89" s="165"/>
      <c r="S89" s="165"/>
      <c r="T89" s="126"/>
      <c r="U89" s="137"/>
      <c r="V89" s="138"/>
      <c r="W89" s="137"/>
      <c r="X89" s="138"/>
      <c r="Y89" s="126"/>
      <c r="Z89" s="126"/>
      <c r="AA89" s="139"/>
      <c r="AB89" s="130"/>
      <c r="AC89" s="130"/>
      <c r="AD89" s="126"/>
      <c r="AE89" s="126"/>
      <c r="AF89" s="127"/>
      <c r="AG89" s="127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40"/>
      <c r="L90" s="141"/>
      <c r="M90" s="123"/>
      <c r="N90" s="123">
        <f t="shared" si="4"/>
        <v>7011</v>
      </c>
      <c r="O90" s="123">
        <f t="shared" si="5"/>
        <v>0</v>
      </c>
      <c r="P90" s="123">
        <f t="shared" si="3"/>
        <v>0</v>
      </c>
      <c r="Q90" s="164">
        <f t="shared" si="6"/>
        <v>0</v>
      </c>
      <c r="R90" s="165"/>
      <c r="S90" s="165"/>
      <c r="T90" s="126"/>
      <c r="U90" s="137"/>
      <c r="V90" s="138"/>
      <c r="W90" s="137"/>
      <c r="X90" s="138"/>
      <c r="Y90" s="126"/>
      <c r="Z90" s="126"/>
      <c r="AA90" s="139"/>
      <c r="AB90" s="130"/>
      <c r="AC90" s="130"/>
      <c r="AD90" s="126"/>
      <c r="AE90" s="126"/>
      <c r="AF90" s="127"/>
      <c r="AG90" s="127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23"/>
      <c r="B91" s="123"/>
      <c r="C91" s="123"/>
      <c r="D91" s="123"/>
      <c r="E91" s="123"/>
      <c r="F91" s="140"/>
      <c r="G91" s="140"/>
      <c r="H91" s="140"/>
      <c r="I91" s="123"/>
      <c r="J91" s="123"/>
      <c r="K91" s="140"/>
      <c r="L91" s="141"/>
      <c r="M91" s="123"/>
      <c r="N91" s="123">
        <f t="shared" si="4"/>
        <v>132145.06614698429</v>
      </c>
      <c r="O91" s="123">
        <f t="shared" si="5"/>
        <v>0.64849999999999997</v>
      </c>
      <c r="P91" s="123">
        <f t="shared" si="3"/>
        <v>85696.075396319313</v>
      </c>
      <c r="Q91" s="164">
        <f t="shared" si="6"/>
        <v>1</v>
      </c>
      <c r="R91" s="165"/>
      <c r="S91" s="165"/>
      <c r="T91" s="126"/>
      <c r="U91" s="137"/>
      <c r="V91" s="138"/>
      <c r="W91" s="137"/>
      <c r="X91" s="138"/>
      <c r="Y91" s="126"/>
      <c r="Z91" s="126"/>
      <c r="AA91" s="126"/>
      <c r="AB91" s="126"/>
      <c r="AC91" s="126"/>
      <c r="AD91" s="126"/>
      <c r="AE91" s="126"/>
      <c r="AF91" s="127"/>
      <c r="AG91" s="127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40"/>
      <c r="L92" s="141"/>
      <c r="M92" s="123"/>
      <c r="N92" s="123">
        <f t="shared" si="4"/>
        <v>11983.055953228601</v>
      </c>
      <c r="O92" s="123">
        <f t="shared" si="5"/>
        <v>0.64359999999999995</v>
      </c>
      <c r="P92" s="123">
        <f t="shared" si="3"/>
        <v>7712.2948114979272</v>
      </c>
      <c r="Q92" s="164">
        <f t="shared" si="6"/>
        <v>1</v>
      </c>
      <c r="R92" s="165"/>
      <c r="S92" s="165"/>
      <c r="T92" s="126"/>
      <c r="U92" s="137"/>
      <c r="V92" s="138"/>
      <c r="W92" s="137"/>
      <c r="X92" s="138"/>
      <c r="Y92" s="126"/>
      <c r="Z92" s="126"/>
      <c r="AA92" s="126"/>
      <c r="AB92" s="126"/>
      <c r="AC92" s="130"/>
      <c r="AD92" s="137"/>
      <c r="AE92" s="126"/>
      <c r="AF92" s="127"/>
      <c r="AG92" s="127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23"/>
      <c r="B93" s="123"/>
      <c r="C93" s="123"/>
      <c r="D93" s="140"/>
      <c r="E93" s="140"/>
      <c r="F93" s="142"/>
      <c r="G93" s="142"/>
      <c r="H93" s="123"/>
      <c r="I93" s="123"/>
      <c r="J93" s="123"/>
      <c r="K93" s="140"/>
      <c r="L93" s="141"/>
      <c r="M93" s="123"/>
      <c r="N93" s="123">
        <f t="shared" si="4"/>
        <v>13097.735953228599</v>
      </c>
      <c r="O93" s="123">
        <f t="shared" si="5"/>
        <v>0</v>
      </c>
      <c r="P93" s="123">
        <f t="shared" si="3"/>
        <v>0</v>
      </c>
      <c r="Q93" s="164">
        <f t="shared" si="6"/>
        <v>1</v>
      </c>
      <c r="R93" s="165"/>
      <c r="S93" s="165"/>
      <c r="T93" s="126"/>
      <c r="U93" s="137"/>
      <c r="V93" s="138"/>
      <c r="W93" s="137"/>
      <c r="X93" s="138"/>
      <c r="Y93" s="126"/>
      <c r="Z93" s="126"/>
      <c r="AA93" s="115"/>
      <c r="AB93" s="115"/>
      <c r="AC93" s="126"/>
      <c r="AD93" s="126"/>
      <c r="AE93" s="126"/>
      <c r="AF93" s="127"/>
      <c r="AG93" s="127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23"/>
      <c r="B94" s="123"/>
      <c r="C94" s="123"/>
      <c r="D94" s="140"/>
      <c r="E94" s="140"/>
      <c r="F94" s="142"/>
      <c r="G94" s="142"/>
      <c r="H94" s="123"/>
      <c r="I94" s="123"/>
      <c r="J94" s="123"/>
      <c r="K94" s="140"/>
      <c r="L94" s="141"/>
      <c r="M94" s="123"/>
      <c r="N94" s="123">
        <f t="shared" si="4"/>
        <v>1189.3055953229</v>
      </c>
      <c r="O94" s="123">
        <f t="shared" si="5"/>
        <v>0.64359999999999995</v>
      </c>
      <c r="P94" s="123">
        <f t="shared" si="3"/>
        <v>765.43708114981837</v>
      </c>
      <c r="Q94" s="164">
        <f t="shared" si="6"/>
        <v>1</v>
      </c>
      <c r="R94" s="165"/>
      <c r="S94" s="165"/>
      <c r="T94" s="126"/>
      <c r="U94" s="137"/>
      <c r="V94" s="138"/>
      <c r="W94" s="137"/>
      <c r="X94" s="138"/>
      <c r="Y94" s="126"/>
      <c r="Z94" s="126"/>
      <c r="AA94" s="126"/>
      <c r="AB94" s="126"/>
      <c r="AC94" s="126"/>
      <c r="AD94" s="126"/>
      <c r="AE94" s="126"/>
      <c r="AF94" s="127"/>
      <c r="AG94" s="127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23"/>
      <c r="B95" s="123"/>
      <c r="C95" s="123"/>
      <c r="D95" s="140"/>
      <c r="E95" s="140"/>
      <c r="F95" s="142"/>
      <c r="G95" s="123"/>
      <c r="H95" s="123"/>
      <c r="I95" s="123"/>
      <c r="J95" s="123"/>
      <c r="K95" s="140"/>
      <c r="L95" s="141"/>
      <c r="M95" s="123"/>
      <c r="N95" s="123">
        <f t="shared" si="4"/>
        <v>1189.3055953229</v>
      </c>
      <c r="O95" s="123">
        <f t="shared" si="5"/>
        <v>0.65410000000000001</v>
      </c>
      <c r="P95" s="123">
        <f t="shared" si="3"/>
        <v>777.9247899007089</v>
      </c>
      <c r="Q95" s="164">
        <f t="shared" si="6"/>
        <v>0</v>
      </c>
      <c r="R95" s="165"/>
      <c r="S95" s="165"/>
      <c r="T95" s="126"/>
      <c r="U95" s="137"/>
      <c r="V95" s="138"/>
      <c r="W95" s="137"/>
      <c r="X95" s="138"/>
      <c r="Y95" s="126"/>
      <c r="Z95" s="126"/>
      <c r="AA95" s="126"/>
      <c r="AB95" s="126"/>
      <c r="AC95" s="126"/>
      <c r="AD95" s="126"/>
      <c r="AE95" s="126"/>
      <c r="AF95" s="127"/>
      <c r="AG95" s="127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40"/>
      <c r="L96" s="141"/>
      <c r="M96" s="123"/>
      <c r="N96" s="123">
        <f t="shared" si="4"/>
        <v>1000</v>
      </c>
      <c r="O96" s="123">
        <f t="shared" si="5"/>
        <v>0</v>
      </c>
      <c r="P96" s="123">
        <f t="shared" si="3"/>
        <v>0</v>
      </c>
      <c r="Q96" s="164">
        <f t="shared" si="6"/>
        <v>0</v>
      </c>
      <c r="R96" s="165"/>
      <c r="S96" s="165"/>
      <c r="T96" s="126"/>
      <c r="U96" s="137"/>
      <c r="V96" s="138"/>
      <c r="W96" s="137"/>
      <c r="X96" s="138"/>
      <c r="Y96" s="126"/>
      <c r="Z96" s="126"/>
      <c r="AA96" s="126"/>
      <c r="AB96" s="126"/>
      <c r="AC96" s="126"/>
      <c r="AD96" s="126"/>
      <c r="AE96" s="126"/>
      <c r="AF96" s="127"/>
      <c r="AG96" s="127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23"/>
      <c r="B97" s="123"/>
      <c r="C97" s="123"/>
      <c r="D97" s="140"/>
      <c r="E97" s="140"/>
      <c r="F97" s="123"/>
      <c r="G97" s="123"/>
      <c r="H97" s="123"/>
      <c r="I97" s="123"/>
      <c r="J97" s="123"/>
      <c r="K97" s="140"/>
      <c r="L97" s="141"/>
      <c r="M97" s="123"/>
      <c r="N97" s="123">
        <f t="shared" si="4"/>
        <v>3287.8954015671002</v>
      </c>
      <c r="O97" s="123">
        <f t="shared" si="5"/>
        <v>0.64359999999999995</v>
      </c>
      <c r="P97" s="123">
        <f t="shared" si="3"/>
        <v>2116.0894804485856</v>
      </c>
      <c r="Q97" s="164">
        <f t="shared" si="6"/>
        <v>0</v>
      </c>
      <c r="R97" s="165"/>
      <c r="S97" s="165"/>
      <c r="T97" s="126"/>
      <c r="U97" s="137"/>
      <c r="V97" s="138"/>
      <c r="W97" s="137"/>
      <c r="X97" s="138"/>
      <c r="Y97" s="126"/>
      <c r="Z97" s="126"/>
      <c r="AA97" s="126"/>
      <c r="AB97" s="126"/>
      <c r="AC97" s="126"/>
      <c r="AD97" s="126"/>
      <c r="AE97" s="126"/>
      <c r="AF97" s="127"/>
      <c r="AG97" s="127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40"/>
      <c r="L98" s="141"/>
      <c r="M98" s="123"/>
      <c r="N98" s="123">
        <f t="shared" si="4"/>
        <v>123260.6</v>
      </c>
      <c r="O98" s="123">
        <f t="shared" si="5"/>
        <v>0.65410000000000001</v>
      </c>
      <c r="P98" s="123">
        <f t="shared" si="3"/>
        <v>80624.758460000012</v>
      </c>
      <c r="Q98" s="164">
        <f t="shared" si="6"/>
        <v>0</v>
      </c>
      <c r="R98" s="165"/>
      <c r="S98" s="165"/>
      <c r="T98" s="126"/>
      <c r="U98" s="137"/>
      <c r="V98" s="138"/>
      <c r="W98" s="137"/>
      <c r="X98" s="138"/>
      <c r="Y98" s="126"/>
      <c r="Z98" s="126"/>
      <c r="AA98" s="126"/>
      <c r="AB98" s="126"/>
      <c r="AC98" s="126"/>
      <c r="AD98" s="126"/>
      <c r="AE98" s="126"/>
      <c r="AF98" s="127"/>
      <c r="AG98" s="127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40"/>
      <c r="L99" s="141"/>
      <c r="M99" s="123"/>
      <c r="N99" s="123">
        <f t="shared" si="4"/>
        <v>0</v>
      </c>
      <c r="O99" s="123">
        <f t="shared" si="5"/>
        <v>0</v>
      </c>
      <c r="P99" s="123">
        <f t="shared" ref="P99:P126" si="7">D33</f>
        <v>0</v>
      </c>
      <c r="Q99" s="164">
        <f t="shared" si="6"/>
        <v>0</v>
      </c>
      <c r="R99" s="165"/>
      <c r="S99" s="165"/>
      <c r="T99" s="126"/>
      <c r="U99" s="137"/>
      <c r="V99" s="138"/>
      <c r="W99" s="137"/>
      <c r="X99" s="138"/>
      <c r="Y99" s="126"/>
      <c r="Z99" s="126"/>
      <c r="AA99" s="126"/>
      <c r="AB99" s="126"/>
      <c r="AC99" s="126"/>
      <c r="AD99" s="126"/>
      <c r="AE99" s="126"/>
      <c r="AF99" s="127"/>
      <c r="AG99" s="127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23"/>
      <c r="B100" s="123"/>
      <c r="C100" s="123"/>
      <c r="D100" s="140"/>
      <c r="E100" s="140"/>
      <c r="F100" s="142"/>
      <c r="G100" s="142"/>
      <c r="H100" s="123"/>
      <c r="I100" s="123"/>
      <c r="J100" s="123"/>
      <c r="K100" s="140"/>
      <c r="L100" s="141"/>
      <c r="M100" s="123"/>
      <c r="N100" s="123">
        <f t="shared" si="4"/>
        <v>-3287.8954015671002</v>
      </c>
      <c r="O100" s="123">
        <f t="shared" si="5"/>
        <v>0</v>
      </c>
      <c r="P100" s="123">
        <f t="shared" si="7"/>
        <v>0</v>
      </c>
      <c r="Q100" s="164">
        <f t="shared" si="6"/>
        <v>0</v>
      </c>
      <c r="R100" s="165"/>
      <c r="S100" s="165"/>
      <c r="T100" s="126"/>
      <c r="U100" s="137"/>
      <c r="V100" s="138"/>
      <c r="W100" s="137"/>
      <c r="X100" s="138"/>
      <c r="Y100" s="126"/>
      <c r="Z100" s="126"/>
      <c r="AA100" s="126"/>
      <c r="AB100" s="126"/>
      <c r="AC100" s="126"/>
      <c r="AD100" s="126"/>
      <c r="AE100" s="126"/>
      <c r="AF100" s="127"/>
      <c r="AG100" s="127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23"/>
      <c r="B101" s="123"/>
      <c r="C101" s="123"/>
      <c r="D101" s="140"/>
      <c r="E101" s="140"/>
      <c r="F101" s="143"/>
      <c r="G101" s="143"/>
      <c r="H101" s="141"/>
      <c r="I101" s="123"/>
      <c r="J101" s="123"/>
      <c r="K101" s="140"/>
      <c r="L101" s="141"/>
      <c r="M101" s="123"/>
      <c r="N101" s="123">
        <f t="shared" si="4"/>
        <v>4312.5021039050998</v>
      </c>
      <c r="O101" s="123">
        <f t="shared" si="5"/>
        <v>0.65410000000000001</v>
      </c>
      <c r="P101" s="123">
        <f t="shared" si="7"/>
        <v>2820.8076261643259</v>
      </c>
      <c r="Q101" s="164">
        <f t="shared" si="6"/>
        <v>0</v>
      </c>
      <c r="R101" s="165"/>
      <c r="S101" s="165"/>
      <c r="T101" s="126"/>
      <c r="U101" s="137"/>
      <c r="V101" s="138"/>
      <c r="W101" s="137"/>
      <c r="X101" s="138"/>
      <c r="Y101" s="126"/>
      <c r="Z101" s="126"/>
      <c r="AA101" s="126"/>
      <c r="AB101" s="126"/>
      <c r="AC101" s="126"/>
      <c r="AD101" s="126"/>
      <c r="AE101" s="126"/>
      <c r="AF101" s="127"/>
      <c r="AG101" s="127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23"/>
      <c r="B102" s="123"/>
      <c r="C102" s="123"/>
      <c r="D102" s="140"/>
      <c r="E102" s="140"/>
      <c r="F102" s="142"/>
      <c r="G102" s="142"/>
      <c r="H102" s="123"/>
      <c r="I102" s="123"/>
      <c r="J102" s="123"/>
      <c r="K102" s="140"/>
      <c r="L102" s="141"/>
      <c r="M102" s="123"/>
      <c r="N102" s="123">
        <f t="shared" si="4"/>
        <v>-6548.9178960949002</v>
      </c>
      <c r="O102" s="123">
        <f t="shared" si="5"/>
        <v>0</v>
      </c>
      <c r="P102" s="123">
        <f t="shared" si="7"/>
        <v>0</v>
      </c>
      <c r="Q102" s="164">
        <f t="shared" si="6"/>
        <v>0</v>
      </c>
      <c r="R102" s="165"/>
      <c r="S102" s="165"/>
      <c r="T102" s="126"/>
      <c r="U102" s="137"/>
      <c r="V102" s="138"/>
      <c r="W102" s="137"/>
      <c r="X102" s="138"/>
      <c r="Y102" s="126"/>
      <c r="Z102" s="126"/>
      <c r="AA102" s="126"/>
      <c r="AB102" s="126"/>
      <c r="AC102" s="126"/>
      <c r="AD102" s="126"/>
      <c r="AE102" s="126"/>
      <c r="AF102" s="127"/>
      <c r="AG102" s="127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40"/>
      <c r="L103" s="141"/>
      <c r="M103" s="123"/>
      <c r="N103" s="123">
        <f t="shared" si="4"/>
        <v>108207.245</v>
      </c>
      <c r="O103" s="123">
        <f t="shared" si="5"/>
        <v>0.65410000000000001</v>
      </c>
      <c r="P103" s="123">
        <f t="shared" si="7"/>
        <v>70778.3589545</v>
      </c>
      <c r="Q103" s="164">
        <f t="shared" si="6"/>
        <v>0</v>
      </c>
      <c r="R103" s="165"/>
      <c r="S103" s="165"/>
      <c r="T103" s="126"/>
      <c r="U103" s="137"/>
      <c r="V103" s="138"/>
      <c r="W103" s="137"/>
      <c r="X103" s="138"/>
      <c r="Y103" s="126"/>
      <c r="Z103" s="126"/>
      <c r="AA103" s="126"/>
      <c r="AB103" s="126"/>
      <c r="AC103" s="126"/>
      <c r="AD103" s="126"/>
      <c r="AE103" s="126"/>
      <c r="AF103" s="127"/>
      <c r="AG103" s="127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23"/>
      <c r="B104" s="123"/>
      <c r="C104" s="123"/>
      <c r="D104" s="140"/>
      <c r="E104" s="140"/>
      <c r="F104" s="142"/>
      <c r="G104" s="142"/>
      <c r="H104" s="123"/>
      <c r="I104" s="123"/>
      <c r="J104" s="123"/>
      <c r="K104" s="140"/>
      <c r="L104" s="141"/>
      <c r="M104" s="123"/>
      <c r="N104" s="123">
        <f t="shared" si="4"/>
        <v>117765.29459999999</v>
      </c>
      <c r="O104" s="123">
        <f t="shared" si="5"/>
        <v>0.65539999999999998</v>
      </c>
      <c r="P104" s="123">
        <f t="shared" si="7"/>
        <v>77183.374080839989</v>
      </c>
      <c r="Q104" s="164">
        <f t="shared" si="6"/>
        <v>0</v>
      </c>
      <c r="R104" s="165"/>
      <c r="S104" s="165"/>
      <c r="T104" s="126"/>
      <c r="U104" s="137"/>
      <c r="V104" s="138"/>
      <c r="W104" s="137"/>
      <c r="X104" s="138"/>
      <c r="Y104" s="126"/>
      <c r="Z104" s="126"/>
      <c r="AA104" s="126"/>
      <c r="AB104" s="126"/>
      <c r="AC104" s="126"/>
      <c r="AD104" s="126"/>
      <c r="AE104" s="126"/>
      <c r="AF104" s="127"/>
      <c r="AG104" s="127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40"/>
      <c r="L105" s="141"/>
      <c r="M105" s="123"/>
      <c r="N105" s="123">
        <f t="shared" si="4"/>
        <v>0</v>
      </c>
      <c r="O105" s="123">
        <f t="shared" si="5"/>
        <v>0</v>
      </c>
      <c r="P105" s="123">
        <f t="shared" si="7"/>
        <v>0</v>
      </c>
      <c r="Q105" s="164">
        <f t="shared" si="6"/>
        <v>0</v>
      </c>
      <c r="R105" s="165"/>
      <c r="S105" s="165"/>
      <c r="T105" s="126"/>
      <c r="U105" s="137"/>
      <c r="V105" s="138"/>
      <c r="W105" s="137"/>
      <c r="X105" s="138"/>
      <c r="Y105" s="126"/>
      <c r="Z105" s="126"/>
      <c r="AA105" s="126"/>
      <c r="AB105" s="126"/>
      <c r="AC105" s="126"/>
      <c r="AD105" s="126"/>
      <c r="AE105" s="126"/>
      <c r="AF105" s="127"/>
      <c r="AG105" s="127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40"/>
      <c r="L106" s="141"/>
      <c r="M106" s="123"/>
      <c r="N106" s="123">
        <f t="shared" si="4"/>
        <v>1926.6</v>
      </c>
      <c r="O106" s="123">
        <f t="shared" si="5"/>
        <v>0.57999999999999996</v>
      </c>
      <c r="P106" s="123">
        <f t="shared" si="7"/>
        <v>1117.4279999999999</v>
      </c>
      <c r="Q106" s="164">
        <f t="shared" si="6"/>
        <v>0</v>
      </c>
      <c r="R106" s="165"/>
      <c r="S106" s="165"/>
      <c r="T106" s="126"/>
      <c r="U106" s="137"/>
      <c r="V106" s="138"/>
      <c r="W106" s="137"/>
      <c r="X106" s="138"/>
      <c r="Y106" s="126"/>
      <c r="Z106" s="126"/>
      <c r="AA106" s="126"/>
      <c r="AB106" s="126"/>
      <c r="AC106" s="126"/>
      <c r="AD106" s="126"/>
      <c r="AE106" s="126"/>
      <c r="AF106" s="127"/>
      <c r="AG106" s="127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40"/>
      <c r="L107" s="141"/>
      <c r="M107" s="123"/>
      <c r="N107" s="123">
        <f t="shared" si="4"/>
        <v>1541.28</v>
      </c>
      <c r="O107" s="123">
        <f t="shared" si="5"/>
        <v>0.57999999999999996</v>
      </c>
      <c r="P107" s="123">
        <f t="shared" si="7"/>
        <v>893.94239999999991</v>
      </c>
      <c r="Q107" s="164">
        <f t="shared" si="6"/>
        <v>1</v>
      </c>
      <c r="R107" s="165"/>
      <c r="S107" s="165"/>
      <c r="T107" s="126"/>
      <c r="U107" s="137"/>
      <c r="V107" s="138"/>
      <c r="W107" s="137"/>
      <c r="X107" s="138"/>
      <c r="Y107" s="126"/>
      <c r="Z107" s="126"/>
      <c r="AA107" s="126"/>
      <c r="AB107" s="126"/>
      <c r="AC107" s="126"/>
      <c r="AD107" s="126"/>
      <c r="AE107" s="126"/>
      <c r="AF107" s="127"/>
      <c r="AG107" s="127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40"/>
      <c r="L108" s="141"/>
      <c r="M108" s="123"/>
      <c r="N108" s="123">
        <f t="shared" si="4"/>
        <v>385.32</v>
      </c>
      <c r="O108" s="123">
        <f t="shared" si="5"/>
        <v>0.60029999999999994</v>
      </c>
      <c r="P108" s="123">
        <f t="shared" si="7"/>
        <v>231.30759599999996</v>
      </c>
      <c r="Q108" s="164">
        <f t="shared" si="6"/>
        <v>1</v>
      </c>
      <c r="R108" s="165"/>
      <c r="S108" s="165"/>
      <c r="T108" s="126"/>
      <c r="U108" s="137"/>
      <c r="V108" s="138"/>
      <c r="W108" s="137"/>
      <c r="X108" s="138"/>
      <c r="Y108" s="126"/>
      <c r="Z108" s="126"/>
      <c r="AA108" s="126"/>
      <c r="AB108" s="126"/>
      <c r="AC108" s="126"/>
      <c r="AD108" s="126"/>
      <c r="AE108" s="126"/>
      <c r="AF108" s="127"/>
      <c r="AG108" s="127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09" customFormat="1" ht="16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40"/>
      <c r="L109" s="141"/>
      <c r="M109" s="123"/>
      <c r="N109" s="123">
        <f t="shared" si="4"/>
        <v>385.32</v>
      </c>
      <c r="O109" s="123">
        <f t="shared" si="5"/>
        <v>0.60029999999999994</v>
      </c>
      <c r="P109" s="123">
        <f t="shared" si="7"/>
        <v>231.30759599999996</v>
      </c>
      <c r="Q109" s="164">
        <f t="shared" si="6"/>
        <v>0</v>
      </c>
      <c r="R109" s="165"/>
      <c r="S109" s="165"/>
      <c r="T109" s="126"/>
      <c r="U109" s="137"/>
      <c r="V109" s="138"/>
      <c r="W109" s="137"/>
      <c r="X109" s="138"/>
      <c r="Y109" s="126"/>
      <c r="Z109" s="126"/>
      <c r="AA109" s="126"/>
      <c r="AB109" s="126"/>
      <c r="AC109" s="126"/>
      <c r="AD109" s="126"/>
      <c r="AE109" s="126"/>
      <c r="AF109" s="127"/>
      <c r="AG109" s="127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09" customFormat="1" ht="16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40"/>
      <c r="L110" s="141"/>
      <c r="M110" s="123"/>
      <c r="N110" s="123">
        <f t="shared" si="4"/>
        <v>0</v>
      </c>
      <c r="O110" s="123">
        <f t="shared" si="5"/>
        <v>0</v>
      </c>
      <c r="P110" s="123">
        <f t="shared" si="7"/>
        <v>0</v>
      </c>
      <c r="Q110" s="164">
        <f t="shared" si="6"/>
        <v>1</v>
      </c>
      <c r="R110" s="165"/>
      <c r="S110" s="165"/>
      <c r="T110" s="126"/>
      <c r="U110" s="137"/>
      <c r="V110" s="138"/>
      <c r="W110" s="137"/>
      <c r="X110" s="138"/>
      <c r="Y110" s="126"/>
      <c r="Z110" s="126"/>
      <c r="AA110" s="126"/>
      <c r="AB110" s="126"/>
      <c r="AC110" s="126"/>
      <c r="AD110" s="126"/>
      <c r="AE110" s="126"/>
      <c r="AF110" s="127"/>
      <c r="AG110" s="127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23"/>
      <c r="B111" s="123"/>
      <c r="C111" s="123"/>
      <c r="D111" s="140"/>
      <c r="E111" s="140"/>
      <c r="F111" s="143"/>
      <c r="G111" s="143"/>
      <c r="H111" s="141"/>
      <c r="I111" s="123"/>
      <c r="J111" s="123"/>
      <c r="K111" s="140"/>
      <c r="L111" s="141"/>
      <c r="M111" s="123"/>
      <c r="N111" s="123">
        <f t="shared" si="4"/>
        <v>0</v>
      </c>
      <c r="O111" s="123">
        <f t="shared" si="5"/>
        <v>0</v>
      </c>
      <c r="P111" s="123">
        <f t="shared" si="7"/>
        <v>0</v>
      </c>
      <c r="Q111" s="164">
        <f t="shared" si="6"/>
        <v>1</v>
      </c>
      <c r="R111" s="165"/>
      <c r="S111" s="165"/>
      <c r="T111" s="126"/>
      <c r="U111" s="137"/>
      <c r="V111" s="138"/>
      <c r="W111" s="137"/>
      <c r="X111" s="138"/>
      <c r="Y111" s="126"/>
      <c r="Z111" s="126"/>
      <c r="AA111" s="126"/>
      <c r="AB111" s="126"/>
      <c r="AC111" s="126"/>
      <c r="AD111" s="126"/>
      <c r="AE111" s="126"/>
      <c r="AF111" s="127"/>
      <c r="AG111" s="127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40"/>
      <c r="L112" s="141"/>
      <c r="M112" s="123"/>
      <c r="N112" s="123">
        <f t="shared" si="4"/>
        <v>0</v>
      </c>
      <c r="O112" s="123">
        <f t="shared" si="5"/>
        <v>0</v>
      </c>
      <c r="P112" s="123">
        <f t="shared" si="7"/>
        <v>0</v>
      </c>
      <c r="Q112" s="164">
        <f t="shared" si="6"/>
        <v>1</v>
      </c>
      <c r="R112" s="165"/>
      <c r="S112" s="165"/>
      <c r="T112" s="126"/>
      <c r="U112" s="137"/>
      <c r="V112" s="138"/>
      <c r="W112" s="137"/>
      <c r="X112" s="138"/>
      <c r="Y112" s="126"/>
      <c r="Z112" s="126"/>
      <c r="AA112" s="126"/>
      <c r="AB112" s="126"/>
      <c r="AC112" s="126"/>
      <c r="AD112" s="126"/>
      <c r="AE112" s="126"/>
      <c r="AF112" s="127"/>
      <c r="AG112" s="127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40"/>
      <c r="L113" s="141"/>
      <c r="M113" s="123"/>
      <c r="N113" s="123">
        <f t="shared" si="4"/>
        <v>0</v>
      </c>
      <c r="O113" s="123">
        <f t="shared" si="5"/>
        <v>0.60029999999999994</v>
      </c>
      <c r="P113" s="123">
        <f t="shared" si="7"/>
        <v>0</v>
      </c>
      <c r="Q113" s="164">
        <f t="shared" si="6"/>
        <v>0</v>
      </c>
      <c r="R113" s="165"/>
      <c r="S113" s="165"/>
      <c r="T113" s="126"/>
      <c r="U113" s="137"/>
      <c r="V113" s="138"/>
      <c r="W113" s="137"/>
      <c r="X113" s="138"/>
      <c r="Y113" s="126"/>
      <c r="Z113" s="126"/>
      <c r="AA113" s="126"/>
      <c r="AB113" s="126"/>
      <c r="AC113" s="126"/>
      <c r="AD113" s="126"/>
      <c r="AE113" s="126"/>
      <c r="AF113" s="127"/>
      <c r="AG113" s="127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23"/>
      <c r="B114" s="123"/>
      <c r="C114" s="123"/>
      <c r="D114" s="140"/>
      <c r="E114" s="140"/>
      <c r="F114" s="143"/>
      <c r="G114" s="143"/>
      <c r="H114" s="141"/>
      <c r="I114" s="123"/>
      <c r="J114" s="123"/>
      <c r="K114" s="140"/>
      <c r="L114" s="141"/>
      <c r="M114" s="123"/>
      <c r="N114" s="123">
        <f t="shared" si="4"/>
        <v>0</v>
      </c>
      <c r="O114" s="123">
        <f t="shared" si="5"/>
        <v>0</v>
      </c>
      <c r="P114" s="123">
        <f t="shared" si="7"/>
        <v>0</v>
      </c>
      <c r="Q114" s="164">
        <f t="shared" si="6"/>
        <v>1</v>
      </c>
      <c r="R114" s="165"/>
      <c r="S114" s="165"/>
      <c r="T114" s="126"/>
      <c r="U114" s="137"/>
      <c r="V114" s="138"/>
      <c r="W114" s="137"/>
      <c r="X114" s="138"/>
      <c r="Y114" s="126"/>
      <c r="Z114" s="126"/>
      <c r="AA114" s="126"/>
      <c r="AB114" s="126"/>
      <c r="AC114" s="126"/>
      <c r="AD114" s="126"/>
      <c r="AE114" s="126"/>
      <c r="AF114" s="127"/>
      <c r="AG114" s="127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40"/>
      <c r="L115" s="141"/>
      <c r="M115" s="123"/>
      <c r="N115" s="123">
        <f t="shared" si="4"/>
        <v>10861.42</v>
      </c>
      <c r="O115" s="123">
        <f t="shared" si="5"/>
        <v>0.65410000000000001</v>
      </c>
      <c r="P115" s="123">
        <f t="shared" si="7"/>
        <v>7104.4548220000006</v>
      </c>
      <c r="Q115" s="164">
        <f t="shared" si="6"/>
        <v>0</v>
      </c>
      <c r="R115" s="165"/>
      <c r="S115" s="165"/>
      <c r="T115" s="126"/>
      <c r="U115" s="137"/>
      <c r="V115" s="138"/>
      <c r="W115" s="137"/>
      <c r="X115" s="138"/>
      <c r="Y115" s="126"/>
      <c r="Z115" s="126"/>
      <c r="AA115" s="126"/>
      <c r="AB115" s="126"/>
      <c r="AC115" s="126"/>
      <c r="AD115" s="126"/>
      <c r="AE115" s="126"/>
      <c r="AF115" s="127"/>
      <c r="AG115" s="127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23"/>
      <c r="B116" s="123"/>
      <c r="C116" s="123"/>
      <c r="D116" s="140"/>
      <c r="E116" s="140"/>
      <c r="F116" s="143"/>
      <c r="G116" s="143"/>
      <c r="H116" s="141"/>
      <c r="I116" s="123"/>
      <c r="J116" s="123"/>
      <c r="K116" s="140"/>
      <c r="L116" s="141"/>
      <c r="M116" s="123"/>
      <c r="N116" s="123">
        <f t="shared" si="4"/>
        <v>1303.3704</v>
      </c>
      <c r="O116" s="123">
        <f t="shared" si="5"/>
        <v>0.65410000000000001</v>
      </c>
      <c r="P116" s="123">
        <f t="shared" si="7"/>
        <v>852.53457864000006</v>
      </c>
      <c r="Q116" s="164">
        <f t="shared" si="6"/>
        <v>1</v>
      </c>
      <c r="R116" s="165"/>
      <c r="S116" s="165"/>
      <c r="T116" s="126"/>
      <c r="U116" s="137"/>
      <c r="V116" s="138"/>
      <c r="W116" s="137"/>
      <c r="X116" s="138"/>
      <c r="Y116" s="126"/>
      <c r="Z116" s="126"/>
      <c r="AA116" s="126"/>
      <c r="AB116" s="126"/>
      <c r="AC116" s="126"/>
      <c r="AD116" s="126"/>
      <c r="AE116" s="126"/>
      <c r="AF116" s="127"/>
      <c r="AG116" s="127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23"/>
      <c r="B117" s="123"/>
      <c r="C117" s="123"/>
      <c r="D117" s="140"/>
      <c r="E117" s="140"/>
      <c r="F117" s="142"/>
      <c r="G117" s="142"/>
      <c r="H117" s="123"/>
      <c r="I117" s="123"/>
      <c r="J117" s="123"/>
      <c r="K117" s="140"/>
      <c r="L117" s="141"/>
      <c r="M117" s="123"/>
      <c r="N117" s="123">
        <f t="shared" si="4"/>
        <v>0</v>
      </c>
      <c r="O117" s="123">
        <f t="shared" si="5"/>
        <v>0</v>
      </c>
      <c r="P117" s="123">
        <f t="shared" si="7"/>
        <v>0</v>
      </c>
      <c r="Q117" s="164">
        <f t="shared" si="6"/>
        <v>0</v>
      </c>
      <c r="R117" s="165"/>
      <c r="S117" s="165"/>
      <c r="T117" s="126"/>
      <c r="U117" s="137"/>
      <c r="V117" s="138"/>
      <c r="W117" s="137"/>
      <c r="X117" s="138"/>
      <c r="Y117" s="126"/>
      <c r="Z117" s="126"/>
      <c r="AA117" s="126"/>
      <c r="AB117" s="126"/>
      <c r="AC117" s="126"/>
      <c r="AD117" s="126"/>
      <c r="AE117" s="126"/>
      <c r="AF117" s="127"/>
      <c r="AG117" s="127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40"/>
      <c r="L118" s="141"/>
      <c r="M118" s="123"/>
      <c r="N118" s="123">
        <f t="shared" si="4"/>
        <v>9558.0496000000003</v>
      </c>
      <c r="O118" s="123">
        <f t="shared" si="5"/>
        <v>0.65410000000000001</v>
      </c>
      <c r="P118" s="123">
        <f t="shared" si="7"/>
        <v>6251.9202433600003</v>
      </c>
      <c r="Q118" s="164">
        <f t="shared" si="6"/>
        <v>0</v>
      </c>
      <c r="R118" s="165"/>
      <c r="S118" s="165"/>
      <c r="T118" s="126"/>
      <c r="U118" s="137"/>
      <c r="V118" s="138"/>
      <c r="W118" s="137"/>
      <c r="X118" s="138"/>
      <c r="Y118" s="126"/>
      <c r="Z118" s="126"/>
      <c r="AA118" s="126"/>
      <c r="AB118" s="126"/>
      <c r="AC118" s="126"/>
      <c r="AD118" s="126"/>
      <c r="AE118" s="126"/>
      <c r="AF118" s="127"/>
      <c r="AG118" s="127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40"/>
      <c r="L119" s="141"/>
      <c r="M119" s="123"/>
      <c r="N119" s="123">
        <f t="shared" si="4"/>
        <v>0</v>
      </c>
      <c r="O119" s="123">
        <f t="shared" si="5"/>
        <v>0</v>
      </c>
      <c r="P119" s="123">
        <f t="shared" si="7"/>
        <v>0</v>
      </c>
      <c r="Q119" s="164">
        <f t="shared" si="6"/>
        <v>0</v>
      </c>
      <c r="R119" s="165"/>
      <c r="S119" s="165"/>
      <c r="T119" s="126"/>
      <c r="U119" s="137"/>
      <c r="V119" s="138"/>
      <c r="W119" s="137"/>
      <c r="X119" s="138"/>
      <c r="Y119" s="126"/>
      <c r="Z119" s="126"/>
      <c r="AA119" s="126"/>
      <c r="AB119" s="126"/>
      <c r="AC119" s="126"/>
      <c r="AD119" s="126"/>
      <c r="AE119" s="126"/>
      <c r="AF119" s="127"/>
      <c r="AG119" s="127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40"/>
      <c r="L120" s="141"/>
      <c r="M120" s="123"/>
      <c r="N120" s="123">
        <f t="shared" si="4"/>
        <v>0</v>
      </c>
      <c r="O120" s="123">
        <f t="shared" si="5"/>
        <v>0</v>
      </c>
      <c r="P120" s="123">
        <f t="shared" si="7"/>
        <v>0</v>
      </c>
      <c r="Q120" s="164">
        <f t="shared" si="6"/>
        <v>0</v>
      </c>
      <c r="R120" s="165"/>
      <c r="S120" s="165"/>
      <c r="T120" s="126"/>
      <c r="U120" s="137"/>
      <c r="V120" s="138"/>
      <c r="W120" s="137"/>
      <c r="X120" s="138"/>
      <c r="Y120" s="126"/>
      <c r="Z120" s="126"/>
      <c r="AA120" s="126"/>
      <c r="AB120" s="126"/>
      <c r="AC120" s="126"/>
      <c r="AD120" s="126"/>
      <c r="AE120" s="126"/>
      <c r="AF120" s="127"/>
      <c r="AG120" s="127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23"/>
      <c r="B121" s="123"/>
      <c r="C121" s="123"/>
      <c r="D121" s="140"/>
      <c r="E121" s="140"/>
      <c r="F121" s="142"/>
      <c r="G121" s="142"/>
      <c r="H121" s="123"/>
      <c r="I121" s="123"/>
      <c r="J121" s="123"/>
      <c r="K121" s="140"/>
      <c r="L121" s="141"/>
      <c r="M121" s="123"/>
      <c r="N121" s="123">
        <f t="shared" si="4"/>
        <v>1688.6904</v>
      </c>
      <c r="O121" s="123">
        <f t="shared" si="5"/>
        <v>0.64180000000000004</v>
      </c>
      <c r="P121" s="123">
        <f t="shared" si="7"/>
        <v>1083.8014987199999</v>
      </c>
      <c r="Q121" s="164">
        <f t="shared" si="6"/>
        <v>0</v>
      </c>
      <c r="R121" s="165"/>
      <c r="S121" s="165"/>
      <c r="T121" s="126"/>
      <c r="U121" s="137"/>
      <c r="V121" s="138"/>
      <c r="W121" s="137"/>
      <c r="X121" s="138"/>
      <c r="Y121" s="126"/>
      <c r="Z121" s="126"/>
      <c r="AA121" s="126"/>
      <c r="AB121" s="126"/>
      <c r="AC121" s="126"/>
      <c r="AD121" s="126"/>
      <c r="AE121" s="126"/>
      <c r="AF121" s="127"/>
      <c r="AG121" s="127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40"/>
      <c r="L122" s="141"/>
      <c r="M122" s="123"/>
      <c r="N122" s="123">
        <f t="shared" si="4"/>
        <v>0</v>
      </c>
      <c r="O122" s="123">
        <f t="shared" si="5"/>
        <v>0</v>
      </c>
      <c r="P122" s="123">
        <f t="shared" si="7"/>
        <v>0</v>
      </c>
      <c r="Q122" s="164">
        <f t="shared" si="6"/>
        <v>0</v>
      </c>
      <c r="R122" s="165"/>
      <c r="S122" s="165"/>
      <c r="T122" s="126"/>
      <c r="U122" s="137"/>
      <c r="V122" s="138"/>
      <c r="W122" s="137"/>
      <c r="X122" s="138"/>
      <c r="Y122" s="126"/>
      <c r="Z122" s="126"/>
      <c r="AA122" s="126"/>
      <c r="AB122" s="126"/>
      <c r="AC122" s="126"/>
      <c r="AD122" s="126"/>
      <c r="AE122" s="126"/>
      <c r="AF122" s="127"/>
      <c r="AG122" s="127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23"/>
      <c r="B123" s="123"/>
      <c r="C123" s="123"/>
      <c r="D123" s="140"/>
      <c r="E123" s="140"/>
      <c r="F123" s="142"/>
      <c r="G123" s="140"/>
      <c r="H123" s="123"/>
      <c r="I123" s="123"/>
      <c r="J123" s="123"/>
      <c r="K123" s="140"/>
      <c r="L123" s="141"/>
      <c r="M123" s="123"/>
      <c r="N123" s="123">
        <f t="shared" si="4"/>
        <v>11473.344999999999</v>
      </c>
      <c r="O123" s="123">
        <f t="shared" si="5"/>
        <v>0</v>
      </c>
      <c r="P123" s="123">
        <f t="shared" si="7"/>
        <v>0</v>
      </c>
      <c r="Q123" s="164">
        <f t="shared" si="6"/>
        <v>0</v>
      </c>
      <c r="R123" s="165"/>
      <c r="S123" s="165"/>
      <c r="T123" s="126"/>
      <c r="U123" s="137"/>
      <c r="V123" s="138"/>
      <c r="W123" s="137"/>
      <c r="X123" s="138"/>
      <c r="Y123" s="126"/>
      <c r="Z123" s="126"/>
      <c r="AA123" s="126"/>
      <c r="AB123" s="126"/>
      <c r="AC123" s="126"/>
      <c r="AD123" s="126"/>
      <c r="AE123" s="126"/>
      <c r="AF123" s="127"/>
      <c r="AG123" s="127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40"/>
      <c r="L124" s="141"/>
      <c r="M124" s="123"/>
      <c r="N124" s="123">
        <f t="shared" si="4"/>
        <v>0</v>
      </c>
      <c r="O124" s="123">
        <f t="shared" si="5"/>
        <v>0</v>
      </c>
      <c r="P124" s="123">
        <f t="shared" si="7"/>
        <v>0</v>
      </c>
      <c r="Q124" s="164">
        <f t="shared" si="6"/>
        <v>1</v>
      </c>
      <c r="R124" s="165"/>
      <c r="S124" s="165"/>
      <c r="T124" s="126"/>
      <c r="U124" s="137"/>
      <c r="V124" s="138"/>
      <c r="W124" s="137"/>
      <c r="X124" s="138"/>
      <c r="Y124" s="126"/>
      <c r="Z124" s="126"/>
      <c r="AA124" s="126"/>
      <c r="AB124" s="126"/>
      <c r="AC124" s="126"/>
      <c r="AD124" s="126"/>
      <c r="AE124" s="126"/>
      <c r="AF124" s="127"/>
      <c r="AG124" s="127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23"/>
      <c r="B125" s="123"/>
      <c r="C125" s="123"/>
      <c r="D125" s="140"/>
      <c r="E125" s="140"/>
      <c r="F125" s="142"/>
      <c r="G125" s="123"/>
      <c r="H125" s="123"/>
      <c r="I125" s="123"/>
      <c r="J125" s="123"/>
      <c r="K125" s="140"/>
      <c r="L125" s="141"/>
      <c r="M125" s="123"/>
      <c r="N125" s="123">
        <f t="shared" si="4"/>
        <v>0</v>
      </c>
      <c r="O125" s="123">
        <f t="shared" si="5"/>
        <v>0</v>
      </c>
      <c r="P125" s="123">
        <f t="shared" si="7"/>
        <v>0</v>
      </c>
      <c r="Q125" s="164">
        <f t="shared" si="6"/>
        <v>0</v>
      </c>
      <c r="R125" s="165"/>
      <c r="S125" s="165"/>
      <c r="T125" s="126"/>
      <c r="U125" s="137"/>
      <c r="V125" s="138"/>
      <c r="W125" s="137"/>
      <c r="X125" s="138"/>
      <c r="Y125" s="126"/>
      <c r="Z125" s="126"/>
      <c r="AA125" s="126"/>
      <c r="AB125" s="126"/>
      <c r="AC125" s="126"/>
      <c r="AD125" s="126"/>
      <c r="AE125" s="126"/>
      <c r="AF125" s="127"/>
      <c r="AG125" s="127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09" customFormat="1" ht="16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40"/>
      <c r="L126" s="141"/>
      <c r="M126" s="123"/>
      <c r="N126" s="123">
        <f t="shared" si="4"/>
        <v>0</v>
      </c>
      <c r="O126" s="123">
        <f t="shared" si="5"/>
        <v>0</v>
      </c>
      <c r="P126" s="123">
        <f t="shared" si="7"/>
        <v>0</v>
      </c>
      <c r="Q126" s="164">
        <f t="shared" si="6"/>
        <v>0</v>
      </c>
      <c r="R126" s="165"/>
      <c r="S126" s="165"/>
      <c r="T126" s="126"/>
      <c r="U126" s="137"/>
      <c r="V126" s="138"/>
      <c r="W126" s="137"/>
      <c r="X126" s="138"/>
      <c r="Y126" s="126"/>
      <c r="Z126" s="126"/>
      <c r="AA126" s="126"/>
      <c r="AB126" s="126"/>
      <c r="AC126" s="126"/>
      <c r="AD126" s="126"/>
      <c r="AE126" s="126"/>
      <c r="AF126" s="127"/>
      <c r="AG126" s="127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09" customForma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09" customForma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209"/>
      <c r="L129" s="209"/>
      <c r="M129" s="123"/>
      <c r="N129" s="161"/>
      <c r="O129" s="161"/>
      <c r="P129" s="123"/>
      <c r="Q129" s="123"/>
      <c r="R129" s="166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61"/>
      <c r="L130" s="161"/>
      <c r="M130" s="123"/>
      <c r="N130" s="161"/>
      <c r="O130" s="161"/>
      <c r="P130" s="123"/>
      <c r="Q130" s="123"/>
      <c r="R130" s="166"/>
      <c r="S130" s="166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40"/>
      <c r="O131" s="141"/>
      <c r="P131" s="123"/>
      <c r="Q131" s="123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23"/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40"/>
      <c r="O132" s="141"/>
      <c r="P132" s="123"/>
      <c r="Q132" s="123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40"/>
      <c r="O133" s="141"/>
      <c r="P133" s="123"/>
      <c r="Q133" s="12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23"/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40"/>
      <c r="O134" s="141"/>
      <c r="P134" s="123"/>
      <c r="Q134" s="123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23"/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40"/>
      <c r="O135" s="141"/>
      <c r="P135" s="123"/>
      <c r="Q135" s="123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23"/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40"/>
      <c r="O136" s="141"/>
      <c r="P136" s="123"/>
      <c r="Q136" s="123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23"/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40"/>
      <c r="O137" s="141"/>
      <c r="P137" s="123"/>
      <c r="Q137" s="123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23"/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40"/>
      <c r="O138" s="141"/>
      <c r="P138" s="123"/>
      <c r="Q138" s="123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40"/>
      <c r="O139" s="141"/>
      <c r="P139" s="123"/>
      <c r="Q139" s="123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40"/>
      <c r="O140" s="141"/>
      <c r="P140" s="123"/>
      <c r="Q140" s="123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40"/>
      <c r="O141" s="141"/>
      <c r="P141" s="123"/>
      <c r="Q141" s="123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23"/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40"/>
      <c r="O142" s="141"/>
      <c r="P142" s="123"/>
      <c r="Q142" s="123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23"/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40"/>
      <c r="O143" s="141"/>
      <c r="P143" s="123"/>
      <c r="Q143" s="123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23"/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40"/>
      <c r="O144" s="141"/>
      <c r="P144" s="123"/>
      <c r="Q144" s="123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40"/>
      <c r="O145" s="141"/>
      <c r="P145" s="123"/>
      <c r="Q145" s="123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40"/>
      <c r="O146" s="141"/>
      <c r="P146" s="123"/>
      <c r="Q146" s="123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40"/>
      <c r="O147" s="141"/>
      <c r="P147" s="123"/>
      <c r="Q147" s="123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40"/>
      <c r="O148" s="141"/>
      <c r="P148" s="123"/>
      <c r="Q148" s="123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40"/>
      <c r="O149" s="141"/>
      <c r="P149" s="123"/>
      <c r="Q149" s="123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40"/>
      <c r="O150" s="141"/>
      <c r="P150" s="123"/>
      <c r="Q150" s="123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40"/>
      <c r="O151" s="141"/>
      <c r="P151" s="123"/>
      <c r="Q151" s="123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40"/>
      <c r="O152" s="141"/>
      <c r="P152" s="123"/>
      <c r="Q152" s="123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40"/>
      <c r="O153" s="141"/>
      <c r="P153" s="123"/>
      <c r="Q153" s="123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40"/>
      <c r="O154" s="141"/>
      <c r="P154" s="123"/>
      <c r="Q154" s="123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40"/>
      <c r="O155" s="141"/>
      <c r="P155" s="123"/>
      <c r="Q155" s="123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40"/>
      <c r="O156" s="141"/>
      <c r="P156" s="123"/>
      <c r="Q156" s="12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40"/>
      <c r="O157" s="141"/>
      <c r="P157" s="123"/>
      <c r="Q157" s="123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40"/>
      <c r="O158" s="141"/>
      <c r="P158" s="123"/>
      <c r="Q158" s="123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40"/>
      <c r="O159" s="141"/>
      <c r="P159" s="123"/>
      <c r="Q159" s="123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40"/>
      <c r="O160" s="141"/>
      <c r="P160" s="123"/>
      <c r="Q160" s="123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40"/>
      <c r="O161" s="141"/>
      <c r="P161" s="123"/>
      <c r="Q161" s="123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40"/>
      <c r="O162" s="141"/>
      <c r="P162" s="123"/>
      <c r="Q162" s="123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40"/>
      <c r="O163" s="141"/>
      <c r="P163" s="123"/>
      <c r="Q163" s="123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40"/>
      <c r="O164" s="141"/>
      <c r="P164" s="123"/>
      <c r="Q164" s="123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40"/>
      <c r="O165" s="141"/>
      <c r="P165" s="123"/>
      <c r="Q165" s="123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40"/>
      <c r="O166" s="141"/>
      <c r="P166" s="123"/>
      <c r="Q166" s="123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40"/>
      <c r="O167" s="141"/>
      <c r="P167" s="123"/>
      <c r="Q167" s="123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40"/>
      <c r="O168" s="141"/>
      <c r="P168" s="123"/>
      <c r="Q168" s="123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40"/>
      <c r="O169" s="141"/>
      <c r="P169" s="123"/>
      <c r="Q169" s="123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40"/>
      <c r="O170" s="141"/>
      <c r="P170" s="123"/>
      <c r="Q170" s="123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40"/>
      <c r="O171" s="141"/>
      <c r="P171" s="123"/>
      <c r="Q171" s="123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40"/>
      <c r="O172" s="141"/>
      <c r="P172" s="123"/>
      <c r="Q172" s="123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09" customForma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40"/>
      <c r="O173" s="141"/>
      <c r="P173" s="123"/>
      <c r="Q173" s="123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09" customForma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40"/>
      <c r="O174" s="141"/>
      <c r="P174" s="123"/>
      <c r="Q174" s="123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40"/>
      <c r="O175" s="141"/>
      <c r="P175" s="123"/>
      <c r="Q175" s="123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40"/>
      <c r="O176" s="141"/>
      <c r="P176" s="123"/>
      <c r="Q176" s="123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40"/>
      <c r="O177" s="141"/>
      <c r="P177" s="123"/>
      <c r="Q177" s="123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40"/>
      <c r="O178" s="141"/>
      <c r="P178" s="123"/>
      <c r="Q178" s="123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40"/>
      <c r="O179" s="141"/>
      <c r="P179" s="123"/>
      <c r="Q179" s="123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40"/>
      <c r="O180" s="141"/>
      <c r="P180" s="123"/>
      <c r="Q180" s="123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40"/>
      <c r="O181" s="141"/>
      <c r="P181" s="123"/>
      <c r="Q181" s="123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40"/>
      <c r="O182" s="141"/>
      <c r="P182" s="123"/>
      <c r="Q182" s="123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40"/>
      <c r="O183" s="141"/>
      <c r="P183" s="123"/>
      <c r="Q183" s="123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40"/>
      <c r="O184" s="141"/>
      <c r="P184" s="123"/>
      <c r="Q184" s="123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40"/>
      <c r="O185" s="141"/>
      <c r="P185" s="123"/>
      <c r="Q185" s="123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40"/>
      <c r="O186" s="141"/>
      <c r="P186" s="123"/>
      <c r="Q186" s="123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40"/>
      <c r="O187" s="141"/>
      <c r="P187" s="123"/>
      <c r="Q187" s="123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40"/>
      <c r="O188" s="141"/>
      <c r="P188" s="123"/>
      <c r="Q188" s="123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40"/>
      <c r="O189" s="141"/>
      <c r="P189" s="123"/>
      <c r="Q189" s="123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40"/>
      <c r="O190" s="141"/>
      <c r="P190" s="123"/>
      <c r="Q190" s="123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61"/>
      <c r="L195" s="161"/>
      <c r="M195" s="123"/>
      <c r="N195" s="123"/>
      <c r="O195" s="123"/>
      <c r="P195" s="123"/>
      <c r="Q195" s="123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61"/>
      <c r="L196" s="161"/>
      <c r="M196" s="123"/>
      <c r="N196" s="123"/>
      <c r="O196" s="123"/>
      <c r="P196" s="123"/>
      <c r="Q196" s="123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26"/>
      <c r="E236" s="126"/>
      <c r="F236" s="126"/>
      <c r="G236" s="126"/>
      <c r="H236" s="126"/>
      <c r="I236" s="126"/>
      <c r="J236" s="126"/>
      <c r="K236" s="126"/>
      <c r="L236" s="126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26"/>
      <c r="E237" s="126"/>
      <c r="F237" s="126"/>
      <c r="G237" s="126"/>
      <c r="H237" s="126"/>
      <c r="I237" s="126"/>
      <c r="J237" s="126"/>
      <c r="K237" s="126"/>
      <c r="L237" s="126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26"/>
      <c r="E238" s="126"/>
      <c r="F238" s="126"/>
      <c r="G238" s="126"/>
      <c r="H238" s="126"/>
      <c r="I238" s="126"/>
      <c r="J238" s="126"/>
      <c r="K238" s="126"/>
      <c r="L238" s="126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26"/>
      <c r="E239" s="126"/>
      <c r="F239" s="126"/>
      <c r="G239" s="126"/>
      <c r="H239" s="126"/>
      <c r="I239" s="126"/>
      <c r="J239" s="126"/>
      <c r="K239" s="126"/>
      <c r="L239" s="126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26"/>
      <c r="E240" s="126"/>
      <c r="F240" s="126"/>
      <c r="G240" s="126"/>
      <c r="H240" s="126"/>
      <c r="I240" s="126"/>
      <c r="J240" s="126"/>
      <c r="K240" s="126"/>
      <c r="L240" s="126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26"/>
      <c r="E241" s="126"/>
      <c r="F241" s="126"/>
      <c r="G241" s="126"/>
      <c r="H241" s="126"/>
      <c r="I241" s="126"/>
      <c r="J241" s="126"/>
      <c r="K241" s="126"/>
      <c r="L241" s="126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26"/>
      <c r="E242" s="126"/>
      <c r="F242" s="126"/>
      <c r="G242" s="126"/>
      <c r="H242" s="126"/>
      <c r="I242" s="126"/>
      <c r="J242" s="126"/>
      <c r="K242" s="126"/>
      <c r="L242" s="126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26"/>
      <c r="E243" s="126"/>
      <c r="F243" s="126"/>
      <c r="G243" s="126"/>
      <c r="H243" s="126"/>
      <c r="I243" s="126"/>
      <c r="J243" s="126"/>
      <c r="K243" s="126"/>
      <c r="L243" s="126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26"/>
      <c r="E244" s="126"/>
      <c r="F244" s="126"/>
      <c r="G244" s="126"/>
      <c r="H244" s="126"/>
      <c r="I244" s="126"/>
      <c r="J244" s="126"/>
      <c r="K244" s="126"/>
      <c r="L244" s="126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26"/>
      <c r="E245" s="126"/>
      <c r="F245" s="126"/>
      <c r="G245" s="126"/>
      <c r="H245" s="126"/>
      <c r="I245" s="126"/>
      <c r="J245" s="126"/>
      <c r="K245" s="126"/>
      <c r="L245" s="126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26"/>
      <c r="E246" s="126"/>
      <c r="F246" s="126"/>
      <c r="G246" s="126"/>
      <c r="H246" s="126"/>
      <c r="I246" s="126"/>
      <c r="J246" s="126"/>
      <c r="K246" s="126"/>
      <c r="L246" s="126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26"/>
      <c r="E247" s="126"/>
      <c r="F247" s="126"/>
      <c r="G247" s="126"/>
      <c r="H247" s="126"/>
      <c r="I247" s="126"/>
      <c r="J247" s="126"/>
      <c r="K247" s="126"/>
      <c r="L247" s="126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26"/>
      <c r="E248" s="126"/>
      <c r="F248" s="126"/>
      <c r="G248" s="126"/>
      <c r="H248" s="126"/>
      <c r="I248" s="126"/>
      <c r="J248" s="126"/>
      <c r="K248" s="126"/>
      <c r="L248" s="126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26"/>
      <c r="E249" s="126"/>
      <c r="F249" s="126"/>
      <c r="G249" s="126"/>
      <c r="H249" s="126"/>
      <c r="I249" s="126"/>
      <c r="J249" s="126"/>
      <c r="K249" s="126"/>
      <c r="L249" s="126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26"/>
      <c r="E250" s="126"/>
      <c r="F250" s="126"/>
      <c r="G250" s="126"/>
      <c r="H250" s="126"/>
      <c r="I250" s="126"/>
      <c r="J250" s="126"/>
      <c r="K250" s="126"/>
      <c r="L250" s="126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26"/>
      <c r="E251" s="126"/>
      <c r="F251" s="126"/>
      <c r="G251" s="126"/>
      <c r="H251" s="126"/>
      <c r="I251" s="126"/>
      <c r="J251" s="126"/>
      <c r="K251" s="126"/>
      <c r="L251" s="126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26"/>
      <c r="E252" s="126"/>
      <c r="F252" s="126"/>
      <c r="G252" s="126"/>
      <c r="H252" s="126"/>
      <c r="I252" s="126"/>
      <c r="J252" s="126"/>
      <c r="K252" s="126"/>
      <c r="L252" s="126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26"/>
      <c r="E253" s="126"/>
      <c r="F253" s="126"/>
      <c r="G253" s="126"/>
      <c r="H253" s="126"/>
      <c r="I253" s="126"/>
      <c r="J253" s="126"/>
      <c r="K253" s="126"/>
      <c r="L253" s="126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26"/>
      <c r="E254" s="126"/>
      <c r="F254" s="126"/>
      <c r="G254" s="126"/>
      <c r="H254" s="126"/>
      <c r="I254" s="126"/>
      <c r="J254" s="126"/>
      <c r="K254" s="126"/>
      <c r="L254" s="126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26"/>
      <c r="E255" s="126"/>
      <c r="F255" s="126"/>
      <c r="G255" s="126"/>
      <c r="H255" s="126"/>
      <c r="I255" s="126"/>
      <c r="J255" s="126"/>
      <c r="K255" s="126"/>
      <c r="L255" s="126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26"/>
      <c r="E256" s="126"/>
      <c r="F256" s="126"/>
      <c r="G256" s="126"/>
      <c r="H256" s="126"/>
      <c r="I256" s="126"/>
      <c r="J256" s="126"/>
      <c r="K256" s="126"/>
      <c r="L256" s="126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44" zoomScale="160" zoomScaleNormal="160" workbookViewId="0">
      <selection activeCell="B2" sqref="B2:B61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20"/>
      <c r="B1" s="160" t="s">
        <v>33</v>
      </c>
      <c r="C1" s="160" t="s">
        <v>9</v>
      </c>
      <c r="D1" s="20" t="s">
        <v>145</v>
      </c>
    </row>
    <row r="2" spans="1:4">
      <c r="A2" s="145" t="s">
        <v>96</v>
      </c>
      <c r="B2" s="170">
        <f>Utilidad!A1</f>
        <v>261455.17020557521</v>
      </c>
      <c r="C2" s="119">
        <f>Utilidad!B1</f>
        <v>0.58909999999999996</v>
      </c>
      <c r="D2" s="167">
        <f>(0.83)%</f>
        <v>8.3000000000000001E-3</v>
      </c>
    </row>
    <row r="3" spans="1:4">
      <c r="A3" s="146" t="s">
        <v>97</v>
      </c>
      <c r="B3" s="170">
        <f>Utilidad!A2</f>
        <v>11473.344999999999</v>
      </c>
      <c r="C3" s="119">
        <f>Utilidad!B2</f>
        <v>0.62939999999999996</v>
      </c>
      <c r="D3" s="167">
        <f>0.0072</f>
        <v>7.1999999999999998E-3</v>
      </c>
    </row>
    <row r="4" spans="1:4">
      <c r="A4" s="146" t="s">
        <v>98</v>
      </c>
      <c r="B4" s="170">
        <f>Utilidad!A3</f>
        <v>249981.82520557521</v>
      </c>
      <c r="C4" s="119">
        <f>Utilidad!B3</f>
        <v>0.58720000000000006</v>
      </c>
      <c r="D4" s="167">
        <f>0.0089</f>
        <v>8.8999999999999999E-3</v>
      </c>
    </row>
    <row r="5" spans="1:4">
      <c r="A5" s="146" t="s">
        <v>99</v>
      </c>
      <c r="B5" s="170">
        <f>Utilidad!A4</f>
        <v>-4116.7369201152997</v>
      </c>
      <c r="C5" s="119">
        <f>Utilidad!B4</f>
        <v>0.6</v>
      </c>
      <c r="D5" s="167">
        <f>0.0089</f>
        <v>8.8999999999999999E-3</v>
      </c>
    </row>
    <row r="6" spans="1:4">
      <c r="A6" s="146" t="s">
        <v>100</v>
      </c>
      <c r="B6" s="170">
        <f>Utilidad!A5</f>
        <v>254098.5621256904</v>
      </c>
      <c r="C6" s="119">
        <f>Utilidad!B5</f>
        <v>0.6</v>
      </c>
      <c r="D6" s="167">
        <f>0.0076</f>
        <v>7.6E-3</v>
      </c>
    </row>
    <row r="7" spans="1:4">
      <c r="A7" s="146" t="s">
        <v>29</v>
      </c>
      <c r="B7" s="170">
        <f>Utilidad!A6</f>
        <v>693.98717870610005</v>
      </c>
      <c r="C7" s="119">
        <f>Utilidad!B6</f>
        <v>0.6</v>
      </c>
      <c r="D7" s="167">
        <f t="shared" ref="D7:D61" si="0">0.0072</f>
        <v>7.1999999999999998E-3</v>
      </c>
    </row>
    <row r="8" spans="1:4">
      <c r="A8" s="146" t="s">
        <v>101</v>
      </c>
      <c r="B8" s="170">
        <f>Utilidad!A7</f>
        <v>253404.5749469843</v>
      </c>
      <c r="C8" s="119">
        <f>Utilidad!B7</f>
        <v>0.6</v>
      </c>
      <c r="D8" s="167">
        <f t="shared" si="0"/>
        <v>7.1999999999999998E-3</v>
      </c>
    </row>
    <row r="9" spans="1:4">
      <c r="A9" s="146" t="s">
        <v>102</v>
      </c>
      <c r="B9" s="170">
        <f>Utilidad!A8</f>
        <v>1500</v>
      </c>
      <c r="C9" s="119">
        <f>Utilidad!B8</f>
        <v>0.6</v>
      </c>
      <c r="D9" s="167">
        <f t="shared" si="0"/>
        <v>7.1999999999999998E-3</v>
      </c>
    </row>
    <row r="10" spans="1:4">
      <c r="A10" s="146" t="s">
        <v>103</v>
      </c>
      <c r="B10" s="170">
        <f>Utilidad!A9</f>
        <v>43011</v>
      </c>
      <c r="C10" s="119">
        <f>Utilidad!B9</f>
        <v>9.9900000000000003E-2</v>
      </c>
      <c r="D10" s="167">
        <v>0</v>
      </c>
    </row>
    <row r="11" spans="1:4">
      <c r="A11" s="146" t="s">
        <v>104</v>
      </c>
      <c r="B11" s="170">
        <f>Utilidad!A10</f>
        <v>208893.5749469843</v>
      </c>
      <c r="C11" s="119">
        <f>Utilidad!B10</f>
        <v>0.68630000000000002</v>
      </c>
      <c r="D11" s="167">
        <f t="shared" si="0"/>
        <v>7.1999999999999998E-3</v>
      </c>
    </row>
    <row r="12" spans="1:4">
      <c r="A12" s="146" t="s">
        <v>105</v>
      </c>
      <c r="B12" s="170">
        <f>Utilidad!A11</f>
        <v>-870</v>
      </c>
      <c r="C12" s="119">
        <f>Utilidad!B11</f>
        <v>0.68469999999999998</v>
      </c>
      <c r="D12" s="167">
        <f>0</f>
        <v>0</v>
      </c>
    </row>
    <row r="13" spans="1:4" ht="16" thickBot="1">
      <c r="A13" s="147" t="s">
        <v>106</v>
      </c>
      <c r="B13" s="170">
        <f>Utilidad!A12</f>
        <v>0</v>
      </c>
      <c r="C13" s="119">
        <f>Utilidad!B12</f>
        <v>0</v>
      </c>
      <c r="D13" s="167">
        <f t="shared" si="0"/>
        <v>7.1999999999999998E-3</v>
      </c>
    </row>
    <row r="14" spans="1:4">
      <c r="A14" s="121" t="s">
        <v>107</v>
      </c>
      <c r="B14" s="170">
        <f>Utilidad!A13</f>
        <v>209763.5749469843</v>
      </c>
      <c r="C14" s="119">
        <f>Utilidad!B13</f>
        <v>0.68479999999999996</v>
      </c>
      <c r="D14" s="167">
        <f t="shared" si="0"/>
        <v>7.1999999999999998E-3</v>
      </c>
    </row>
    <row r="15" spans="1:4">
      <c r="A15" s="121" t="s">
        <v>108</v>
      </c>
      <c r="B15" s="170">
        <f>Utilidad!A14</f>
        <v>84629.508799999996</v>
      </c>
      <c r="C15" s="119">
        <f>Utilidad!B14</f>
        <v>0.68479999999999996</v>
      </c>
      <c r="D15" s="167">
        <f t="shared" si="0"/>
        <v>7.1999999999999998E-3</v>
      </c>
    </row>
    <row r="16" spans="1:4">
      <c r="A16" s="121" t="s">
        <v>109</v>
      </c>
      <c r="B16" s="170">
        <f>Utilidad!A15</f>
        <v>125134.0661469843</v>
      </c>
      <c r="C16" s="119">
        <f>Utilidad!B15</f>
        <v>0.68479999999999996</v>
      </c>
      <c r="D16" s="167">
        <f t="shared" si="0"/>
        <v>7.1999999999999998E-3</v>
      </c>
    </row>
    <row r="17" spans="1:4">
      <c r="A17" s="121" t="s">
        <v>110</v>
      </c>
      <c r="B17" s="170">
        <f>Utilidad!A16</f>
        <v>0</v>
      </c>
      <c r="C17" s="119">
        <f>Utilidad!B16</f>
        <v>0</v>
      </c>
      <c r="D17" s="167">
        <f t="shared" si="0"/>
        <v>7.1999999999999998E-3</v>
      </c>
    </row>
    <row r="18" spans="1:4">
      <c r="A18" s="121" t="s">
        <v>111</v>
      </c>
      <c r="B18" s="170">
        <f>Utilidad!A17</f>
        <v>1151.136</v>
      </c>
      <c r="C18" s="119">
        <f>Utilidad!B17</f>
        <v>0.68479999999999996</v>
      </c>
      <c r="D18" s="167">
        <f t="shared" si="0"/>
        <v>7.1999999999999998E-3</v>
      </c>
    </row>
    <row r="19" spans="1:4">
      <c r="A19" s="121" t="s">
        <v>12</v>
      </c>
      <c r="B19" s="170">
        <f>Utilidad!A18</f>
        <v>0</v>
      </c>
      <c r="C19" s="119">
        <f>Utilidad!B18</f>
        <v>0</v>
      </c>
      <c r="D19" s="167">
        <f t="shared" si="0"/>
        <v>7.1999999999999998E-3</v>
      </c>
    </row>
    <row r="20" spans="1:4">
      <c r="A20" s="121" t="s">
        <v>112</v>
      </c>
      <c r="B20" s="170">
        <f>Utilidad!A19</f>
        <v>0</v>
      </c>
      <c r="C20" s="119">
        <f>Utilidad!B19</f>
        <v>0</v>
      </c>
      <c r="D20" s="167">
        <f t="shared" si="0"/>
        <v>7.1999999999999998E-3</v>
      </c>
    </row>
    <row r="21" spans="1:4">
      <c r="A21" s="121" t="s">
        <v>113</v>
      </c>
      <c r="B21" s="170">
        <f>Utilidad!A20</f>
        <v>1151.136</v>
      </c>
      <c r="C21" s="119">
        <f>Utilidad!B20</f>
        <v>0.68469999999999998</v>
      </c>
      <c r="D21" s="167">
        <f t="shared" si="0"/>
        <v>7.1999999999999998E-3</v>
      </c>
    </row>
    <row r="22" spans="1:4">
      <c r="A22" s="121" t="s">
        <v>114</v>
      </c>
      <c r="B22" s="170">
        <f>Utilidad!A21</f>
        <v>83478.372799999997</v>
      </c>
      <c r="C22" s="119">
        <f>Utilidad!B21</f>
        <v>0.68469999999999998</v>
      </c>
      <c r="D22" s="167">
        <f>0.00871</f>
        <v>8.7100000000000007E-3</v>
      </c>
    </row>
    <row r="23" spans="1:4">
      <c r="A23" s="121" t="s">
        <v>13</v>
      </c>
      <c r="B23" s="170">
        <f>Utilidad!A22</f>
        <v>87216.858032629694</v>
      </c>
      <c r="C23" s="119">
        <f>Utilidad!B22</f>
        <v>0.68469999999999998</v>
      </c>
      <c r="D23" s="167">
        <f t="shared" si="0"/>
        <v>7.1999999999999998E-3</v>
      </c>
    </row>
    <row r="24" spans="1:4">
      <c r="A24" s="121" t="s">
        <v>115</v>
      </c>
      <c r="B24" s="170">
        <f>Utilidad!A23</f>
        <v>0</v>
      </c>
      <c r="C24" s="119">
        <f>Utilidad!B23</f>
        <v>0</v>
      </c>
      <c r="D24" s="167">
        <f>0.0816</f>
        <v>8.1600000000000006E-2</v>
      </c>
    </row>
    <row r="25" spans="1:4" ht="16" thickBot="1">
      <c r="A25" s="148" t="s">
        <v>116</v>
      </c>
      <c r="B25" s="170">
        <f>Utilidad!A24</f>
        <v>7011</v>
      </c>
      <c r="C25" s="119">
        <f>Utilidad!B24</f>
        <v>0</v>
      </c>
      <c r="D25" s="167">
        <f t="shared" si="0"/>
        <v>7.1999999999999998E-3</v>
      </c>
    </row>
    <row r="26" spans="1:4">
      <c r="A26" s="149" t="s">
        <v>117</v>
      </c>
      <c r="B26" s="170">
        <f>Utilidad!A25</f>
        <v>132145.06614698429</v>
      </c>
      <c r="C26" s="119">
        <f>Utilidad!B25</f>
        <v>0.64849999999999997</v>
      </c>
      <c r="D26" s="167">
        <f t="shared" si="0"/>
        <v>7.1999999999999998E-3</v>
      </c>
    </row>
    <row r="27" spans="1:4">
      <c r="A27" s="149" t="s">
        <v>118</v>
      </c>
      <c r="B27" s="170">
        <f>Utilidad!A26</f>
        <v>11983.055953228601</v>
      </c>
      <c r="C27" s="119">
        <f>Utilidad!B26</f>
        <v>0.64359999999999995</v>
      </c>
      <c r="D27" s="167">
        <f t="shared" si="0"/>
        <v>7.1999999999999998E-3</v>
      </c>
    </row>
    <row r="28" spans="1:4">
      <c r="A28" s="149" t="s">
        <v>68</v>
      </c>
      <c r="B28" s="170">
        <f>Utilidad!A27</f>
        <v>13097.735953228599</v>
      </c>
      <c r="C28" s="119">
        <f>Utilidad!B27</f>
        <v>0</v>
      </c>
      <c r="D28" s="167">
        <f t="shared" si="0"/>
        <v>7.1999999999999998E-3</v>
      </c>
    </row>
    <row r="29" spans="1:4">
      <c r="A29" s="149" t="s">
        <v>119</v>
      </c>
      <c r="B29" s="170">
        <f>Utilidad!A28</f>
        <v>1189.3055953229</v>
      </c>
      <c r="C29" s="119">
        <f>Utilidad!B28</f>
        <v>0.64359999999999995</v>
      </c>
      <c r="D29" s="167">
        <f t="shared" si="0"/>
        <v>7.1999999999999998E-3</v>
      </c>
    </row>
    <row r="30" spans="1:4">
      <c r="A30" s="149" t="s">
        <v>65</v>
      </c>
      <c r="B30" s="170">
        <f>Utilidad!A29</f>
        <v>1189.3055953229</v>
      </c>
      <c r="C30" s="119">
        <f>Utilidad!B29</f>
        <v>0.65410000000000001</v>
      </c>
      <c r="D30" s="167">
        <f t="shared" si="0"/>
        <v>7.1999999999999998E-3</v>
      </c>
    </row>
    <row r="31" spans="1:4">
      <c r="A31" s="149" t="s">
        <v>120</v>
      </c>
      <c r="B31" s="170">
        <f>Utilidad!A30</f>
        <v>1000</v>
      </c>
      <c r="C31" s="119">
        <f>Utilidad!B30</f>
        <v>0</v>
      </c>
      <c r="D31" s="167">
        <f t="shared" si="0"/>
        <v>7.1999999999999998E-3</v>
      </c>
    </row>
    <row r="32" spans="1:4" ht="16" thickBot="1">
      <c r="A32" s="150" t="s">
        <v>121</v>
      </c>
      <c r="B32" s="170">
        <f>Utilidad!A31</f>
        <v>3287.8954015671002</v>
      </c>
      <c r="C32" s="119">
        <f>Utilidad!B31</f>
        <v>0.64359999999999995</v>
      </c>
      <c r="D32" s="167">
        <f t="shared" si="0"/>
        <v>7.1999999999999998E-3</v>
      </c>
    </row>
    <row r="33" spans="1:4">
      <c r="A33" s="151" t="s">
        <v>122</v>
      </c>
      <c r="B33" s="170">
        <f>Utilidad!A32</f>
        <v>123260.6</v>
      </c>
      <c r="C33" s="119">
        <f>Utilidad!B32</f>
        <v>0.65410000000000001</v>
      </c>
      <c r="D33" s="167">
        <f t="shared" si="0"/>
        <v>7.1999999999999998E-3</v>
      </c>
    </row>
    <row r="34" spans="1:4">
      <c r="A34" s="152" t="s">
        <v>123</v>
      </c>
      <c r="B34" s="170">
        <f>Utilidad!A33</f>
        <v>0</v>
      </c>
      <c r="C34" s="119">
        <f>Utilidad!B33</f>
        <v>0</v>
      </c>
      <c r="D34" s="167">
        <f t="shared" si="0"/>
        <v>7.1999999999999998E-3</v>
      </c>
    </row>
    <row r="35" spans="1:4">
      <c r="A35" s="152" t="s">
        <v>30</v>
      </c>
      <c r="B35" s="170">
        <f>Utilidad!A34</f>
        <v>-3287.8954015671002</v>
      </c>
      <c r="C35" s="119">
        <f>Utilidad!B34</f>
        <v>0</v>
      </c>
      <c r="D35" s="167">
        <f t="shared" si="0"/>
        <v>7.1999999999999998E-3</v>
      </c>
    </row>
    <row r="36" spans="1:4">
      <c r="A36" s="152" t="s">
        <v>124</v>
      </c>
      <c r="B36" s="170">
        <f>Utilidad!A35</f>
        <v>4312.5021039050998</v>
      </c>
      <c r="C36" s="119">
        <f>Utilidad!B35</f>
        <v>0.65410000000000001</v>
      </c>
      <c r="D36" s="167">
        <f>0.005</f>
        <v>5.0000000000000001E-3</v>
      </c>
    </row>
    <row r="37" spans="1:4">
      <c r="A37" s="152" t="s">
        <v>66</v>
      </c>
      <c r="B37" s="170">
        <f>Utilidad!A36</f>
        <v>-6548.9178960949002</v>
      </c>
      <c r="C37" s="119">
        <f>Utilidad!B36</f>
        <v>0</v>
      </c>
      <c r="D37" s="167">
        <v>0</v>
      </c>
    </row>
    <row r="38" spans="1:4">
      <c r="A38" s="152" t="s">
        <v>125</v>
      </c>
      <c r="B38" s="170">
        <f>Utilidad!A37</f>
        <v>108207.245</v>
      </c>
      <c r="C38" s="119">
        <f>Utilidad!B37</f>
        <v>0.65410000000000001</v>
      </c>
      <c r="D38" s="167">
        <f>0.005</f>
        <v>5.0000000000000001E-3</v>
      </c>
    </row>
    <row r="39" spans="1:4">
      <c r="A39" s="152" t="s">
        <v>15</v>
      </c>
      <c r="B39" s="170">
        <f>Utilidad!A38</f>
        <v>117765.29459999999</v>
      </c>
      <c r="C39" s="119">
        <f>Utilidad!B38</f>
        <v>0.65539999999999998</v>
      </c>
      <c r="D39" s="167">
        <f>0.005</f>
        <v>5.0000000000000001E-3</v>
      </c>
    </row>
    <row r="40" spans="1:4" ht="16" thickBot="1">
      <c r="A40" s="153" t="s">
        <v>126</v>
      </c>
      <c r="B40" s="170">
        <f>Utilidad!A39</f>
        <v>0</v>
      </c>
      <c r="C40" s="119">
        <f>Utilidad!B39</f>
        <v>0</v>
      </c>
      <c r="D40" s="167">
        <f>0.0096</f>
        <v>9.5999999999999992E-3</v>
      </c>
    </row>
    <row r="41" spans="1:4">
      <c r="A41" s="121" t="s">
        <v>127</v>
      </c>
      <c r="B41" s="170">
        <f>Utilidad!A40</f>
        <v>1926.6</v>
      </c>
      <c r="C41" s="119">
        <f>Utilidad!B40</f>
        <v>0.57999999999999996</v>
      </c>
      <c r="D41" s="167">
        <f t="shared" si="0"/>
        <v>7.1999999999999998E-3</v>
      </c>
    </row>
    <row r="42" spans="1:4">
      <c r="A42" s="121" t="s">
        <v>128</v>
      </c>
      <c r="B42" s="170">
        <f>Utilidad!A41</f>
        <v>1541.28</v>
      </c>
      <c r="C42" s="119">
        <f>Utilidad!B41</f>
        <v>0.57999999999999996</v>
      </c>
      <c r="D42" s="167">
        <f t="shared" si="0"/>
        <v>7.1999999999999998E-3</v>
      </c>
    </row>
    <row r="43" spans="1:4">
      <c r="A43" s="121" t="s">
        <v>129</v>
      </c>
      <c r="B43" s="170">
        <f>Utilidad!A42</f>
        <v>385.32</v>
      </c>
      <c r="C43" s="119">
        <f>Utilidad!B42</f>
        <v>0.60029999999999994</v>
      </c>
      <c r="D43" s="167">
        <f t="shared" si="0"/>
        <v>7.1999999999999998E-3</v>
      </c>
    </row>
    <row r="44" spans="1:4">
      <c r="A44" s="121" t="s">
        <v>130</v>
      </c>
      <c r="B44" s="170">
        <f>Utilidad!A43</f>
        <v>385.32</v>
      </c>
      <c r="C44" s="119">
        <f>Utilidad!B43</f>
        <v>0.60029999999999994</v>
      </c>
      <c r="D44" s="167">
        <f t="shared" si="0"/>
        <v>7.1999999999999998E-3</v>
      </c>
    </row>
    <row r="45" spans="1:4" ht="16" thickBot="1">
      <c r="A45" s="121" t="s">
        <v>131</v>
      </c>
      <c r="B45" s="170">
        <f>Utilidad!A44</f>
        <v>0</v>
      </c>
      <c r="C45" s="119">
        <f>Utilidad!B44</f>
        <v>0</v>
      </c>
      <c r="D45" s="167">
        <f t="shared" si="0"/>
        <v>7.1999999999999998E-3</v>
      </c>
    </row>
    <row r="46" spans="1:4">
      <c r="A46" s="154" t="s">
        <v>132</v>
      </c>
      <c r="B46" s="170">
        <f>Utilidad!A45</f>
        <v>0</v>
      </c>
      <c r="C46" s="119">
        <f>Utilidad!B45</f>
        <v>0</v>
      </c>
      <c r="D46" s="167">
        <f t="shared" si="0"/>
        <v>7.1999999999999998E-3</v>
      </c>
    </row>
    <row r="47" spans="1:4">
      <c r="A47" s="155" t="s">
        <v>133</v>
      </c>
      <c r="B47" s="170">
        <f>Utilidad!A46</f>
        <v>0</v>
      </c>
      <c r="C47" s="119">
        <f>Utilidad!B46</f>
        <v>0</v>
      </c>
      <c r="D47" s="167">
        <f t="shared" si="0"/>
        <v>7.1999999999999998E-3</v>
      </c>
    </row>
    <row r="48" spans="1:4">
      <c r="A48" s="155" t="s">
        <v>134</v>
      </c>
      <c r="B48" s="170">
        <f>Utilidad!A47</f>
        <v>0</v>
      </c>
      <c r="C48" s="119">
        <f>Utilidad!B47</f>
        <v>0.60029999999999994</v>
      </c>
      <c r="D48" s="167">
        <f t="shared" si="0"/>
        <v>7.1999999999999998E-3</v>
      </c>
    </row>
    <row r="49" spans="1:4" ht="16" thickBot="1">
      <c r="A49" s="156" t="s">
        <v>135</v>
      </c>
      <c r="B49" s="170">
        <f>Utilidad!A48</f>
        <v>0</v>
      </c>
      <c r="C49" s="119">
        <f>Utilidad!B48</f>
        <v>0</v>
      </c>
      <c r="D49" s="167">
        <f t="shared" si="0"/>
        <v>7.1999999999999998E-3</v>
      </c>
    </row>
    <row r="50" spans="1:4">
      <c r="A50" s="157" t="s">
        <v>136</v>
      </c>
      <c r="B50" s="170">
        <f>Utilidad!A49</f>
        <v>10861.42</v>
      </c>
      <c r="C50" s="119">
        <f>Utilidad!B49</f>
        <v>0.65410000000000001</v>
      </c>
      <c r="D50" s="167">
        <f t="shared" si="0"/>
        <v>7.1999999999999998E-3</v>
      </c>
    </row>
    <row r="51" spans="1:4">
      <c r="A51" s="158" t="s">
        <v>137</v>
      </c>
      <c r="B51" s="170">
        <f>Utilidad!A50</f>
        <v>1303.3704</v>
      </c>
      <c r="C51" s="119">
        <f>Utilidad!B50</f>
        <v>0.65410000000000001</v>
      </c>
      <c r="D51" s="167">
        <f t="shared" si="0"/>
        <v>7.1999999999999998E-3</v>
      </c>
    </row>
    <row r="52" spans="1:4">
      <c r="A52" s="158" t="s">
        <v>138</v>
      </c>
      <c r="B52" s="170">
        <f>Utilidad!A51</f>
        <v>0</v>
      </c>
      <c r="C52" s="119">
        <f>Utilidad!B51</f>
        <v>0</v>
      </c>
      <c r="D52" s="167">
        <f t="shared" si="0"/>
        <v>7.1999999999999998E-3</v>
      </c>
    </row>
    <row r="53" spans="1:4" ht="16" thickBot="1">
      <c r="A53" s="159" t="s">
        <v>139</v>
      </c>
      <c r="B53" s="170">
        <f>Utilidad!A52</f>
        <v>9558.0496000000003</v>
      </c>
      <c r="C53" s="119">
        <f>Utilidad!B52</f>
        <v>0.65410000000000001</v>
      </c>
      <c r="D53" s="167">
        <f t="shared" si="0"/>
        <v>7.1999999999999998E-3</v>
      </c>
    </row>
    <row r="54" spans="1:4">
      <c r="A54" s="121" t="s">
        <v>140</v>
      </c>
      <c r="B54" s="170">
        <f>Utilidad!A53</f>
        <v>0</v>
      </c>
      <c r="C54" s="119">
        <f>Utilidad!B53</f>
        <v>0</v>
      </c>
      <c r="D54" s="167">
        <f>0.05</f>
        <v>0.05</v>
      </c>
    </row>
    <row r="55" spans="1:4">
      <c r="A55" s="121" t="s">
        <v>141</v>
      </c>
      <c r="B55" s="170">
        <f>Utilidad!A54</f>
        <v>0</v>
      </c>
      <c r="C55" s="119">
        <f>Utilidad!B54</f>
        <v>0</v>
      </c>
      <c r="D55" s="167">
        <f t="shared" si="0"/>
        <v>7.1999999999999998E-3</v>
      </c>
    </row>
    <row r="56" spans="1:4">
      <c r="A56" s="121" t="s">
        <v>14</v>
      </c>
      <c r="B56" s="170">
        <f>Utilidad!A55</f>
        <v>1688.6904</v>
      </c>
      <c r="C56" s="119">
        <f>Utilidad!B55</f>
        <v>0.64180000000000004</v>
      </c>
      <c r="D56" s="167">
        <f>0.05</f>
        <v>0.05</v>
      </c>
    </row>
    <row r="57" spans="1:4">
      <c r="A57" s="121" t="s">
        <v>142</v>
      </c>
      <c r="B57" s="170">
        <f>Utilidad!A56</f>
        <v>0</v>
      </c>
      <c r="C57" s="119">
        <f>Utilidad!B56</f>
        <v>0</v>
      </c>
      <c r="D57" s="167">
        <f>0.0116</f>
        <v>1.1599999999999999E-2</v>
      </c>
    </row>
    <row r="58" spans="1:4">
      <c r="A58" s="121" t="s">
        <v>31</v>
      </c>
      <c r="B58" s="170">
        <f>Utilidad!A57</f>
        <v>11473.344999999999</v>
      </c>
      <c r="C58" s="119">
        <f>Utilidad!B57</f>
        <v>0</v>
      </c>
      <c r="D58" s="167">
        <f>0.0116</f>
        <v>1.1599999999999999E-2</v>
      </c>
    </row>
    <row r="59" spans="1:4">
      <c r="A59" s="121" t="s">
        <v>143</v>
      </c>
      <c r="B59" s="170">
        <f>Utilidad!A58</f>
        <v>0</v>
      </c>
      <c r="C59" s="119">
        <f>Utilidad!B58</f>
        <v>0</v>
      </c>
      <c r="D59" s="167">
        <f t="shared" si="0"/>
        <v>7.1999999999999998E-3</v>
      </c>
    </row>
    <row r="60" spans="1:4">
      <c r="A60" s="121" t="s">
        <v>32</v>
      </c>
      <c r="B60" s="170">
        <f>Utilidad!A59</f>
        <v>0</v>
      </c>
      <c r="C60" s="119">
        <f>Utilidad!B59</f>
        <v>0</v>
      </c>
      <c r="D60" s="167">
        <f t="shared" si="0"/>
        <v>7.1999999999999998E-3</v>
      </c>
    </row>
    <row r="61" spans="1:4">
      <c r="A61" s="122" t="s">
        <v>144</v>
      </c>
      <c r="B61" s="170">
        <f>Utilidad!A60</f>
        <v>0</v>
      </c>
      <c r="C61" s="119">
        <f>Utilidad!B60</f>
        <v>0</v>
      </c>
      <c r="D61" s="167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11C8-7FA3-DF4F-ADEE-DB5EEBD63AD9}">
  <dimension ref="B2:R81"/>
  <sheetViews>
    <sheetView tabSelected="1" topLeftCell="A32" workbookViewId="0">
      <selection activeCell="A11" sqref="A11"/>
    </sheetView>
  </sheetViews>
  <sheetFormatPr baseColWidth="10" defaultRowHeight="15"/>
  <sheetData>
    <row r="2" spans="2:18">
      <c r="B2" s="80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81"/>
    </row>
    <row r="3" spans="2:18">
      <c r="B3" s="80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81"/>
    </row>
    <row r="4" spans="2:18">
      <c r="B4" s="80"/>
      <c r="C4" s="109"/>
      <c r="D4" s="109"/>
      <c r="E4" s="109"/>
      <c r="F4" s="109"/>
      <c r="G4" s="109"/>
      <c r="H4" s="109"/>
      <c r="I4" s="109"/>
      <c r="J4" s="109"/>
      <c r="K4" s="171">
        <f>+'[2]Bal Fe Tot'!O78</f>
        <v>0</v>
      </c>
      <c r="L4" s="109"/>
      <c r="M4" s="109"/>
      <c r="N4" s="109"/>
      <c r="O4" s="109"/>
      <c r="P4" s="109"/>
      <c r="Q4" s="109"/>
      <c r="R4" s="81"/>
    </row>
    <row r="5" spans="2:18">
      <c r="B5" s="80"/>
      <c r="C5" s="109"/>
      <c r="D5" s="109"/>
      <c r="E5" s="109"/>
      <c r="F5" s="109"/>
      <c r="G5" s="109"/>
      <c r="H5" s="109"/>
      <c r="I5" s="109"/>
      <c r="J5" s="109"/>
      <c r="K5" s="172">
        <f>+'[2]Bal Fe Tot'!P78</f>
        <v>0</v>
      </c>
      <c r="L5" s="109"/>
      <c r="M5" s="109"/>
      <c r="N5" s="109"/>
      <c r="O5" s="109"/>
      <c r="P5" s="109"/>
      <c r="Q5" s="109"/>
      <c r="R5" s="81"/>
    </row>
    <row r="6" spans="2:18">
      <c r="B6" s="80"/>
      <c r="C6" s="109"/>
      <c r="D6" s="109"/>
      <c r="E6" s="109"/>
      <c r="F6" s="109"/>
      <c r="G6" s="109"/>
      <c r="H6" s="109"/>
      <c r="I6" s="109"/>
      <c r="J6" s="109"/>
      <c r="K6" s="173">
        <f>+'[2]Bal Fe Tot'!Q78</f>
        <v>0</v>
      </c>
      <c r="L6" s="109"/>
      <c r="M6" s="109"/>
      <c r="N6" s="109"/>
      <c r="O6" s="109"/>
      <c r="P6" s="109"/>
      <c r="Q6" s="109"/>
      <c r="R6" s="81"/>
    </row>
    <row r="7" spans="2:18">
      <c r="B7" s="80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81"/>
    </row>
    <row r="8" spans="2:18">
      <c r="B8" s="80"/>
      <c r="C8" s="174" t="str">
        <f>+'[2]Bal Fe Tot'!O51</f>
        <v>TMS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81"/>
    </row>
    <row r="9" spans="2:18">
      <c r="B9" s="80"/>
      <c r="C9" s="175" t="str">
        <f>+'[2]Bal Fe Tot'!P51</f>
        <v>%FeT</v>
      </c>
      <c r="D9" s="109"/>
      <c r="E9" s="109"/>
      <c r="F9" s="109"/>
      <c r="G9" s="109"/>
      <c r="H9" s="109"/>
      <c r="I9" s="109"/>
      <c r="J9" s="109"/>
      <c r="K9" s="109"/>
      <c r="L9" s="171">
        <f>+'[2]Bal Fe Tot'!O79</f>
        <v>1306055.4733624873</v>
      </c>
      <c r="M9" s="109"/>
      <c r="N9" s="109"/>
      <c r="O9" s="109"/>
      <c r="P9" s="109"/>
      <c r="Q9" s="109"/>
      <c r="R9" s="81"/>
    </row>
    <row r="10" spans="2:18">
      <c r="B10" s="80"/>
      <c r="C10" s="176" t="str">
        <f>+'[2]Bal Fe Tot'!Q51</f>
        <v>TMF Fe</v>
      </c>
      <c r="D10" s="109"/>
      <c r="E10" s="109"/>
      <c r="F10" s="171">
        <f>+'[2]Bal Fe Tot'!O53</f>
        <v>1179.0912000000044</v>
      </c>
      <c r="G10" s="109"/>
      <c r="H10" s="109"/>
      <c r="I10" s="109"/>
      <c r="J10" s="109"/>
      <c r="K10" s="109"/>
      <c r="L10" s="172">
        <f>+'[2]Bal Fe Tot'!P79</f>
        <v>0.15986515728933584</v>
      </c>
      <c r="M10" s="109"/>
      <c r="N10" s="109"/>
      <c r="O10" s="109"/>
      <c r="P10" s="109"/>
      <c r="Q10" s="109"/>
      <c r="R10" s="81"/>
    </row>
    <row r="11" spans="2:18">
      <c r="B11" s="80"/>
      <c r="C11" s="109"/>
      <c r="D11" s="109"/>
      <c r="E11" s="177">
        <f>+'[2]Bal Fe Tot'!O52*'[2]Bal Fe Tot'!J52</f>
        <v>0</v>
      </c>
      <c r="F11" s="172">
        <f>+'[2]Bal Fe Tot'!P52</f>
        <v>0.5946070573377733</v>
      </c>
      <c r="G11" s="109"/>
      <c r="H11" s="109"/>
      <c r="I11" s="109"/>
      <c r="J11" s="109"/>
      <c r="K11" s="171">
        <f>+'[2]Bal Fe Tot'!O80</f>
        <v>745435.87394205853</v>
      </c>
      <c r="L11" s="173">
        <f>+'[2]Bal Fe Tot'!Q79</f>
        <v>208792.76367769201</v>
      </c>
      <c r="M11" s="109"/>
      <c r="N11" s="109"/>
      <c r="O11" s="109"/>
      <c r="P11" s="109"/>
      <c r="Q11" s="109"/>
      <c r="R11" s="81"/>
    </row>
    <row r="12" spans="2:18">
      <c r="B12" s="80"/>
      <c r="C12" s="109"/>
      <c r="D12" s="109"/>
      <c r="E12" s="173">
        <f>+'[2]Bal Fe Tot'!Q52*'[2]Bal Fe Tot'!J52</f>
        <v>0</v>
      </c>
      <c r="F12" s="173">
        <f>+'[2]Bal Fe Tot'!Q53</f>
        <v>702.41463620181344</v>
      </c>
      <c r="G12" s="109"/>
      <c r="H12" s="109"/>
      <c r="I12" s="109"/>
      <c r="J12" s="109"/>
      <c r="K12" s="172">
        <f>+'[2]Bal Fe Tot'!P80</f>
        <v>5.8870051917735776E-2</v>
      </c>
      <c r="L12" s="109"/>
      <c r="M12" s="109"/>
      <c r="N12" s="109"/>
      <c r="O12" s="109"/>
      <c r="P12" s="109"/>
      <c r="Q12" s="109"/>
      <c r="R12" s="81"/>
    </row>
    <row r="13" spans="2:18">
      <c r="B13" s="80"/>
      <c r="C13" s="109"/>
      <c r="D13" s="109"/>
      <c r="E13" s="109"/>
      <c r="F13" s="109"/>
      <c r="G13" s="109"/>
      <c r="H13" s="109"/>
      <c r="I13" s="109"/>
      <c r="J13" s="109"/>
      <c r="K13" s="173">
        <f>+'[2]Bal Fe Tot'!Q80</f>
        <v>43883.848600311729</v>
      </c>
      <c r="L13" s="109"/>
      <c r="M13" s="109"/>
      <c r="N13" s="109"/>
      <c r="O13" s="109"/>
      <c r="P13" s="109"/>
      <c r="Q13" s="109"/>
      <c r="R13" s="81"/>
    </row>
    <row r="14" spans="2:18">
      <c r="B14" s="80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78">
        <f>+L9+L17+L28+L35+L42</f>
        <v>3003000.1751358854</v>
      </c>
    </row>
    <row r="15" spans="2:18">
      <c r="B15" s="80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79">
        <f>+IF(R14&lt;&gt;0,(L9*L10+L17*L18+L28*L29+L35*L36+L42*L43)/R14,0)</f>
        <v>0.30038754419420371</v>
      </c>
    </row>
    <row r="16" spans="2:18">
      <c r="B16" s="80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80">
        <f>+L11+L19+L30+L37+L44</f>
        <v>902063.8478238323</v>
      </c>
    </row>
    <row r="17" spans="2:18">
      <c r="B17" s="80"/>
      <c r="C17" s="109"/>
      <c r="D17" s="109"/>
      <c r="E17" s="109"/>
      <c r="F17" s="109"/>
      <c r="G17" s="109"/>
      <c r="H17" s="109"/>
      <c r="I17" s="109"/>
      <c r="J17" s="109"/>
      <c r="K17" s="109"/>
      <c r="L17" s="171">
        <f>+'[2]Bal Fe Tot'!O81</f>
        <v>560619.59942042874</v>
      </c>
      <c r="M17" s="109"/>
      <c r="N17" s="109"/>
      <c r="O17" s="109"/>
      <c r="P17" s="109"/>
      <c r="Q17" s="109"/>
      <c r="R17" s="81"/>
    </row>
    <row r="18" spans="2:18">
      <c r="B18" s="80"/>
      <c r="C18" s="109"/>
      <c r="D18" s="109"/>
      <c r="E18" s="109"/>
      <c r="F18" s="109"/>
      <c r="G18" s="109"/>
      <c r="H18" s="109"/>
      <c r="I18" s="109"/>
      <c r="J18" s="109"/>
      <c r="K18" s="171">
        <f>+'[2]Bal Fe Tot'!O82</f>
        <v>131707.02285804838</v>
      </c>
      <c r="L18" s="172">
        <f>+'[2]Bal Fe Tot'!P81</f>
        <v>0.29415474458592822</v>
      </c>
      <c r="M18" s="109"/>
      <c r="N18" s="109"/>
      <c r="O18" s="109"/>
      <c r="P18" s="109"/>
      <c r="Q18" s="109"/>
      <c r="R18" s="81"/>
    </row>
    <row r="19" spans="2:18">
      <c r="B19" s="80"/>
      <c r="C19" s="109"/>
      <c r="D19" s="109"/>
      <c r="E19" s="109"/>
      <c r="F19" s="109"/>
      <c r="G19" s="109"/>
      <c r="H19" s="109"/>
      <c r="I19" s="109"/>
      <c r="J19" s="109"/>
      <c r="K19" s="172">
        <f>+'[2]Bal Fe Tot'!P82</f>
        <v>6.3753470010810262E-2</v>
      </c>
      <c r="L19" s="173">
        <f>+'[2]Bal Fe Tot'!Q81</f>
        <v>164908.91507738162</v>
      </c>
      <c r="M19" s="109"/>
      <c r="N19" s="109"/>
      <c r="O19" s="109"/>
      <c r="P19" s="109"/>
      <c r="Q19" s="109"/>
      <c r="R19" s="81"/>
    </row>
    <row r="20" spans="2:18">
      <c r="B20" s="80"/>
      <c r="C20" s="174">
        <f>+'[2]Bal Fe Tot'!O54</f>
        <v>9411.1039999999994</v>
      </c>
      <c r="D20" s="109"/>
      <c r="E20" s="109"/>
      <c r="F20" s="109"/>
      <c r="G20" s="109"/>
      <c r="H20" s="109"/>
      <c r="I20" s="109"/>
      <c r="J20" s="109"/>
      <c r="K20" s="173">
        <f>+'[2]Bal Fe Tot'!Q82</f>
        <v>8396.779731993689</v>
      </c>
      <c r="L20" s="109"/>
      <c r="M20" s="109"/>
      <c r="N20" s="109"/>
      <c r="O20" s="109"/>
      <c r="P20" s="109"/>
      <c r="Q20" s="109"/>
      <c r="R20" s="81"/>
    </row>
    <row r="21" spans="2:18">
      <c r="B21" s="80"/>
      <c r="C21" s="175">
        <f>+'[2]Bal Fe Tot'!P54</f>
        <v>0.59446693696114739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81"/>
    </row>
    <row r="22" spans="2:18">
      <c r="B22" s="80"/>
      <c r="C22" s="176">
        <f>+'[2]Bal Fe Tot'!Q54</f>
        <v>5594.5901683028014</v>
      </c>
      <c r="D22" s="109"/>
      <c r="E22" s="109"/>
      <c r="F22" s="171">
        <f>+'[2]Bal Fe Tot'!O56</f>
        <v>6331.2064022236336</v>
      </c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81"/>
    </row>
    <row r="23" spans="2:18">
      <c r="B23" s="80"/>
      <c r="C23" s="109"/>
      <c r="D23" s="109"/>
      <c r="E23" s="177">
        <f>+'[2]Bal Fe Tot'!O55*'[2]Bal Fe Tot'!J55</f>
        <v>0</v>
      </c>
      <c r="F23" s="172">
        <f>+'[2]Bal Fe Tot'!P56</f>
        <v>0.42946989250089573</v>
      </c>
      <c r="G23" s="109"/>
      <c r="H23" s="181">
        <f>+'[2]Bal Fe Tot'!O84</f>
        <v>0</v>
      </c>
      <c r="I23" s="109"/>
      <c r="J23" s="109"/>
      <c r="K23" s="171" t="str">
        <f>+'[2]Bal Fe Tot'!S100</f>
        <v>TMS</v>
      </c>
      <c r="L23" s="109"/>
      <c r="M23" s="109"/>
      <c r="N23" s="109"/>
      <c r="O23" s="109"/>
      <c r="P23" s="109"/>
      <c r="Q23" s="109"/>
      <c r="R23" s="81"/>
    </row>
    <row r="24" spans="2:18">
      <c r="B24" s="80"/>
      <c r="C24" s="109"/>
      <c r="D24" s="109"/>
      <c r="E24" s="173">
        <f>+'[2]Bal Fe Tot'!Q55*'[2]Bal Fe Tot'!J55</f>
        <v>0</v>
      </c>
      <c r="F24" s="173">
        <f>+'[2]Bal Fe Tot'!Q56</f>
        <v>2719.062532963967</v>
      </c>
      <c r="G24" s="109"/>
      <c r="H24" s="182">
        <f>+'[2]Bal Fe Tot'!P84</f>
        <v>0</v>
      </c>
      <c r="I24" s="109"/>
      <c r="J24" s="109"/>
      <c r="K24" s="172" t="str">
        <f>+'[2]Bal Fe Tot'!T100</f>
        <v>%FeT</v>
      </c>
      <c r="L24" s="109"/>
      <c r="M24" s="109"/>
      <c r="N24" s="109"/>
      <c r="O24" s="109"/>
      <c r="P24" s="109"/>
      <c r="Q24" s="109"/>
      <c r="R24" s="81"/>
    </row>
    <row r="25" spans="2:18">
      <c r="B25" s="80"/>
      <c r="C25" s="109"/>
      <c r="D25" s="109"/>
      <c r="E25" s="109"/>
      <c r="F25" s="109"/>
      <c r="G25" s="109"/>
      <c r="H25" s="183">
        <f>+'[2]Bal Fe Tot'!Q84</f>
        <v>0</v>
      </c>
      <c r="I25" s="109"/>
      <c r="J25" s="109"/>
      <c r="K25" s="173" t="str">
        <f>+'[2]Bal Fe Tot'!U100</f>
        <v>TMF FeT</v>
      </c>
      <c r="L25" s="109"/>
      <c r="M25" s="109"/>
      <c r="N25" s="109"/>
      <c r="O25" s="109"/>
      <c r="P25" s="109"/>
      <c r="Q25" s="109"/>
      <c r="R25" s="81"/>
    </row>
    <row r="26" spans="2:18">
      <c r="B26" s="80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81"/>
    </row>
    <row r="27" spans="2:18">
      <c r="B27" s="80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81"/>
    </row>
    <row r="28" spans="2:18">
      <c r="B28" s="80"/>
      <c r="C28" s="109"/>
      <c r="D28" s="109"/>
      <c r="E28" s="109"/>
      <c r="F28" s="109"/>
      <c r="G28" s="109"/>
      <c r="H28" s="109"/>
      <c r="I28" s="109"/>
      <c r="J28" s="109"/>
      <c r="K28" s="109"/>
      <c r="L28" s="171">
        <f>+'[2]Bal Fe Tot'!O86</f>
        <v>485237.53325873724</v>
      </c>
      <c r="M28" s="109"/>
      <c r="N28" s="109"/>
      <c r="O28" s="109"/>
      <c r="P28" s="109"/>
      <c r="Q28" s="109"/>
      <c r="R28" s="81"/>
    </row>
    <row r="29" spans="2:18">
      <c r="B29" s="80"/>
      <c r="C29" s="109"/>
      <c r="D29" s="109"/>
      <c r="E29" s="109"/>
      <c r="F29" s="109"/>
      <c r="G29" s="109"/>
      <c r="H29" s="109"/>
      <c r="I29" s="109"/>
      <c r="J29" s="109"/>
      <c r="K29" s="109"/>
      <c r="L29" s="172">
        <f>+'[2]Bal Fe Tot'!P86</f>
        <v>0.37717076300893287</v>
      </c>
      <c r="M29" s="109"/>
      <c r="N29" s="109"/>
      <c r="O29" s="109"/>
      <c r="P29" s="109"/>
      <c r="Q29" s="109"/>
      <c r="R29" s="81"/>
    </row>
    <row r="30" spans="2:18">
      <c r="B30" s="80"/>
      <c r="C30" s="174">
        <f>+'[2]Bal Fe Tot'!O57</f>
        <v>11278.14518105483</v>
      </c>
      <c r="D30" s="109"/>
      <c r="E30" s="109"/>
      <c r="F30" s="109"/>
      <c r="G30" s="109"/>
      <c r="H30" s="109"/>
      <c r="I30" s="109"/>
      <c r="J30" s="109"/>
      <c r="K30" s="171">
        <f>+'[2]Bal Fe Tot'!O87</f>
        <v>120122.59998160222</v>
      </c>
      <c r="L30" s="173">
        <f>+'[2]Bal Fe Tot'!Q86</f>
        <v>183017.41065977036</v>
      </c>
      <c r="M30" s="109"/>
      <c r="N30" s="109"/>
      <c r="O30" s="109"/>
      <c r="P30" s="109"/>
      <c r="Q30" s="109"/>
      <c r="R30" s="81"/>
    </row>
    <row r="31" spans="2:18">
      <c r="B31" s="80"/>
      <c r="C31" s="175">
        <f>+'[2]Bal Fe Tot'!P57</f>
        <v>0.42961402924434744</v>
      </c>
      <c r="D31" s="109"/>
      <c r="E31" s="109"/>
      <c r="F31" s="109"/>
      <c r="G31" s="109"/>
      <c r="H31" s="109"/>
      <c r="I31" s="109"/>
      <c r="J31" s="109"/>
      <c r="K31" s="172">
        <f>+'[2]Bal Fe Tot'!P87</f>
        <v>5.9027619443946258E-2</v>
      </c>
      <c r="L31" s="109"/>
      <c r="M31" s="109"/>
      <c r="N31" s="109"/>
      <c r="O31" s="109"/>
      <c r="P31" s="109"/>
      <c r="Q31" s="109"/>
      <c r="R31" s="81"/>
    </row>
    <row r="32" spans="2:18">
      <c r="B32" s="80"/>
      <c r="C32" s="176">
        <f>+'[2]Bal Fe Tot'!Q57</f>
        <v>4845.2493936356859</v>
      </c>
      <c r="D32" s="109"/>
      <c r="E32" s="109"/>
      <c r="F32" s="171">
        <f>+'[2]Bal Fe Tot'!O59</f>
        <v>17272.342980199999</v>
      </c>
      <c r="G32" s="109"/>
      <c r="H32" s="109"/>
      <c r="I32" s="109"/>
      <c r="J32" s="109"/>
      <c r="K32" s="173">
        <f>+'[2]Bal Fe Tot'!Q87</f>
        <v>7090.551118331402</v>
      </c>
      <c r="L32" s="109"/>
      <c r="M32" s="109"/>
      <c r="N32" s="109"/>
      <c r="O32" s="109"/>
      <c r="P32" s="109"/>
      <c r="Q32" s="109"/>
      <c r="R32" s="81"/>
    </row>
    <row r="33" spans="2:18">
      <c r="B33" s="80"/>
      <c r="C33" s="109"/>
      <c r="D33" s="109"/>
      <c r="E33" s="177">
        <f>+'[2]Bal Fe Tot'!O58*'[2]Bal Fe Tot'!J58</f>
        <v>0</v>
      </c>
      <c r="F33" s="172">
        <f>+'[2]Bal Fe Tot'!P59</f>
        <v>0.44667881855571506</v>
      </c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81"/>
    </row>
    <row r="34" spans="2:18">
      <c r="B34" s="80"/>
      <c r="C34" s="109"/>
      <c r="D34" s="109"/>
      <c r="E34" s="173">
        <f>+'[2]Bal Fe Tot'!Q58*'[2]Bal Fe Tot'!J58</f>
        <v>0</v>
      </c>
      <c r="F34" s="173">
        <f>+'[2]Bal Fe Tot'!Q59</f>
        <v>7715.1897560848338</v>
      </c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81"/>
    </row>
    <row r="35" spans="2:18">
      <c r="B35" s="80"/>
      <c r="C35" s="109"/>
      <c r="D35" s="109"/>
      <c r="E35" s="109"/>
      <c r="F35" s="109"/>
      <c r="G35" s="109"/>
      <c r="H35" s="109"/>
      <c r="I35" s="109"/>
      <c r="J35" s="109"/>
      <c r="K35" s="109"/>
      <c r="L35" s="171">
        <f>+'[2]Bal Fe Tot'!O88</f>
        <v>365114.93327713502</v>
      </c>
      <c r="M35" s="109"/>
      <c r="N35" s="109"/>
      <c r="O35" s="109"/>
      <c r="P35" s="109"/>
      <c r="Q35" s="109"/>
      <c r="R35" s="81"/>
    </row>
    <row r="36" spans="2:18">
      <c r="B36" s="80"/>
      <c r="C36" s="109"/>
      <c r="D36" s="109"/>
      <c r="E36" s="109"/>
      <c r="F36" s="109"/>
      <c r="G36" s="109"/>
      <c r="H36" s="109"/>
      <c r="I36" s="109"/>
      <c r="J36" s="109"/>
      <c r="K36" s="109"/>
      <c r="L36" s="172">
        <f>+'[2]Bal Fe Tot'!P88</f>
        <v>0.48183967158607427</v>
      </c>
      <c r="M36" s="109"/>
      <c r="N36" s="109"/>
      <c r="O36" s="109"/>
      <c r="P36" s="109"/>
      <c r="Q36" s="109"/>
      <c r="R36" s="81"/>
    </row>
    <row r="37" spans="2:18">
      <c r="B37" s="80"/>
      <c r="C37" s="109"/>
      <c r="D37" s="109"/>
      <c r="E37" s="109"/>
      <c r="F37" s="109"/>
      <c r="G37" s="109"/>
      <c r="H37" s="109"/>
      <c r="I37" s="109"/>
      <c r="J37" s="109"/>
      <c r="K37" s="171">
        <f>+'[2]Bal Fe Tot'!O89</f>
        <v>79142.297460037342</v>
      </c>
      <c r="L37" s="173">
        <f>+'[2]Bal Fe Tot'!Q88</f>
        <v>175926.85954142615</v>
      </c>
      <c r="M37" s="109"/>
      <c r="N37" s="109"/>
      <c r="O37" s="109"/>
      <c r="P37" s="109"/>
      <c r="Q37" s="109"/>
      <c r="R37" s="81"/>
    </row>
    <row r="38" spans="2:18">
      <c r="B38" s="80"/>
      <c r="C38" s="109"/>
      <c r="D38" s="109"/>
      <c r="E38" s="109"/>
      <c r="F38" s="109"/>
      <c r="G38" s="109"/>
      <c r="H38" s="109"/>
      <c r="I38" s="109"/>
      <c r="J38" s="109"/>
      <c r="K38" s="172">
        <f>+'[2]Bal Fe Tot'!P89</f>
        <v>8.2243767021714709E-2</v>
      </c>
      <c r="L38" s="109"/>
      <c r="M38" s="109"/>
      <c r="N38" s="109"/>
      <c r="O38" s="109"/>
      <c r="P38" s="109"/>
      <c r="Q38" s="109"/>
      <c r="R38" s="81"/>
    </row>
    <row r="39" spans="2:18">
      <c r="B39" s="80"/>
      <c r="C39" s="109"/>
      <c r="D39" s="109"/>
      <c r="E39" s="109"/>
      <c r="F39" s="109"/>
      <c r="G39" s="109"/>
      <c r="H39" s="109"/>
      <c r="I39" s="109"/>
      <c r="J39" s="109"/>
      <c r="K39" s="173">
        <f>+'[2]Bal Fe Tot'!Q89</f>
        <v>6508.9606738665552</v>
      </c>
      <c r="L39" s="109"/>
      <c r="M39" s="109"/>
      <c r="N39" s="109"/>
      <c r="O39" s="109"/>
      <c r="P39" s="109"/>
      <c r="Q39" s="109"/>
      <c r="R39" s="81"/>
    </row>
    <row r="40" spans="2:18">
      <c r="B40" s="80"/>
      <c r="C40" s="174">
        <f>+'[2]Bal Fe Tot'!O60</f>
        <v>31427.427913200001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81"/>
    </row>
    <row r="41" spans="2:18">
      <c r="B41" s="80"/>
      <c r="C41" s="175">
        <f>+'[2]Bal Fe Tot'!P60</f>
        <v>0.44716822598619738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81"/>
    </row>
    <row r="42" spans="2:18">
      <c r="B42" s="80"/>
      <c r="C42" s="176">
        <f>+'[2]Bal Fe Tot'!Q60</f>
        <v>14053.347187254745</v>
      </c>
      <c r="D42" s="109"/>
      <c r="E42" s="109"/>
      <c r="F42" s="171">
        <f>+'[2]Bal Fe Tot'!O62</f>
        <v>0</v>
      </c>
      <c r="G42" s="109"/>
      <c r="H42" s="109"/>
      <c r="I42" s="109"/>
      <c r="J42" s="109"/>
      <c r="K42" s="109"/>
      <c r="L42" s="171">
        <f>+'[2]Bal Fe Tot'!O90</f>
        <v>285972.63581709767</v>
      </c>
      <c r="M42" s="109"/>
      <c r="N42" s="109"/>
      <c r="O42" s="109"/>
      <c r="P42" s="109"/>
      <c r="Q42" s="109"/>
      <c r="R42" s="81"/>
    </row>
    <row r="43" spans="2:18">
      <c r="B43" s="80"/>
      <c r="C43" s="109"/>
      <c r="D43" s="109"/>
      <c r="E43" s="177">
        <f>+'[2]Bal Fe Tot'!O61*'[2]Bal Fe Tot'!J61</f>
        <v>0</v>
      </c>
      <c r="F43" s="172">
        <f>+'[2]Bal Fe Tot'!P62</f>
        <v>0</v>
      </c>
      <c r="G43" s="109"/>
      <c r="H43" s="109"/>
      <c r="I43" s="109"/>
      <c r="J43" s="109"/>
      <c r="K43" s="109"/>
      <c r="L43" s="172">
        <f>+'[2]Bal Fe Tot'!P90</f>
        <v>0.59242695855668626</v>
      </c>
      <c r="M43" s="109"/>
      <c r="N43" s="109"/>
      <c r="O43" s="109"/>
      <c r="P43" s="109"/>
      <c r="Q43" s="109"/>
      <c r="R43" s="81"/>
    </row>
    <row r="44" spans="2:18">
      <c r="B44" s="80"/>
      <c r="C44" s="109"/>
      <c r="D44" s="109"/>
      <c r="E44" s="173">
        <f>+'[2]Bal Fe Tot'!Q61*'[2]Bal Fe Tot'!J61</f>
        <v>0</v>
      </c>
      <c r="F44" s="173">
        <f>+'[2]Bal Fe Tot'!Q62</f>
        <v>0</v>
      </c>
      <c r="G44" s="109"/>
      <c r="H44" s="109"/>
      <c r="I44" s="171">
        <f>+'[2]Bal Fe Tot'!O92</f>
        <v>129612.17039575435</v>
      </c>
      <c r="J44" s="109"/>
      <c r="K44" s="171">
        <f>+'[2]Bal Fe Tot'!O91</f>
        <v>156923.6358170977</v>
      </c>
      <c r="L44" s="173">
        <f>+'[2]Bal Fe Tot'!Q90</f>
        <v>169417.89886756206</v>
      </c>
      <c r="M44" s="109"/>
      <c r="N44" s="109"/>
      <c r="O44" s="109"/>
      <c r="P44" s="109"/>
      <c r="Q44" s="109"/>
      <c r="R44" s="81"/>
    </row>
    <row r="45" spans="2:18">
      <c r="B45" s="80"/>
      <c r="C45" s="109"/>
      <c r="D45" s="109"/>
      <c r="E45" s="109"/>
      <c r="F45" s="109"/>
      <c r="G45" s="109"/>
      <c r="H45" s="109"/>
      <c r="I45" s="172">
        <f>+'[2]Bal Fe Tot'!P92</f>
        <v>0.64655244164111236</v>
      </c>
      <c r="J45" s="109"/>
      <c r="K45" s="172">
        <f>+'[2]Bal Fe Tot'!P91</f>
        <v>0.54738335382242032</v>
      </c>
      <c r="L45" s="109"/>
      <c r="M45" s="109"/>
      <c r="N45" s="109"/>
      <c r="O45" s="109"/>
      <c r="P45" s="109"/>
      <c r="Q45" s="109"/>
      <c r="R45" s="81"/>
    </row>
    <row r="46" spans="2:18">
      <c r="B46" s="80"/>
      <c r="C46" s="109"/>
      <c r="D46" s="109"/>
      <c r="E46" s="109"/>
      <c r="F46" s="109"/>
      <c r="G46" s="109"/>
      <c r="H46" s="109"/>
      <c r="I46" s="173">
        <f>+'[2]Bal Fe Tot'!Q92</f>
        <v>83801.065235778879</v>
      </c>
      <c r="J46" s="109"/>
      <c r="K46" s="173">
        <f>+'[2]Bal Fe Tot'!Q91</f>
        <v>85897.386067571017</v>
      </c>
      <c r="L46" s="109"/>
      <c r="M46" s="109"/>
      <c r="N46" s="109"/>
      <c r="O46" s="109"/>
      <c r="P46" s="109"/>
      <c r="Q46" s="109"/>
      <c r="R46" s="81"/>
    </row>
    <row r="47" spans="2:18">
      <c r="B47" s="80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81"/>
    </row>
    <row r="48" spans="2:18">
      <c r="B48" s="80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81"/>
    </row>
    <row r="49" spans="2:18">
      <c r="B49" s="80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81"/>
    </row>
    <row r="50" spans="2:18">
      <c r="B50" s="80"/>
      <c r="C50" s="174">
        <f>+'[2]Bal Fe Tot'!O63</f>
        <v>0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81"/>
    </row>
    <row r="51" spans="2:18">
      <c r="B51" s="80"/>
      <c r="C51" s="175">
        <f>+'[2]Bal Fe Tot'!P63</f>
        <v>0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81"/>
    </row>
    <row r="52" spans="2:18">
      <c r="B52" s="80"/>
      <c r="C52" s="176">
        <f>+'[2]Bal Fe Tot'!Q63</f>
        <v>0</v>
      </c>
      <c r="D52" s="109"/>
      <c r="E52" s="109"/>
      <c r="F52" s="171">
        <f>+'[2]Bal Fe Tot'!O65</f>
        <v>0</v>
      </c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81"/>
    </row>
    <row r="53" spans="2:18">
      <c r="B53" s="80"/>
      <c r="C53" s="109"/>
      <c r="D53" s="109"/>
      <c r="E53" s="177">
        <f>+'[2]Bal Fe Tot'!O64*'[2]Bal Fe Tot'!J64</f>
        <v>0</v>
      </c>
      <c r="F53" s="172">
        <f>+'[2]Bal Fe Tot'!P65</f>
        <v>0</v>
      </c>
      <c r="G53" s="109"/>
      <c r="H53" s="171">
        <f>+'[2]Bal Fe Tot'!O77</f>
        <v>0</v>
      </c>
      <c r="I53" s="109"/>
      <c r="J53" s="171">
        <f>+'[2]Bal Fe Tot'!O75</f>
        <v>2943.462314076693</v>
      </c>
      <c r="K53" s="109"/>
      <c r="L53" s="109"/>
      <c r="M53" s="109"/>
      <c r="N53" s="109"/>
      <c r="O53" s="109"/>
      <c r="P53" s="109"/>
      <c r="Q53" s="109"/>
      <c r="R53" s="81"/>
    </row>
    <row r="54" spans="2:18">
      <c r="B54" s="80"/>
      <c r="C54" s="109"/>
      <c r="D54" s="109"/>
      <c r="E54" s="173">
        <f>+'[2]Bal Fe Tot'!Q64*'[2]Bal Fe Tot'!J64</f>
        <v>0</v>
      </c>
      <c r="F54" s="173">
        <f>+'[2]Bal Fe Tot'!Q65</f>
        <v>0</v>
      </c>
      <c r="G54" s="109"/>
      <c r="H54" s="172">
        <f>+'[2]Bal Fe Tot'!P77</f>
        <v>0</v>
      </c>
      <c r="I54" s="109"/>
      <c r="J54" s="172">
        <f>+'[2]Bal Fe Tot'!P75</f>
        <v>0.50684853883107817</v>
      </c>
      <c r="K54" s="109"/>
      <c r="L54" s="109"/>
      <c r="M54" s="109"/>
      <c r="N54" s="109"/>
      <c r="O54" s="109"/>
      <c r="P54" s="109"/>
      <c r="Q54" s="109"/>
      <c r="R54" s="81"/>
    </row>
    <row r="55" spans="2:18">
      <c r="B55" s="80"/>
      <c r="C55" s="109"/>
      <c r="D55" s="109"/>
      <c r="E55" s="109"/>
      <c r="F55" s="109"/>
      <c r="G55" s="109"/>
      <c r="H55" s="173">
        <f>+'[2]Bal Fe Tot'!Q77</f>
        <v>0</v>
      </c>
      <c r="I55" s="109"/>
      <c r="J55" s="173">
        <f>+'[2]Bal Fe Tot'!Q75</f>
        <v>1491.889572994116</v>
      </c>
      <c r="K55" s="109"/>
      <c r="L55" s="109"/>
      <c r="M55" s="109"/>
      <c r="N55" s="109"/>
      <c r="O55" s="109"/>
      <c r="P55" s="109"/>
      <c r="Q55" s="109"/>
      <c r="R55" s="81"/>
    </row>
    <row r="56" spans="2:18">
      <c r="B56" s="80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81"/>
    </row>
    <row r="57" spans="2:18">
      <c r="B57" s="80"/>
      <c r="C57" s="109"/>
      <c r="D57" s="109" t="s">
        <v>151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81"/>
    </row>
    <row r="58" spans="2:18">
      <c r="B58" s="80"/>
      <c r="C58" s="174">
        <f>+'[2]Bal Fe Tot'!O66</f>
        <v>0</v>
      </c>
      <c r="D58" s="109"/>
      <c r="E58" s="109"/>
      <c r="F58" s="109"/>
      <c r="G58" s="109"/>
      <c r="H58" s="109"/>
      <c r="I58" s="109"/>
      <c r="J58" s="109"/>
      <c r="K58" s="109"/>
      <c r="L58" s="109" t="s">
        <v>152</v>
      </c>
      <c r="M58" s="109"/>
      <c r="N58" s="109"/>
      <c r="O58" s="109"/>
      <c r="P58" s="109"/>
      <c r="Q58" s="109"/>
      <c r="R58" s="81"/>
    </row>
    <row r="59" spans="2:18">
      <c r="B59" s="80"/>
      <c r="C59" s="175">
        <f>+'[2]Bal Fe Tot'!P68</f>
        <v>0.4112671097311294</v>
      </c>
      <c r="D59" s="109"/>
      <c r="E59" s="109"/>
      <c r="F59" s="171">
        <f>+'[2]Bal Fe Tot'!O68</f>
        <v>1182.8172880254308</v>
      </c>
      <c r="G59" s="109"/>
      <c r="H59" s="109"/>
      <c r="I59" s="109"/>
      <c r="J59" s="109"/>
      <c r="K59" s="109"/>
      <c r="L59" s="171">
        <f>+'[2]Bal Fe Tot'!O94</f>
        <v>0</v>
      </c>
      <c r="M59" s="109"/>
      <c r="N59" s="109"/>
      <c r="O59" s="109"/>
      <c r="P59" s="109"/>
      <c r="Q59" s="109"/>
      <c r="R59" s="81"/>
    </row>
    <row r="60" spans="2:18">
      <c r="B60" s="80"/>
      <c r="C60" s="176">
        <f>+'[2]Bal Fe Tot'!Q66</f>
        <v>0</v>
      </c>
      <c r="D60" s="109"/>
      <c r="E60" s="177">
        <f>+'[2]Bal Fe Tot'!O67*'[2]Bal Fe Tot'!J67</f>
        <v>0</v>
      </c>
      <c r="F60" s="172">
        <f>+'[2]Bal Fe Tot'!P68</f>
        <v>0.4112671097311294</v>
      </c>
      <c r="G60" s="109"/>
      <c r="H60" s="177">
        <f>+'[2]Bal Fe Tot'!O76*'[2]Bal Fe Tot'!J76</f>
        <v>0</v>
      </c>
      <c r="I60" s="109"/>
      <c r="J60" s="109"/>
      <c r="K60" s="109"/>
      <c r="L60" s="172">
        <f>+'[2]Bal Fe Tot'!P94</f>
        <v>0</v>
      </c>
      <c r="M60" s="109"/>
      <c r="N60" s="109"/>
      <c r="O60" s="109"/>
      <c r="P60" s="109"/>
      <c r="Q60" s="109"/>
      <c r="R60" s="81"/>
    </row>
    <row r="61" spans="2:18">
      <c r="B61" s="80"/>
      <c r="C61" s="109"/>
      <c r="D61" s="109"/>
      <c r="E61" s="173">
        <f>+'[2]Bal Fe Tot'!Q67*'[2]Bal Fe Tot'!J67</f>
        <v>0</v>
      </c>
      <c r="F61" s="173">
        <f>+'[2]Bal Fe Tot'!Q68</f>
        <v>486.45384738623176</v>
      </c>
      <c r="G61" s="109"/>
      <c r="H61" s="173">
        <f>+'[2]Bal Fe Tot'!Q76*'[2]Bal Fe Tot'!J76</f>
        <v>0</v>
      </c>
      <c r="I61" s="109"/>
      <c r="J61" s="109"/>
      <c r="K61" s="109"/>
      <c r="L61" s="173">
        <f>+'[2]Bal Fe Tot'!Q94</f>
        <v>0</v>
      </c>
      <c r="M61" s="109"/>
      <c r="N61" s="109"/>
      <c r="O61" s="109"/>
      <c r="P61" s="109"/>
      <c r="Q61" s="109"/>
      <c r="R61" s="81"/>
    </row>
    <row r="62" spans="2:18">
      <c r="B62" s="80"/>
      <c r="C62" s="109"/>
      <c r="D62" s="109"/>
      <c r="E62" s="109"/>
      <c r="F62" s="109"/>
      <c r="G62" s="109"/>
      <c r="H62" s="109"/>
      <c r="I62" s="109"/>
      <c r="J62" s="109"/>
      <c r="K62" s="109"/>
      <c r="L62" s="173"/>
      <c r="M62" s="109"/>
      <c r="N62" s="109"/>
      <c r="O62" s="109"/>
      <c r="P62" s="109"/>
      <c r="Q62" s="109"/>
      <c r="R62" s="81"/>
    </row>
    <row r="63" spans="2:18">
      <c r="B63" s="80"/>
      <c r="C63" s="109"/>
      <c r="D63" s="109"/>
      <c r="E63" s="109"/>
      <c r="F63" s="109"/>
      <c r="G63" s="109"/>
      <c r="H63" s="109"/>
      <c r="I63" s="109"/>
      <c r="J63" s="109"/>
      <c r="K63" s="109"/>
      <c r="L63" s="173"/>
      <c r="M63" s="109"/>
      <c r="N63" s="109"/>
      <c r="O63" s="109"/>
      <c r="P63" s="109"/>
      <c r="Q63" s="109"/>
      <c r="R63" s="81"/>
    </row>
    <row r="64" spans="2:18">
      <c r="B64" s="80"/>
      <c r="C64" s="109"/>
      <c r="D64" s="109" t="s">
        <v>153</v>
      </c>
      <c r="E64" s="109"/>
      <c r="F64" s="109"/>
      <c r="G64" s="109"/>
      <c r="H64" s="109"/>
      <c r="I64" s="109"/>
      <c r="J64" s="109"/>
      <c r="K64" s="109"/>
      <c r="L64" s="173"/>
      <c r="M64" s="109"/>
      <c r="N64" s="109"/>
      <c r="O64" s="109"/>
      <c r="P64" s="109"/>
      <c r="Q64" s="109"/>
      <c r="R64" s="81"/>
    </row>
    <row r="65" spans="2:18">
      <c r="B65" s="80"/>
      <c r="C65" s="174">
        <f>+'[2]Bal Fe Tot'!O69</f>
        <v>1264.8172880254308</v>
      </c>
      <c r="D65" s="109"/>
      <c r="E65" s="109"/>
      <c r="F65" s="171">
        <f>+'[2]Bal Fe Tot'!O71</f>
        <v>4972.4866576199074</v>
      </c>
      <c r="G65" s="109"/>
      <c r="H65" s="109"/>
      <c r="I65" s="109"/>
      <c r="J65" s="109"/>
      <c r="K65" s="109"/>
      <c r="L65" s="173"/>
      <c r="M65" s="109"/>
      <c r="N65" s="109"/>
      <c r="O65" s="109"/>
      <c r="P65" s="109"/>
      <c r="Q65" s="109"/>
      <c r="R65" s="81"/>
    </row>
    <row r="66" spans="2:18">
      <c r="B66" s="80"/>
      <c r="C66" s="175">
        <f>+'[2]Bal Fe Tot'!P69</f>
        <v>0.41128390409413823</v>
      </c>
      <c r="D66" s="109"/>
      <c r="E66" s="109"/>
      <c r="F66" s="172">
        <f>+'[2]Bal Fe Tot'!P71</f>
        <v>0.50757757326909758</v>
      </c>
      <c r="G66" s="109"/>
      <c r="H66" s="109"/>
      <c r="I66" s="109"/>
      <c r="J66" s="109"/>
      <c r="K66" s="109"/>
      <c r="L66" s="173"/>
      <c r="M66" s="109"/>
      <c r="N66" s="109"/>
      <c r="O66" s="109"/>
      <c r="P66" s="109"/>
      <c r="Q66" s="109"/>
      <c r="R66" s="81"/>
    </row>
    <row r="67" spans="2:18">
      <c r="B67" s="80"/>
      <c r="C67" s="176">
        <f>+'[2]Bal Fe Tot'!Q69</f>
        <v>520.19899218485932</v>
      </c>
      <c r="D67" s="109"/>
      <c r="E67" s="109"/>
      <c r="F67" s="173">
        <f>+'[2]Bal Fe Tot'!Q71</f>
        <v>2523.9227107876786</v>
      </c>
      <c r="G67" s="109"/>
      <c r="H67" s="109"/>
      <c r="I67" s="109"/>
      <c r="J67" s="109"/>
      <c r="K67" s="109"/>
      <c r="L67" s="173"/>
      <c r="M67" s="109"/>
      <c r="N67" s="109"/>
      <c r="O67" s="109"/>
      <c r="P67" s="109"/>
      <c r="Q67" s="109"/>
      <c r="R67" s="81"/>
    </row>
    <row r="68" spans="2:18">
      <c r="B68" s="80"/>
      <c r="C68" s="109"/>
      <c r="D68" s="109"/>
      <c r="E68" s="177">
        <f>+'[2]Bal Fe Tot'!O70*'[2]Bal Fe Tot'!J70</f>
        <v>0</v>
      </c>
      <c r="F68" s="109"/>
      <c r="G68" s="109"/>
      <c r="H68" s="109"/>
      <c r="I68" s="109"/>
      <c r="J68" s="109"/>
      <c r="K68" s="109"/>
      <c r="L68" s="173"/>
      <c r="M68" s="109"/>
      <c r="N68" s="109"/>
      <c r="O68" s="109"/>
      <c r="P68" s="109"/>
      <c r="Q68" s="109"/>
      <c r="R68" s="81"/>
    </row>
    <row r="69" spans="2:18">
      <c r="B69" s="80"/>
      <c r="C69" s="109"/>
      <c r="D69" s="109"/>
      <c r="E69" s="173">
        <f>+'[2]Bal Fe Tot'!Q70*'[2]Bal Fe Tot'!J70</f>
        <v>0</v>
      </c>
      <c r="F69" s="109"/>
      <c r="G69" s="109"/>
      <c r="H69" s="109"/>
      <c r="I69" s="109"/>
      <c r="J69" s="109"/>
      <c r="K69" s="109"/>
      <c r="L69" s="173"/>
      <c r="M69" s="109"/>
      <c r="N69" s="109"/>
      <c r="O69" s="109"/>
      <c r="P69" s="109"/>
      <c r="Q69" s="109"/>
      <c r="R69" s="81"/>
    </row>
    <row r="70" spans="2:18">
      <c r="B70" s="80"/>
      <c r="C70" s="109"/>
      <c r="D70" s="109"/>
      <c r="E70" s="109"/>
      <c r="F70" s="109"/>
      <c r="G70" s="109"/>
      <c r="H70" s="109"/>
      <c r="I70" s="109"/>
      <c r="J70" s="109"/>
      <c r="K70" s="109"/>
      <c r="L70" s="173"/>
      <c r="M70" s="109"/>
      <c r="N70" s="109"/>
      <c r="O70" s="109"/>
      <c r="P70" s="109"/>
      <c r="Q70" s="109"/>
      <c r="R70" s="81"/>
    </row>
    <row r="71" spans="2:18">
      <c r="B71" s="80"/>
      <c r="C71" s="109"/>
      <c r="D71" s="109" t="s">
        <v>154</v>
      </c>
      <c r="E71" s="109"/>
      <c r="F71" s="109"/>
      <c r="G71" s="109"/>
      <c r="H71" s="109"/>
      <c r="I71" s="109"/>
      <c r="J71" s="109"/>
      <c r="K71" s="109"/>
      <c r="L71" s="173"/>
      <c r="M71" s="109"/>
      <c r="N71" s="109"/>
      <c r="O71" s="109"/>
      <c r="P71" s="109"/>
      <c r="Q71" s="109"/>
      <c r="R71" s="81"/>
    </row>
    <row r="72" spans="2:18">
      <c r="B72" s="80"/>
      <c r="C72" s="174">
        <f>+'[2]Bal Fe Tot'!O72</f>
        <v>0</v>
      </c>
      <c r="D72" s="109"/>
      <c r="E72" s="109"/>
      <c r="F72" s="171">
        <f>+'[2]Bal Fe Tot'!O74</f>
        <v>5651.121271066173</v>
      </c>
      <c r="G72" s="109"/>
      <c r="H72" s="109"/>
      <c r="I72" s="109"/>
      <c r="J72" s="109"/>
      <c r="K72" s="109"/>
      <c r="L72" s="173"/>
      <c r="M72" s="109"/>
      <c r="N72" s="109"/>
      <c r="O72" s="109"/>
      <c r="P72" s="109"/>
      <c r="Q72" s="109"/>
      <c r="R72" s="81"/>
    </row>
    <row r="73" spans="2:18">
      <c r="B73" s="80"/>
      <c r="C73" s="175">
        <f>+'[2]Bal Fe Tot'!P72</f>
        <v>0</v>
      </c>
      <c r="D73" s="109"/>
      <c r="E73" s="109"/>
      <c r="F73" s="172">
        <f>+'[2]Bal Fe Tot'!P74</f>
        <v>0.50872577900648142</v>
      </c>
      <c r="G73" s="109"/>
      <c r="H73" s="109"/>
      <c r="I73" s="109"/>
      <c r="J73" s="109"/>
      <c r="K73" s="109"/>
      <c r="L73" s="173"/>
      <c r="M73" s="109"/>
      <c r="N73" s="109"/>
      <c r="O73" s="109"/>
      <c r="P73" s="109"/>
      <c r="Q73" s="109"/>
      <c r="R73" s="81"/>
    </row>
    <row r="74" spans="2:18">
      <c r="B74" s="80"/>
      <c r="C74" s="176">
        <f>+'[2]Bal Fe Tot'!Q72</f>
        <v>0</v>
      </c>
      <c r="D74" s="109"/>
      <c r="E74" s="109"/>
      <c r="F74" s="173">
        <f>+'[2]Bal Fe Tot'!Q74</f>
        <v>2874.8710708832364</v>
      </c>
      <c r="G74" s="109"/>
      <c r="H74" s="109"/>
      <c r="I74" s="109"/>
      <c r="J74" s="109"/>
      <c r="K74" s="109"/>
      <c r="L74" s="173"/>
      <c r="M74" s="109"/>
      <c r="N74" s="109"/>
      <c r="O74" s="109"/>
      <c r="P74" s="109"/>
      <c r="Q74" s="109"/>
      <c r="R74" s="81"/>
    </row>
    <row r="75" spans="2:18">
      <c r="B75" s="80"/>
      <c r="C75" s="109"/>
      <c r="D75" s="109"/>
      <c r="E75" s="177">
        <f>+'[2]Bal Fe Tot'!O73*'[2]Bal Fe Tot'!J73</f>
        <v>0</v>
      </c>
      <c r="F75" s="109"/>
      <c r="G75" s="109"/>
      <c r="H75" s="109"/>
      <c r="I75" s="109"/>
      <c r="J75" s="109"/>
      <c r="K75" s="109"/>
      <c r="L75" s="173"/>
      <c r="M75" s="109"/>
      <c r="N75" s="109"/>
      <c r="O75" s="109"/>
      <c r="P75" s="109"/>
      <c r="Q75" s="109"/>
      <c r="R75" s="81"/>
    </row>
    <row r="76" spans="2:18">
      <c r="B76" s="80"/>
      <c r="C76" s="109"/>
      <c r="D76" s="109"/>
      <c r="E76" s="173">
        <f>+'[2]Bal Fe Tot'!Q73*'[2]Bal Fe Tot'!J73</f>
        <v>0</v>
      </c>
      <c r="F76" s="109"/>
      <c r="G76" s="109"/>
      <c r="H76" s="109"/>
      <c r="I76" s="109"/>
      <c r="J76" s="109"/>
      <c r="K76" s="109"/>
      <c r="L76" s="173"/>
      <c r="M76" s="109"/>
      <c r="N76" s="109"/>
      <c r="O76" s="109"/>
      <c r="P76" s="109"/>
      <c r="Q76" s="109"/>
      <c r="R76" s="81"/>
    </row>
    <row r="77" spans="2:18">
      <c r="B77" s="80"/>
      <c r="C77" s="109"/>
      <c r="D77" s="109"/>
      <c r="E77" s="109"/>
      <c r="F77" s="109"/>
      <c r="G77" s="109"/>
      <c r="H77" s="109"/>
      <c r="I77" s="109"/>
      <c r="J77" s="109"/>
      <c r="K77" s="109"/>
      <c r="L77" s="173"/>
      <c r="M77" s="109"/>
      <c r="N77" s="109"/>
      <c r="O77" s="109"/>
      <c r="P77" s="109"/>
      <c r="Q77" s="109"/>
      <c r="R77" s="81"/>
    </row>
    <row r="78" spans="2:18">
      <c r="B78" s="80"/>
      <c r="C78" s="109"/>
      <c r="D78" s="109"/>
      <c r="E78" s="109"/>
      <c r="F78" s="109"/>
      <c r="G78" s="109"/>
      <c r="H78" s="109"/>
      <c r="I78" s="109"/>
      <c r="J78" s="109"/>
      <c r="K78" s="109"/>
      <c r="L78" s="173"/>
      <c r="M78" s="109"/>
      <c r="N78" s="109"/>
      <c r="O78" s="109"/>
      <c r="P78" s="109"/>
      <c r="Q78" s="109"/>
      <c r="R78" s="81"/>
    </row>
    <row r="79" spans="2:18">
      <c r="B79" s="80"/>
      <c r="C79" s="109"/>
      <c r="D79" s="109"/>
      <c r="E79" s="109"/>
      <c r="F79" s="109"/>
      <c r="G79" s="109"/>
      <c r="H79" s="109"/>
      <c r="I79" s="109"/>
      <c r="J79" s="109"/>
      <c r="K79" s="109"/>
      <c r="L79" s="173"/>
      <c r="M79" s="109"/>
      <c r="N79" s="109"/>
      <c r="O79" s="109"/>
      <c r="P79" s="109"/>
      <c r="Q79" s="109"/>
      <c r="R79" s="81"/>
    </row>
    <row r="80" spans="2:18">
      <c r="B80" s="80"/>
      <c r="C80" s="109"/>
      <c r="D80" s="109"/>
      <c r="E80" s="109"/>
      <c r="F80" s="109"/>
      <c r="G80" s="109"/>
      <c r="H80" s="109"/>
      <c r="I80" s="109"/>
      <c r="J80" s="109"/>
      <c r="K80" s="109"/>
      <c r="L80" s="173"/>
      <c r="M80" s="109"/>
      <c r="N80" s="109"/>
      <c r="O80" s="109"/>
      <c r="P80" s="109"/>
      <c r="Q80" s="109"/>
      <c r="R80" s="81"/>
    </row>
    <row r="81" spans="2:18">
      <c r="B81" s="80"/>
      <c r="C81" s="109"/>
      <c r="D81" s="109"/>
      <c r="E81" s="109"/>
      <c r="F81" s="109"/>
      <c r="G81" s="109"/>
      <c r="H81" s="109"/>
      <c r="I81" s="109"/>
      <c r="J81" s="109"/>
      <c r="K81" s="109"/>
      <c r="L81" s="173"/>
      <c r="M81" s="109"/>
      <c r="N81" s="109"/>
      <c r="O81" s="109"/>
      <c r="P81" s="109"/>
      <c r="Q81" s="109"/>
      <c r="R81" s="81"/>
    </row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250B05DB-110D-424A-8761-79B8A820D7F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E11</xm:sqref>
        </x14:conditionalFormatting>
        <x14:conditionalFormatting xmlns:xm="http://schemas.microsoft.com/office/excel/2006/main">
          <x14:cfRule type="iconSet" priority="17" id="{2D6C55E6-2F81-B24F-8BB2-6030A0F97E1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E23</xm:sqref>
        </x14:conditionalFormatting>
        <x14:conditionalFormatting xmlns:xm="http://schemas.microsoft.com/office/excel/2006/main">
          <x14:cfRule type="iconSet" priority="16" id="{D00FCC29-E62C-AE48-9852-4B85FBAC9C2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5" id="{7FEC6256-6DFA-4846-92B9-17923E983A1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E43</xm:sqref>
        </x14:conditionalFormatting>
        <x14:conditionalFormatting xmlns:xm="http://schemas.microsoft.com/office/excel/2006/main">
          <x14:cfRule type="iconSet" priority="14" id="{95C9FAEE-F275-674E-AA56-88FDA3024CB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E53</xm:sqref>
        </x14:conditionalFormatting>
        <x14:conditionalFormatting xmlns:xm="http://schemas.microsoft.com/office/excel/2006/main">
          <x14:cfRule type="iconSet" priority="13" id="{90B0F8A7-7720-F944-B13B-A7EFC4E021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E60</xm:sqref>
        </x14:conditionalFormatting>
        <x14:conditionalFormatting xmlns:xm="http://schemas.microsoft.com/office/excel/2006/main">
          <x14:cfRule type="iconSet" priority="12" id="{312F35EA-ABF3-D545-825D-860B546DEA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E68</xm:sqref>
        </x14:conditionalFormatting>
        <x14:conditionalFormatting xmlns:xm="http://schemas.microsoft.com/office/excel/2006/main">
          <x14:cfRule type="iconSet" priority="11" id="{BDBE31B3-6F00-3E4C-9243-25781255617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E69</xm:sqref>
        </x14:conditionalFormatting>
        <x14:conditionalFormatting xmlns:xm="http://schemas.microsoft.com/office/excel/2006/main">
          <x14:cfRule type="iconSet" priority="10" id="{DE646EA5-E3A1-B743-AF9A-A6BA3827994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E61</xm:sqref>
        </x14:conditionalFormatting>
        <x14:conditionalFormatting xmlns:xm="http://schemas.microsoft.com/office/excel/2006/main">
          <x14:cfRule type="iconSet" priority="9" id="{707B9A77-21F0-2C4C-A30A-7D0915F8273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E54</xm:sqref>
        </x14:conditionalFormatting>
        <x14:conditionalFormatting xmlns:xm="http://schemas.microsoft.com/office/excel/2006/main">
          <x14:cfRule type="iconSet" priority="8" id="{C182A749-7C80-034F-91E7-CAA27EB3BCF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E44</xm:sqref>
        </x14:conditionalFormatting>
        <x14:conditionalFormatting xmlns:xm="http://schemas.microsoft.com/office/excel/2006/main">
          <x14:cfRule type="iconSet" priority="7" id="{E8D60507-257E-3049-BDDE-91099D32BCC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E34</xm:sqref>
        </x14:conditionalFormatting>
        <x14:conditionalFormatting xmlns:xm="http://schemas.microsoft.com/office/excel/2006/main">
          <x14:cfRule type="iconSet" priority="6" id="{8E5EA691-0425-5D45-B1E2-106E50E9005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E24</xm:sqref>
        </x14:conditionalFormatting>
        <x14:conditionalFormatting xmlns:xm="http://schemas.microsoft.com/office/excel/2006/main">
          <x14:cfRule type="iconSet" priority="5" id="{87D9CBD3-072F-6B42-A8A1-9A79E1B9C09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E75</xm:sqref>
        </x14:conditionalFormatting>
        <x14:conditionalFormatting xmlns:xm="http://schemas.microsoft.com/office/excel/2006/main">
          <x14:cfRule type="iconSet" priority="4" id="{24050A69-3CEE-1649-BF30-3BD2841A184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E76</xm:sqref>
        </x14:conditionalFormatting>
        <x14:conditionalFormatting xmlns:xm="http://schemas.microsoft.com/office/excel/2006/main">
          <x14:cfRule type="iconSet" priority="3" id="{C029C63E-1AE3-244D-93D1-35438274D1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H60</xm:sqref>
        </x14:conditionalFormatting>
        <x14:conditionalFormatting xmlns:xm="http://schemas.microsoft.com/office/excel/2006/main">
          <x14:cfRule type="iconSet" priority="2" id="{8FBC7F77-904B-9441-AC3C-78DACC55A9E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H61</xm:sqref>
        </x14:conditionalFormatting>
        <x14:conditionalFormatting xmlns:xm="http://schemas.microsoft.com/office/excel/2006/main">
          <x14:cfRule type="iconSet" priority="1" id="{96702275-ED30-0B44-BD88-AA4CD8CC173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1D6-3EA6-204D-8F01-DAF863F1F689}">
  <dimension ref="A1:H22"/>
  <sheetViews>
    <sheetView workbookViewId="0">
      <selection activeCell="H1" sqref="H1"/>
    </sheetView>
  </sheetViews>
  <sheetFormatPr baseColWidth="10" defaultRowHeight="15"/>
  <cols>
    <col min="1" max="1" width="35.6640625" customWidth="1"/>
    <col min="2" max="2" width="41.83203125" customWidth="1"/>
  </cols>
  <sheetData>
    <row r="1" spans="1:8">
      <c r="A1" s="97" t="s">
        <v>37</v>
      </c>
      <c r="B1" s="114">
        <v>109312.48730383393</v>
      </c>
      <c r="C1" s="98">
        <v>109312.48730383393</v>
      </c>
      <c r="D1" s="99">
        <v>109312.48730383393</v>
      </c>
      <c r="E1" s="100">
        <v>0.59119999999999995</v>
      </c>
      <c r="F1" s="101">
        <v>-1</v>
      </c>
      <c r="G1" s="97" t="s">
        <v>150</v>
      </c>
      <c r="H1" s="169">
        <v>112342.91404080391</v>
      </c>
    </row>
    <row r="2" spans="1:8">
      <c r="A2" s="97" t="s">
        <v>29</v>
      </c>
      <c r="B2" s="114">
        <v>-3395.5801243834312</v>
      </c>
      <c r="C2" s="98">
        <v>-3395.5801243834312</v>
      </c>
      <c r="D2" s="99">
        <v>3395.5801243834312</v>
      </c>
      <c r="E2" s="100">
        <v>0.59119999999999995</v>
      </c>
      <c r="F2" s="101">
        <v>1</v>
      </c>
      <c r="G2" s="97" t="s">
        <v>148</v>
      </c>
      <c r="H2" s="169"/>
    </row>
    <row r="3" spans="1:8">
      <c r="A3" s="97" t="s">
        <v>54</v>
      </c>
      <c r="B3" s="114">
        <v>-1650</v>
      </c>
      <c r="C3" s="98">
        <v>-1650</v>
      </c>
      <c r="D3" s="99">
        <v>1650</v>
      </c>
      <c r="E3" s="100">
        <v>0.68669999999999998</v>
      </c>
      <c r="F3" s="101">
        <v>1</v>
      </c>
      <c r="G3" s="97" t="s">
        <v>148</v>
      </c>
      <c r="H3" s="169"/>
    </row>
    <row r="4" spans="1:8">
      <c r="A4" s="97" t="s">
        <v>12</v>
      </c>
      <c r="B4" s="114">
        <v>0</v>
      </c>
      <c r="C4" s="98">
        <v>0</v>
      </c>
      <c r="D4" s="99">
        <v>0</v>
      </c>
      <c r="E4" s="100">
        <v>0</v>
      </c>
      <c r="F4" s="101">
        <v>0</v>
      </c>
      <c r="G4" s="97" t="s">
        <v>149</v>
      </c>
      <c r="H4" s="169">
        <v>0</v>
      </c>
    </row>
    <row r="5" spans="1:8">
      <c r="A5" s="97" t="s">
        <v>13</v>
      </c>
      <c r="B5" s="114">
        <v>-41637.600568826529</v>
      </c>
      <c r="C5" s="112">
        <v>-41637.600568826529</v>
      </c>
      <c r="D5" s="99">
        <v>41637.600568826529</v>
      </c>
      <c r="E5" s="100">
        <v>0.68669999999999998</v>
      </c>
      <c r="F5" s="101">
        <v>1</v>
      </c>
      <c r="G5" s="97" t="s">
        <v>148</v>
      </c>
      <c r="H5" s="169">
        <v>49107.945254445076</v>
      </c>
    </row>
    <row r="6" spans="1:8">
      <c r="A6" s="97" t="s">
        <v>65</v>
      </c>
      <c r="B6" s="114"/>
      <c r="C6" s="112">
        <v>0</v>
      </c>
      <c r="D6" s="99">
        <v>0</v>
      </c>
      <c r="E6" s="100">
        <v>0</v>
      </c>
      <c r="F6" s="101">
        <v>0</v>
      </c>
      <c r="G6" s="97" t="s">
        <v>149</v>
      </c>
      <c r="H6" s="169"/>
    </row>
    <row r="7" spans="1:8">
      <c r="A7" s="97" t="s">
        <v>68</v>
      </c>
      <c r="B7" s="114"/>
      <c r="C7" s="112">
        <v>0</v>
      </c>
      <c r="D7" s="99">
        <v>0</v>
      </c>
      <c r="E7" s="100">
        <v>0.57999999999999996</v>
      </c>
      <c r="F7" s="101">
        <v>0</v>
      </c>
      <c r="G7" s="97" t="s">
        <v>149</v>
      </c>
      <c r="H7" s="169"/>
    </row>
    <row r="8" spans="1:8">
      <c r="A8" s="97" t="s">
        <v>30</v>
      </c>
      <c r="B8" s="114">
        <v>0</v>
      </c>
      <c r="C8" s="112">
        <v>0</v>
      </c>
      <c r="D8" s="99">
        <v>0</v>
      </c>
      <c r="E8" s="113">
        <v>0</v>
      </c>
      <c r="F8" s="101">
        <v>0</v>
      </c>
      <c r="G8" s="97" t="s">
        <v>149</v>
      </c>
      <c r="H8" s="169">
        <v>0</v>
      </c>
    </row>
    <row r="9" spans="1:8">
      <c r="A9" s="97" t="s">
        <v>66</v>
      </c>
      <c r="B9" s="114">
        <v>1771.623147726059</v>
      </c>
      <c r="C9" s="112">
        <v>1771.623147726059</v>
      </c>
      <c r="D9" s="99">
        <v>1771.623147726059</v>
      </c>
      <c r="E9" s="100">
        <v>0.65690000000000004</v>
      </c>
      <c r="F9" s="101">
        <v>-1</v>
      </c>
      <c r="G9" s="97" t="s">
        <v>150</v>
      </c>
      <c r="H9" s="169">
        <v>51926.623147726059</v>
      </c>
    </row>
    <row r="10" spans="1:8">
      <c r="A10" s="97" t="s">
        <v>15</v>
      </c>
      <c r="B10" s="114">
        <v>-20312.061235234141</v>
      </c>
      <c r="C10" s="112">
        <v>-20312.061235234141</v>
      </c>
      <c r="D10" s="99">
        <v>20312.061235234141</v>
      </c>
      <c r="E10" s="100">
        <v>0.65402219625184299</v>
      </c>
      <c r="F10" s="101">
        <v>1</v>
      </c>
      <c r="G10" s="97" t="s">
        <v>148</v>
      </c>
      <c r="H10" s="169">
        <v>215678.86810529232</v>
      </c>
    </row>
    <row r="11" spans="1:8">
      <c r="A11" s="97" t="s">
        <v>14</v>
      </c>
      <c r="B11" s="114">
        <v>-38254.15964182467</v>
      </c>
      <c r="C11" s="112">
        <v>-38254.15964182467</v>
      </c>
      <c r="D11" s="99">
        <v>38254.15964182467</v>
      </c>
      <c r="E11" s="113">
        <v>0.6</v>
      </c>
      <c r="F11" s="101">
        <v>1</v>
      </c>
      <c r="G11" s="97" t="s">
        <v>148</v>
      </c>
      <c r="H11" s="169">
        <v>13207.414447188377</v>
      </c>
    </row>
    <row r="12" spans="1:8">
      <c r="A12" s="97" t="s">
        <v>31</v>
      </c>
      <c r="B12" s="114">
        <v>-17960.687526020611</v>
      </c>
      <c r="C12" s="112">
        <v>-17960.687526020611</v>
      </c>
      <c r="D12" s="99">
        <v>17960.687526020611</v>
      </c>
      <c r="E12" s="100">
        <v>0.63883126376045796</v>
      </c>
      <c r="F12" s="101">
        <v>1</v>
      </c>
      <c r="G12" s="97" t="s">
        <v>148</v>
      </c>
      <c r="H12" s="169">
        <v>150781.66837978363</v>
      </c>
    </row>
    <row r="13" spans="1:8">
      <c r="A13" s="97" t="s">
        <v>32</v>
      </c>
      <c r="B13" s="114">
        <v>0</v>
      </c>
      <c r="C13" s="112">
        <v>0</v>
      </c>
      <c r="D13" s="99">
        <v>0</v>
      </c>
      <c r="E13" s="113">
        <v>0</v>
      </c>
      <c r="F13" s="101">
        <v>0</v>
      </c>
      <c r="G13" s="97" t="s">
        <v>149</v>
      </c>
      <c r="H13" s="169"/>
    </row>
    <row r="22" spans="3:3">
      <c r="C22" s="16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Nodos Variac Inventarios</vt:lpstr>
      <vt:lpstr>Bal Los Colorados</vt:lpstr>
      <vt:lpstr>Diag Proc Los Colorados</vt:lpstr>
      <vt:lpstr>Utilidad</vt:lpstr>
      <vt:lpstr>Flujos</vt:lpstr>
      <vt:lpstr>Diagrama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2022-10-01T13:33:20Z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