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620F9B86-C5A9-4B46-A5F8-D87DD6A81E40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  <externalReference r:id="rId9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K36" i="10" l="1"/>
  <c r="D36" i="10"/>
  <c r="I20" i="10"/>
  <c r="J20" i="10" s="1"/>
  <c r="H20" i="10"/>
  <c r="I19" i="10"/>
  <c r="H19" i="10"/>
  <c r="I18" i="10"/>
  <c r="G18" i="10"/>
  <c r="H18" i="10" s="1"/>
  <c r="I17" i="10"/>
  <c r="G17" i="10"/>
  <c r="H17" i="10" s="1"/>
  <c r="P16" i="10"/>
  <c r="Q16" i="10" s="1"/>
  <c r="O16" i="10"/>
  <c r="N16" i="10" s="1"/>
  <c r="N17" i="10" s="1"/>
  <c r="I16" i="10"/>
  <c r="G16" i="10"/>
  <c r="G21" i="10" s="1"/>
  <c r="P13" i="10"/>
  <c r="Q13" i="10" s="1"/>
  <c r="O13" i="10"/>
  <c r="N13" i="10"/>
  <c r="P12" i="10"/>
  <c r="O12" i="10"/>
  <c r="N12" i="10"/>
  <c r="P11" i="10"/>
  <c r="O11" i="10"/>
  <c r="N11" i="10"/>
  <c r="P10" i="10"/>
  <c r="O10" i="10"/>
  <c r="N10" i="10"/>
  <c r="I10" i="10"/>
  <c r="H10" i="10"/>
  <c r="G10" i="10"/>
  <c r="G14" i="10"/>
  <c r="J19" i="10"/>
  <c r="P17" i="10"/>
  <c r="O17" i="10"/>
  <c r="Q12" i="10"/>
  <c r="Q11" i="10"/>
  <c r="J11" i="10"/>
  <c r="Q10" i="10"/>
  <c r="O14" i="10"/>
  <c r="N14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E8" i="9"/>
  <c r="AE9" i="9"/>
  <c r="AE10" i="9"/>
  <c r="AE11" i="9"/>
  <c r="AE12" i="9"/>
  <c r="AE13" i="9"/>
  <c r="AE14" i="9"/>
  <c r="AE15" i="9"/>
  <c r="AD15" i="9" s="1"/>
  <c r="AE16" i="9"/>
  <c r="AD16" i="9" s="1"/>
  <c r="AE17" i="9"/>
  <c r="AE18" i="9"/>
  <c r="AE19" i="9"/>
  <c r="AE20" i="9"/>
  <c r="AE21" i="9"/>
  <c r="AE22" i="9"/>
  <c r="AE23" i="9"/>
  <c r="AE24" i="9"/>
  <c r="AE25" i="9"/>
  <c r="AD25" i="9" s="1"/>
  <c r="AE26" i="9"/>
  <c r="AE27" i="9"/>
  <c r="AE28" i="9"/>
  <c r="AE6" i="9"/>
  <c r="AD17" i="9"/>
  <c r="AD28" i="9"/>
  <c r="AD27" i="9"/>
  <c r="AD26" i="9"/>
  <c r="AD7" i="9"/>
  <c r="AD8" i="9"/>
  <c r="AD9" i="9"/>
  <c r="AD10" i="9"/>
  <c r="AD11" i="9"/>
  <c r="AD12" i="9"/>
  <c r="AD13" i="9"/>
  <c r="AD14" i="9"/>
  <c r="AD18" i="9"/>
  <c r="AD19" i="9"/>
  <c r="AD20" i="9"/>
  <c r="AD21" i="9"/>
  <c r="AD22" i="9"/>
  <c r="AD23" i="9"/>
  <c r="AD24" i="9"/>
  <c r="AD6" i="9"/>
  <c r="M77" i="9"/>
  <c r="M76" i="9"/>
  <c r="K80" i="9"/>
  <c r="K79" i="9"/>
  <c r="K78" i="9"/>
  <c r="K77" i="9"/>
  <c r="K76" i="9"/>
  <c r="K74" i="9"/>
  <c r="K73" i="9"/>
  <c r="K72" i="9"/>
  <c r="M72" i="9"/>
  <c r="M71" i="9"/>
  <c r="M70" i="9"/>
  <c r="Q17" i="10" l="1"/>
  <c r="H16" i="10"/>
  <c r="J16" i="10" s="1"/>
  <c r="H14" i="10"/>
  <c r="J18" i="10"/>
  <c r="H21" i="10"/>
  <c r="I21" i="10" s="1"/>
  <c r="J17" i="10"/>
  <c r="Q14" i="10"/>
  <c r="P14" i="10" s="1"/>
  <c r="I14" i="10"/>
  <c r="M32" i="7"/>
  <c r="N32" i="7"/>
  <c r="K71" i="9"/>
  <c r="K70" i="9"/>
  <c r="C4" i="9"/>
  <c r="P4" i="10" s="1"/>
  <c r="M78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J21" i="10" l="1"/>
  <c r="J10" i="10"/>
  <c r="J14" i="10" s="1"/>
  <c r="AD35" i="9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34" i="9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E36" i="9"/>
  <c r="J5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I5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P57" i="9" l="1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D36" i="9"/>
  <c r="E37" i="9" s="1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l="1"/>
  <c r="L72" i="9" s="1"/>
  <c r="N72" i="9" s="1"/>
  <c r="P72" i="9" s="1"/>
  <c r="I70" i="9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O57" i="9"/>
  <c r="P58" i="9" s="1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G15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F15" i="9"/>
  <c r="G16" i="9" s="1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ID#AAAAkqiZkt4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<sst xmlns="http://schemas.openxmlformats.org/spreadsheetml/2006/main" count="586" uniqueCount="278">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</sst>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59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3" fillId="17" borderId="73" xfId="0" applyFont="1" applyFill="1" applyBorder="1"/>
    <xf numFmtId="10" fontId="63" fillId="17" borderId="73" xfId="0" applyNumberFormat="1" applyFont="1" applyFill="1" applyBorder="1"/>
    <xf numFmtId="10" fontId="63" fillId="17" borderId="75" xfId="0" applyNumberFormat="1" applyFont="1" applyFill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7" fillId="0" borderId="67" xfId="0" applyFont="1" applyBorder="1"/>
    <xf numFmtId="0" fontId="0" fillId="0" borderId="0" xfId="0"/>
    <xf numFmtId="0" fontId="6" fillId="11" borderId="66" xfId="0" applyFont="1" applyFill="1" applyBorder="1" applyAlignment="1">
      <alignment horizontal="center"/>
    </xf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68" xfId="2" applyFont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1" fillId="0" borderId="7" xfId="2" applyFont="1" applyBorder="1" applyAlignment="1">
      <alignment horizontal="left"/>
    </xf>
    <xf numFmtId="0" fontId="7" fillId="0" borderId="8" xfId="2" applyFont="1" applyBorder="1"/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1" fillId="0" borderId="68" xfId="2" applyFont="1" applyAlignment="1">
      <alignment horizontal="center"/>
    </xf>
    <xf numFmtId="0" fontId="38" fillId="0" borderId="68" xfId="2"/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" fillId="13" borderId="18" xfId="2" applyFont="1" applyFill="1" applyBorder="1" applyAlignment="1">
      <alignment horizontal="center"/>
    </xf>
    <xf numFmtId="0" fontId="7" fillId="0" borderId="32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45" xfId="2" applyFont="1" applyBorder="1"/>
    <xf numFmtId="0" fontId="7" fillId="0" borderId="46" xfId="2" applyFont="1" applyBorder="1"/>
    <xf numFmtId="0" fontId="21" fillId="0" borderId="21" xfId="2" applyFont="1" applyBorder="1"/>
    <xf numFmtId="0" fontId="7" fillId="0" borderId="31" xfId="2" applyFont="1" applyBorder="1"/>
    <xf numFmtId="0" fontId="7" fillId="0" borderId="34" xfId="2" applyFont="1" applyBorder="1"/>
    <xf numFmtId="0" fontId="7" fillId="0" borderId="69" xfId="2" applyFont="1" applyBorder="1"/>
    <xf numFmtId="0" fontId="7" fillId="0" borderId="70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7" fillId="0" borderId="22" xfId="2" applyFont="1" applyBorder="1"/>
    <xf numFmtId="0" fontId="7" fillId="0" borderId="41" xfId="2" applyFont="1" applyBorder="1"/>
    <xf numFmtId="0" fontId="7" fillId="0" borderId="42" xfId="2" applyFont="1" applyBorder="1"/>
    <xf numFmtId="0" fontId="7" fillId="0" borderId="23" xfId="2" applyFont="1" applyBorder="1"/>
    <xf numFmtId="0" fontId="7" fillId="0" borderId="24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3" fillId="0" borderId="18" xfId="2" applyFont="1" applyBorder="1" applyAlignment="1">
      <alignment horizontal="center" vertical="center"/>
    </xf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23" fillId="0" borderId="45" xfId="2" applyFont="1" applyBorder="1" applyAlignment="1">
      <alignment horizontal="center" vertical="center"/>
    </xf>
    <xf numFmtId="0" fontId="7" fillId="0" borderId="43" xfId="2" applyFont="1" applyBorder="1"/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45" xfId="2" applyFont="1" applyFill="1" applyBorder="1" applyAlignment="1">
      <alignment horizontal="center" vertical="center"/>
    </xf>
    <xf numFmtId="0" fontId="23" fillId="0" borderId="47" xfId="2" applyFont="1" applyBorder="1" applyAlignment="1">
      <alignment horizontal="left" vertical="center"/>
    </xf>
    <xf numFmtId="0" fontId="7" fillId="0" borderId="26" xfId="2" applyFont="1" applyBorder="1"/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23" fillId="0" borderId="49" xfId="2" applyFont="1" applyBorder="1" applyAlignment="1">
      <alignment horizontal="left" vertical="center"/>
    </xf>
    <xf numFmtId="0" fontId="7" fillId="0" borderId="50" xfId="2" applyFont="1" applyBorder="1"/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24" fillId="10" borderId="58" xfId="2" applyFont="1" applyFill="1" applyBorder="1" applyAlignment="1">
      <alignment horizontal="left" vertical="center" wrapText="1"/>
    </xf>
    <xf numFmtId="0" fontId="7" fillId="0" borderId="55" xfId="2" applyFont="1" applyBorder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0" fontId="24" fillId="10" borderId="55" xfId="2" applyFont="1" applyFill="1" applyBorder="1" applyAlignment="1">
      <alignment horizontal="left" vertical="center" wrapText="1"/>
    </xf>
    <xf numFmtId="168" fontId="21" fillId="0" borderId="68" xfId="2" applyNumberFormat="1" applyFont="1"/>
    <xf numFmtId="0" fontId="25" fillId="14" borderId="55" xfId="2" applyFont="1" applyFill="1" applyBorder="1" applyAlignment="1">
      <alignment horizontal="center" vertical="center"/>
    </xf>
    <xf numFmtId="0" fontId="7" fillId="0" borderId="56" xfId="2" applyFont="1" applyBorder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0" fontId="23" fillId="0" borderId="68" xfId="2" applyFont="1" applyAlignment="1">
      <alignment horizontal="left" vertical="center"/>
    </xf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0" fontId="7" fillId="0" borderId="53" xfId="2" applyFont="1" applyBorder="1"/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0" fontId="23" fillId="0" borderId="43" xfId="2" applyFont="1" applyBorder="1" applyAlignment="1">
      <alignment vertical="center"/>
    </xf>
    <xf numFmtId="0" fontId="7" fillId="0" borderId="71" xfId="2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0" fontId="7" fillId="0" borderId="39" xfId="2" applyFont="1" applyBorder="1"/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47" xfId="2" applyFont="1" applyBorder="1" applyAlignment="1">
      <alignment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0" fontId="23" fillId="0" borderId="49" xfId="2" applyFont="1" applyBorder="1" applyAlignment="1">
      <alignment vertical="center"/>
    </xf>
    <xf numFmtId="0" fontId="7" fillId="0" borderId="51" xfId="2" applyFont="1" applyBorder="1"/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0" fontId="24" fillId="10" borderId="58" xfId="2" applyFont="1" applyFill="1" applyBorder="1" applyAlignment="1">
      <alignment horizontal="left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31" fillId="14" borderId="58" xfId="2" applyFont="1" applyFill="1" applyBorder="1" applyAlignment="1">
      <alignment horizontal="center" vertical="center"/>
    </xf>
    <xf numFmtId="0" fontId="32" fillId="14" borderId="58" xfId="2" applyFont="1" applyFill="1" applyBorder="1" applyAlignment="1">
      <alignment horizontal="center"/>
    </xf>
    <xf numFmtId="0" fontId="7" fillId="0" borderId="68" xfId="2" applyFont="1"/>
    <xf numFmtId="0" fontId="31" fillId="11" borderId="68" xfId="2" applyFont="1" applyFill="1" applyAlignment="1">
      <alignment horizontal="center"/>
    </xf>
    <xf numFmtId="0" fontId="7" fillId="0" borderId="68" xfId="2" applyFont="1"/>
    <xf numFmtId="10" fontId="21" fillId="0" borderId="18" xfId="2" applyNumberFormat="1" applyFont="1" applyBorder="1" applyAlignment="1">
      <alignment horizontal="center" vertical="center"/>
    </xf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ernando/Downloads/Balance%20Pellets%20Prueba%20MAYO%20MES.xlsx" TargetMode="External"/><Relationship Id="rId1" Type="http://schemas.openxmlformats.org/officeDocument/2006/relationships/externalLinkPath" Target="/Users/fernando/Downloads/Balance%20Pellets%20Prueba%20MAYO%20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os Variac Inventarios"/>
      <sheetName val="Bal Los Colorados"/>
      <sheetName val="Diag Proc Los Colorados"/>
      <sheetName val="Datos Extra"/>
      <sheetName val="Resumen Planta Pellets"/>
      <sheetName val="Utilidad"/>
      <sheetName val="Flujos"/>
      <sheetName val="Diagram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439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1"/>
      <c r="Q1" s="441"/>
      <c r="R1" s="442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443"/>
      <c r="C2" s="444"/>
      <c r="D2" s="445"/>
      <c r="E2" s="446"/>
      <c r="F2" s="447" t="s">
        <v>97</v>
      </c>
      <c r="G2" s="448"/>
      <c r="H2" s="449"/>
      <c r="I2" s="449"/>
      <c r="J2" s="449"/>
      <c r="K2" s="449"/>
      <c r="L2" s="449"/>
      <c r="M2" s="449"/>
      <c r="N2" s="449"/>
      <c r="O2" s="449"/>
      <c r="P2" s="449"/>
      <c r="Q2" s="450"/>
      <c r="R2" s="451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443"/>
      <c r="C3" s="444"/>
      <c r="D3" s="452"/>
      <c r="E3" s="453"/>
      <c r="F3" s="454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6"/>
      <c r="R3" s="451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443"/>
      <c r="C4" s="444"/>
      <c r="D4" s="452"/>
      <c r="E4" s="453"/>
      <c r="F4" s="457" t="s">
        <v>98</v>
      </c>
      <c r="G4" s="458"/>
      <c r="H4" s="459"/>
      <c r="I4" s="459"/>
      <c r="J4" s="459"/>
      <c r="K4" s="459"/>
      <c r="L4" s="460"/>
      <c r="M4" s="457" t="s">
        <v>99</v>
      </c>
      <c r="N4" s="458"/>
      <c r="O4" s="460"/>
      <c r="P4" s="461">
        <f ca="1">+Diagrama!C4</f>
        <v>45121</v>
      </c>
      <c r="Q4" s="462"/>
      <c r="R4" s="451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443"/>
      <c r="C5" s="444"/>
      <c r="D5" s="463"/>
      <c r="E5" s="464"/>
      <c r="F5" s="465"/>
      <c r="G5" s="466"/>
      <c r="H5" s="466"/>
      <c r="I5" s="466"/>
      <c r="J5" s="466"/>
      <c r="K5" s="466"/>
      <c r="L5" s="464"/>
      <c r="M5" s="465"/>
      <c r="N5" s="466"/>
      <c r="O5" s="464"/>
      <c r="P5" s="465"/>
      <c r="Q5" s="467"/>
      <c r="R5" s="451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443"/>
      <c r="C6" s="444"/>
      <c r="D6" s="468"/>
      <c r="E6" s="468"/>
      <c r="F6" s="468"/>
      <c r="G6" s="468"/>
      <c r="H6" s="468"/>
      <c r="I6" s="468"/>
      <c r="J6" s="468"/>
      <c r="K6" s="468"/>
      <c r="L6" s="468"/>
      <c r="M6" s="469"/>
      <c r="N6" s="469"/>
      <c r="O6" s="444"/>
      <c r="P6" s="133"/>
      <c r="Q6" s="133"/>
      <c r="R6" s="451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470"/>
      <c r="C7" s="471"/>
      <c r="D7" s="472"/>
      <c r="E7" s="449"/>
      <c r="F7" s="446"/>
      <c r="G7" s="473" t="s">
        <v>100</v>
      </c>
      <c r="H7" s="473" t="s">
        <v>100</v>
      </c>
      <c r="I7" s="473" t="s">
        <v>101</v>
      </c>
      <c r="J7" s="474" t="s">
        <v>102</v>
      </c>
      <c r="K7" s="475"/>
      <c r="L7" s="449"/>
      <c r="M7" s="446"/>
      <c r="N7" s="473" t="s">
        <v>100</v>
      </c>
      <c r="O7" s="473" t="s">
        <v>100</v>
      </c>
      <c r="P7" s="473" t="s">
        <v>101</v>
      </c>
      <c r="Q7" s="474" t="s">
        <v>102</v>
      </c>
      <c r="R7" s="451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470"/>
      <c r="C8" s="471"/>
      <c r="D8" s="476"/>
      <c r="E8" s="455"/>
      <c r="F8" s="477"/>
      <c r="G8" s="478" t="s">
        <v>277</v>
      </c>
      <c r="H8" s="478" t="s">
        <v>40</v>
      </c>
      <c r="I8" s="478" t="s">
        <v>103</v>
      </c>
      <c r="J8" s="479" t="s">
        <v>41</v>
      </c>
      <c r="K8" s="466"/>
      <c r="L8" s="466"/>
      <c r="M8" s="464"/>
      <c r="N8" s="478" t="s">
        <v>277</v>
      </c>
      <c r="O8" s="478" t="s">
        <v>40</v>
      </c>
      <c r="P8" s="478" t="s">
        <v>103</v>
      </c>
      <c r="Q8" s="479" t="s">
        <v>41</v>
      </c>
      <c r="R8" s="451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470"/>
      <c r="C9" s="471"/>
      <c r="D9" s="480" t="s">
        <v>68</v>
      </c>
      <c r="E9" s="481"/>
      <c r="F9" s="481"/>
      <c r="G9" s="481"/>
      <c r="H9" s="481"/>
      <c r="I9" s="481"/>
      <c r="J9" s="482"/>
      <c r="K9" s="483" t="s">
        <v>104</v>
      </c>
      <c r="L9" s="449"/>
      <c r="M9" s="449"/>
      <c r="N9" s="449"/>
      <c r="O9" s="449"/>
      <c r="P9" s="449"/>
      <c r="Q9" s="450"/>
      <c r="R9" s="451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470"/>
      <c r="C10" s="471" t="s">
        <v>105</v>
      </c>
      <c r="D10" s="484" t="s">
        <v>106</v>
      </c>
      <c r="E10" s="485"/>
      <c r="F10" s="426"/>
      <c r="G10" s="486">
        <f>+Diagrama!J76</f>
        <v>562148</v>
      </c>
      <c r="H10" s="486">
        <f>+G10*(1-Diagrama!AE10)</f>
        <v>557257.31239999994</v>
      </c>
      <c r="I10" s="487">
        <f>+Diagrama!I26</f>
        <v>0.60058766826488896</v>
      </c>
      <c r="J10" s="488">
        <f>I10*H10</f>
        <v>334681.86987787473</v>
      </c>
      <c r="K10" s="489" t="s">
        <v>107</v>
      </c>
      <c r="L10" s="481"/>
      <c r="M10" s="490"/>
      <c r="N10" s="491">
        <f>+Diagrama!I72</f>
        <v>201173</v>
      </c>
      <c r="O10" s="491">
        <f>+Diagrama!H40</f>
        <v>183369.18950000001</v>
      </c>
      <c r="P10" s="492">
        <f>+Diagrama!H41</f>
        <v>0.68834294588788836</v>
      </c>
      <c r="Q10" s="488">
        <f t="shared" ref="Q10:Q13" si="0">P10*O10</f>
        <v>126220.88808550446</v>
      </c>
      <c r="R10" s="451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470"/>
      <c r="C11" s="471"/>
      <c r="D11" s="484" t="s">
        <v>108</v>
      </c>
      <c r="E11" s="485"/>
      <c r="F11" s="426"/>
      <c r="G11" s="493">
        <v>0</v>
      </c>
      <c r="H11" s="493">
        <v>0</v>
      </c>
      <c r="I11" s="494">
        <v>0</v>
      </c>
      <c r="J11" s="488">
        <f t="shared" ref="J11" si="1">I11*H11</f>
        <v>0</v>
      </c>
      <c r="K11" s="484" t="s">
        <v>109</v>
      </c>
      <c r="L11" s="485"/>
      <c r="M11" s="426"/>
      <c r="N11" s="486">
        <f>+Diagrama!I70</f>
        <v>272690</v>
      </c>
      <c r="O11" s="486">
        <f>+Diagrama!P49</f>
        <v>271326.55</v>
      </c>
      <c r="P11" s="487">
        <f>+Diagrama!P50</f>
        <v>0.65535413283291699</v>
      </c>
      <c r="Q11" s="488">
        <f>P11*O11</f>
        <v>177814.97588979709</v>
      </c>
      <c r="R11" s="451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470"/>
      <c r="C12" s="471"/>
      <c r="D12" s="484" t="s">
        <v>110</v>
      </c>
      <c r="E12" s="485"/>
      <c r="F12" s="426"/>
      <c r="G12" s="493">
        <v>0</v>
      </c>
      <c r="H12" s="493">
        <v>0</v>
      </c>
      <c r="I12" s="494">
        <v>0</v>
      </c>
      <c r="J12" s="488">
        <v>0</v>
      </c>
      <c r="K12" s="484" t="s">
        <v>111</v>
      </c>
      <c r="L12" s="485"/>
      <c r="M12" s="426"/>
      <c r="N12" s="486">
        <f>+Diagrama!I71</f>
        <v>12559</v>
      </c>
      <c r="O12" s="486">
        <f>+Diagrama!R47</f>
        <v>12496.205</v>
      </c>
      <c r="P12" s="487">
        <f>+Diagrama!R48</f>
        <v>0.65535413283291699</v>
      </c>
      <c r="Q12" s="488">
        <f t="shared" si="0"/>
        <v>8189.4395914773613</v>
      </c>
      <c r="R12" s="451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470"/>
      <c r="C13" s="471"/>
      <c r="D13" s="495" t="s">
        <v>112</v>
      </c>
      <c r="E13" s="496"/>
      <c r="F13" s="497"/>
      <c r="G13" s="493">
        <v>0</v>
      </c>
      <c r="H13" s="493">
        <v>0</v>
      </c>
      <c r="I13" s="494">
        <v>0</v>
      </c>
      <c r="J13" s="488">
        <v>0</v>
      </c>
      <c r="K13" s="498" t="s">
        <v>113</v>
      </c>
      <c r="L13" s="499"/>
      <c r="M13" s="500"/>
      <c r="N13" s="501">
        <f>+Diagrama!I77</f>
        <v>239033</v>
      </c>
      <c r="O13" s="501">
        <f>+Diagrama!I77*(1-'Datos Extra'!D3)</f>
        <v>236547.05680000002</v>
      </c>
      <c r="P13" s="487">
        <f>+Diagrama!H5</f>
        <v>0.62970000000000004</v>
      </c>
      <c r="Q13" s="488">
        <f t="shared" si="0"/>
        <v>148953.68166696001</v>
      </c>
      <c r="R13" s="451"/>
      <c r="S13" s="133"/>
      <c r="T13" s="50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470"/>
      <c r="C14" s="471" t="s">
        <v>114</v>
      </c>
      <c r="D14" s="503" t="s">
        <v>115</v>
      </c>
      <c r="E14" s="504"/>
      <c r="F14" s="505"/>
      <c r="G14" s="506">
        <f>SUM(G10:G13)</f>
        <v>562148</v>
      </c>
      <c r="H14" s="506">
        <f>SUM(H10:H13)</f>
        <v>557257.31239999994</v>
      </c>
      <c r="I14" s="507">
        <f>I10</f>
        <v>0.60058766826488896</v>
      </c>
      <c r="J14" s="506">
        <f>J10</f>
        <v>334681.86987787473</v>
      </c>
      <c r="K14" s="508" t="s">
        <v>115</v>
      </c>
      <c r="L14" s="504"/>
      <c r="M14" s="505"/>
      <c r="N14" s="506">
        <f>SUM(N10:N13)</f>
        <v>725455</v>
      </c>
      <c r="O14" s="506">
        <f>SUM(O10:O13)</f>
        <v>703739.00130000012</v>
      </c>
      <c r="P14" s="507">
        <f>+Q14/O14</f>
        <v>0.65532673957506127</v>
      </c>
      <c r="Q14" s="506">
        <f>+Q10+Q11+Q12+Q13</f>
        <v>461178.9852337389</v>
      </c>
      <c r="R14" s="451"/>
      <c r="S14" s="509"/>
      <c r="T14" s="50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470"/>
      <c r="C15" s="471"/>
      <c r="D15" s="480" t="s">
        <v>116</v>
      </c>
      <c r="E15" s="481"/>
      <c r="F15" s="481"/>
      <c r="G15" s="481"/>
      <c r="H15" s="481"/>
      <c r="I15" s="481"/>
      <c r="J15" s="482"/>
      <c r="K15" s="510" t="s">
        <v>117</v>
      </c>
      <c r="L15" s="504"/>
      <c r="M15" s="504"/>
      <c r="N15" s="504"/>
      <c r="O15" s="504"/>
      <c r="P15" s="504"/>
      <c r="Q15" s="511"/>
      <c r="R15" s="451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470"/>
      <c r="C16" s="471"/>
      <c r="D16" s="484" t="s">
        <v>118</v>
      </c>
      <c r="E16" s="485"/>
      <c r="F16" s="426"/>
      <c r="G16" s="493">
        <f>+Diagrama!J77</f>
        <v>176000</v>
      </c>
      <c r="H16" s="493">
        <f>+G16*(1-Diagrama!AE7)</f>
        <v>174709.25658207256</v>
      </c>
      <c r="I16" s="494">
        <f>+Diagrama!N5</f>
        <v>0.64370000000000005</v>
      </c>
      <c r="J16" s="488">
        <f t="shared" ref="J16:J20" si="2">I16*H16</f>
        <v>112460.34846188012</v>
      </c>
      <c r="K16" s="512" t="s">
        <v>119</v>
      </c>
      <c r="L16" s="512"/>
      <c r="M16" s="513"/>
      <c r="N16" s="486">
        <f>+O16</f>
        <v>80959.563825055302</v>
      </c>
      <c r="O16" s="486">
        <f>+Diagrama!J75</f>
        <v>80959.563825055302</v>
      </c>
      <c r="P16" s="487">
        <f>+Diagrama!F28</f>
        <v>8.3799220138465219E-2</v>
      </c>
      <c r="Q16" s="488">
        <f t="shared" ref="Q16:Q17" si="3">P16*O16</f>
        <v>6784.3483112899348</v>
      </c>
      <c r="R16" s="451"/>
      <c r="S16" s="514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470"/>
      <c r="C17" s="471"/>
      <c r="D17" s="484" t="s">
        <v>107</v>
      </c>
      <c r="E17" s="485"/>
      <c r="F17" s="426"/>
      <c r="G17" s="493">
        <f>+Diagrama!J72</f>
        <v>364334</v>
      </c>
      <c r="H17" s="493">
        <f>+G17*(1-Diagrama!AE16)</f>
        <v>332090.44099999999</v>
      </c>
      <c r="I17" s="494">
        <f>+Diagrama!C42</f>
        <v>0.68740042268907109</v>
      </c>
      <c r="J17" s="488">
        <f t="shared" si="2"/>
        <v>228279.10951440001</v>
      </c>
      <c r="K17" s="508" t="s">
        <v>115</v>
      </c>
      <c r="L17" s="504"/>
      <c r="M17" s="505"/>
      <c r="N17" s="515">
        <f>N16</f>
        <v>80959.563825055302</v>
      </c>
      <c r="O17" s="515">
        <f t="shared" ref="O17:P17" si="4">O16</f>
        <v>80959.563825055302</v>
      </c>
      <c r="P17" s="516">
        <f t="shared" si="4"/>
        <v>8.3799220138465219E-2</v>
      </c>
      <c r="Q17" s="517">
        <f t="shared" si="3"/>
        <v>6784.3483112899348</v>
      </c>
      <c r="R17" s="451"/>
      <c r="S17" s="514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470"/>
      <c r="C18" s="471"/>
      <c r="D18" s="484" t="s">
        <v>109</v>
      </c>
      <c r="E18" s="485"/>
      <c r="F18" s="426"/>
      <c r="G18" s="493">
        <f>+Diagrama!J70</f>
        <v>240611</v>
      </c>
      <c r="H18" s="493">
        <f>+G18*(1-Diagrama!AE26)</f>
        <v>239407.94500000001</v>
      </c>
      <c r="I18" s="494">
        <f>+Diagrama!M53</f>
        <v>0.65506562002568458</v>
      </c>
      <c r="J18" s="488">
        <f t="shared" si="2"/>
        <v>156827.91393049998</v>
      </c>
      <c r="K18" s="133"/>
      <c r="L18" s="133"/>
      <c r="M18" s="133"/>
      <c r="N18" s="133"/>
      <c r="O18" s="518"/>
      <c r="P18" s="519"/>
      <c r="Q18" s="519"/>
      <c r="R18" s="451"/>
      <c r="S18" s="514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470"/>
      <c r="C19" s="471"/>
      <c r="D19" s="484" t="s">
        <v>94</v>
      </c>
      <c r="E19" s="485"/>
      <c r="F19" s="426"/>
      <c r="G19" s="493">
        <v>0</v>
      </c>
      <c r="H19" s="493">
        <f>Diagrama!J78*(1-'Datos Extra'!D28)</f>
        <v>0</v>
      </c>
      <c r="I19" s="494">
        <f>+Diagrama!T34</f>
        <v>0</v>
      </c>
      <c r="J19" s="488">
        <f t="shared" si="2"/>
        <v>0</v>
      </c>
      <c r="K19" s="520"/>
      <c r="L19" s="433"/>
      <c r="M19" s="433"/>
      <c r="O19" s="521"/>
      <c r="P19" s="522"/>
      <c r="Q19" s="523"/>
      <c r="R19" s="451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470"/>
      <c r="C20" s="471"/>
      <c r="D20" s="484" t="s">
        <v>111</v>
      </c>
      <c r="E20" s="485"/>
      <c r="F20" s="426"/>
      <c r="G20" s="493">
        <v>0</v>
      </c>
      <c r="H20" s="493">
        <f>+Diagrama!J71*(1-'Datos Extra'!D32)</f>
        <v>0</v>
      </c>
      <c r="I20" s="494">
        <f>+Diagrama!T49</f>
        <v>0</v>
      </c>
      <c r="J20" s="488">
        <f t="shared" si="2"/>
        <v>0</v>
      </c>
      <c r="K20" s="524"/>
      <c r="L20" s="433"/>
      <c r="M20" s="433"/>
      <c r="O20" s="525"/>
      <c r="P20" s="526"/>
      <c r="Q20" s="527"/>
      <c r="R20" s="451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470"/>
      <c r="C21" s="471"/>
      <c r="D21" s="503" t="s">
        <v>115</v>
      </c>
      <c r="E21" s="504"/>
      <c r="F21" s="505"/>
      <c r="G21" s="506">
        <f>SUM(G16:G20)</f>
        <v>780945</v>
      </c>
      <c r="H21" s="506">
        <f>SUM(H16:H20)</f>
        <v>746207.64258207264</v>
      </c>
      <c r="I21" s="507">
        <f>SUMPRODUCT(H16:H20,I16:I20)/H21</f>
        <v>0.66679479479072001</v>
      </c>
      <c r="J21" s="506">
        <f>SUM(J16:J20)</f>
        <v>497567.37190678011</v>
      </c>
      <c r="K21" s="524"/>
      <c r="L21" s="433"/>
      <c r="M21" s="433"/>
      <c r="O21" s="525"/>
      <c r="P21" s="526"/>
      <c r="Q21" s="527"/>
      <c r="R21" s="451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470"/>
      <c r="C22" s="471"/>
      <c r="D22" s="528"/>
      <c r="E22" s="528"/>
      <c r="F22" s="528"/>
      <c r="G22" s="528"/>
      <c r="H22" s="528"/>
      <c r="I22" s="528"/>
      <c r="J22" s="528"/>
      <c r="K22" s="528"/>
      <c r="L22" s="528"/>
      <c r="M22" s="528"/>
      <c r="N22" s="528"/>
      <c r="O22" s="525"/>
      <c r="P22" s="526"/>
      <c r="Q22" s="527"/>
      <c r="R22" s="451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470"/>
      <c r="C23" s="471"/>
      <c r="D23" s="529" t="s">
        <v>120</v>
      </c>
      <c r="E23" s="504"/>
      <c r="F23" s="505"/>
      <c r="G23" s="530"/>
      <c r="H23" s="531" t="s">
        <v>40</v>
      </c>
      <c r="I23" s="531" t="s">
        <v>103</v>
      </c>
      <c r="J23" s="532" t="s">
        <v>41</v>
      </c>
      <c r="K23" s="533" t="s">
        <v>121</v>
      </c>
      <c r="L23" s="534" t="s">
        <v>122</v>
      </c>
      <c r="M23" s="535"/>
      <c r="N23" s="535"/>
      <c r="O23" s="536"/>
      <c r="P23" s="535"/>
      <c r="Q23" s="535"/>
      <c r="R23" s="537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470"/>
      <c r="C24" s="471"/>
      <c r="D24" s="538" t="s">
        <v>123</v>
      </c>
      <c r="E24" s="455"/>
      <c r="F24" s="477"/>
      <c r="G24" s="539"/>
      <c r="H24" s="540"/>
      <c r="I24" s="541"/>
      <c r="J24" s="542"/>
      <c r="K24" s="543"/>
      <c r="L24" s="544"/>
      <c r="M24" s="545"/>
      <c r="N24" s="545"/>
      <c r="O24" s="546">
        <v>0.76</v>
      </c>
      <c r="P24" s="522"/>
      <c r="Q24" s="523"/>
      <c r="R24" s="451"/>
      <c r="S24" s="133"/>
      <c r="T24" s="133"/>
      <c r="U24" s="547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470"/>
      <c r="C25" s="471"/>
      <c r="D25" s="548" t="s">
        <v>124</v>
      </c>
      <c r="E25" s="485"/>
      <c r="F25" s="426"/>
      <c r="G25" s="549"/>
      <c r="H25" s="493"/>
      <c r="I25" s="494"/>
      <c r="J25" s="550"/>
      <c r="K25" s="543"/>
      <c r="L25" s="551"/>
      <c r="M25" s="545"/>
      <c r="N25" s="545"/>
      <c r="O25" s="546">
        <v>8.68</v>
      </c>
      <c r="P25" s="522"/>
      <c r="Q25" s="523"/>
      <c r="R25" s="451"/>
      <c r="S25" s="133"/>
      <c r="T25" s="133"/>
      <c r="U25" s="547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470"/>
      <c r="C26" s="471"/>
      <c r="D26" s="548" t="s">
        <v>125</v>
      </c>
      <c r="E26" s="485"/>
      <c r="F26" s="426"/>
      <c r="G26" s="549"/>
      <c r="H26" s="493"/>
      <c r="I26" s="494"/>
      <c r="J26" s="550"/>
      <c r="K26" s="543"/>
      <c r="L26" s="551"/>
      <c r="M26" s="545"/>
      <c r="N26" s="545"/>
      <c r="O26" s="546">
        <v>0.76</v>
      </c>
      <c r="P26" s="522"/>
      <c r="Q26" s="523"/>
      <c r="R26" s="451"/>
      <c r="S26" s="133"/>
      <c r="T26" s="133"/>
      <c r="U26" s="547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470"/>
      <c r="C27" s="471"/>
      <c r="D27" s="548" t="s">
        <v>126</v>
      </c>
      <c r="E27" s="485"/>
      <c r="F27" s="426"/>
      <c r="G27" s="549"/>
      <c r="H27" s="493"/>
      <c r="I27" s="494"/>
      <c r="J27" s="550"/>
      <c r="K27" s="543"/>
      <c r="L27" s="551"/>
      <c r="M27" s="545"/>
      <c r="N27" s="545"/>
      <c r="O27" s="546">
        <v>8.39</v>
      </c>
      <c r="P27" s="522"/>
      <c r="Q27" s="523"/>
      <c r="R27" s="451"/>
      <c r="S27" s="133"/>
      <c r="T27" s="133"/>
      <c r="U27" s="547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470"/>
      <c r="C28" s="471"/>
      <c r="D28" s="552" t="s">
        <v>127</v>
      </c>
      <c r="E28" s="553"/>
      <c r="F28" s="554"/>
      <c r="G28" s="555"/>
      <c r="H28" s="493"/>
      <c r="I28" s="494"/>
      <c r="J28" s="556"/>
      <c r="K28" s="557"/>
      <c r="L28" s="558"/>
      <c r="M28" s="545"/>
      <c r="N28" s="545"/>
      <c r="O28" s="546"/>
      <c r="P28" s="522"/>
      <c r="Q28" s="523"/>
      <c r="R28" s="451"/>
      <c r="S28" s="133"/>
      <c r="T28" s="133"/>
      <c r="U28" s="547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470"/>
      <c r="C29" s="471"/>
      <c r="D29" s="484" t="s">
        <v>128</v>
      </c>
      <c r="E29" s="485"/>
      <c r="F29" s="426"/>
      <c r="G29" s="549"/>
      <c r="H29" s="493"/>
      <c r="I29" s="494"/>
      <c r="J29" s="550"/>
      <c r="K29" s="543"/>
      <c r="L29" s="551"/>
      <c r="M29" s="545"/>
      <c r="N29" s="545"/>
      <c r="O29" s="546">
        <v>0.05</v>
      </c>
      <c r="P29" s="522"/>
      <c r="Q29" s="523"/>
      <c r="R29" s="451"/>
      <c r="S29" s="133"/>
      <c r="T29" s="133"/>
      <c r="U29" s="547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470"/>
      <c r="C30" s="471"/>
      <c r="D30" s="559" t="s">
        <v>129</v>
      </c>
      <c r="E30" s="496"/>
      <c r="F30" s="497"/>
      <c r="G30" s="560"/>
      <c r="H30" s="561"/>
      <c r="I30" s="562"/>
      <c r="J30" s="563"/>
      <c r="K30" s="543"/>
      <c r="L30" s="558"/>
      <c r="M30" s="545"/>
      <c r="N30" s="545"/>
      <c r="O30" s="546">
        <v>0.05</v>
      </c>
      <c r="P30" s="522"/>
      <c r="Q30" s="523"/>
      <c r="R30" s="451"/>
      <c r="S30" s="133"/>
      <c r="T30" s="133"/>
      <c r="U30" s="547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470"/>
      <c r="C31" s="471"/>
      <c r="D31" s="564" t="s">
        <v>115</v>
      </c>
      <c r="E31" s="504"/>
      <c r="F31" s="505"/>
      <c r="G31" s="530"/>
      <c r="H31" s="515">
        <v>0</v>
      </c>
      <c r="I31" s="516"/>
      <c r="J31" s="565">
        <v>0</v>
      </c>
      <c r="K31" s="566">
        <v>0</v>
      </c>
      <c r="L31" s="517">
        <v>0</v>
      </c>
      <c r="M31" s="535"/>
      <c r="N31" s="535"/>
      <c r="O31" s="527"/>
      <c r="P31" s="526"/>
      <c r="Q31" s="527"/>
      <c r="R31" s="451"/>
      <c r="S31" s="133"/>
      <c r="T31" s="133"/>
      <c r="U31" s="547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470"/>
      <c r="C32" s="133"/>
      <c r="D32" s="567"/>
      <c r="E32" s="133"/>
      <c r="F32" s="133"/>
      <c r="G32" s="133"/>
      <c r="H32" s="133"/>
      <c r="I32" s="568"/>
      <c r="J32" s="568"/>
      <c r="K32" s="568"/>
      <c r="L32" s="569"/>
      <c r="M32" s="568"/>
      <c r="N32" s="568"/>
      <c r="O32" s="133"/>
      <c r="P32" s="570"/>
      <c r="Q32" s="133"/>
      <c r="R32" s="451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470"/>
      <c r="C33" s="133"/>
      <c r="D33" s="571" t="s">
        <v>130</v>
      </c>
      <c r="E33" s="504"/>
      <c r="F33" s="504"/>
      <c r="G33" s="504"/>
      <c r="H33" s="504"/>
      <c r="I33" s="504"/>
      <c r="J33" s="504"/>
      <c r="K33" s="504"/>
      <c r="L33" s="504"/>
      <c r="M33" s="504"/>
      <c r="N33" s="504"/>
      <c r="O33" s="504"/>
      <c r="P33" s="504"/>
      <c r="Q33" s="511"/>
      <c r="R33" s="451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47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451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470"/>
      <c r="C35" s="133"/>
      <c r="D35" s="572" t="s">
        <v>131</v>
      </c>
      <c r="E35" s="504"/>
      <c r="F35" s="511"/>
      <c r="G35" s="573"/>
      <c r="H35" s="574"/>
      <c r="I35" s="575"/>
      <c r="J35" s="133"/>
      <c r="K35" s="572" t="s">
        <v>132</v>
      </c>
      <c r="L35" s="504"/>
      <c r="M35" s="511"/>
      <c r="N35" s="573"/>
      <c r="O35" s="574"/>
      <c r="P35" s="575"/>
      <c r="Q35" s="133"/>
      <c r="R35" s="451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470"/>
      <c r="C36" s="133"/>
      <c r="D36" s="576">
        <f>+Diagrama!O19</f>
        <v>0.86635997358641803</v>
      </c>
      <c r="E36" s="449"/>
      <c r="F36" s="450"/>
      <c r="G36" s="573"/>
      <c r="H36" s="577"/>
      <c r="I36" s="578"/>
      <c r="J36" s="133"/>
      <c r="K36" s="579">
        <f>+Diagrama!O21</f>
        <v>0.99336272867831332</v>
      </c>
      <c r="L36" s="580"/>
      <c r="M36" s="581"/>
      <c r="N36" s="582"/>
      <c r="O36" s="578"/>
      <c r="P36" s="578"/>
      <c r="Q36" s="133"/>
      <c r="R36" s="451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470"/>
      <c r="C37" s="133"/>
      <c r="D37" s="463"/>
      <c r="E37" s="466"/>
      <c r="F37" s="467"/>
      <c r="G37" s="573"/>
      <c r="H37" s="583"/>
      <c r="I37" s="584"/>
      <c r="J37" s="133"/>
      <c r="K37" s="585"/>
      <c r="L37" s="586"/>
      <c r="M37" s="587"/>
      <c r="N37" s="582"/>
      <c r="O37" s="588"/>
      <c r="P37" s="584"/>
      <c r="Q37" s="133"/>
      <c r="R37" s="451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470"/>
      <c r="C38" s="133"/>
      <c r="D38" s="589"/>
      <c r="E38" s="589"/>
      <c r="F38" s="589"/>
      <c r="G38" s="589"/>
      <c r="H38" s="590"/>
      <c r="I38" s="591"/>
      <c r="J38" s="133"/>
      <c r="K38" s="589"/>
      <c r="L38" s="589"/>
      <c r="M38" s="589"/>
      <c r="N38" s="589"/>
      <c r="O38" s="592"/>
      <c r="P38" s="593"/>
      <c r="Q38" s="133"/>
      <c r="R38" s="451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594"/>
      <c r="C39" s="595"/>
      <c r="D39" s="595"/>
      <c r="E39" s="595"/>
      <c r="F39" s="595"/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595"/>
      <c r="R39" s="59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59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3:Q33"/>
    <mergeCell ref="D35:F35"/>
    <mergeCell ref="H35:I35"/>
    <mergeCell ref="K35:M35"/>
    <mergeCell ref="O35:P35"/>
    <mergeCell ref="D36:F37"/>
    <mergeCell ref="K36:M37"/>
    <mergeCell ref="D25:F25"/>
    <mergeCell ref="D26:F26"/>
    <mergeCell ref="D27:F27"/>
    <mergeCell ref="D29:F29"/>
    <mergeCell ref="D30:F30"/>
    <mergeCell ref="D31:F31"/>
    <mergeCell ref="D20:F20"/>
    <mergeCell ref="K20:M20"/>
    <mergeCell ref="D21:F21"/>
    <mergeCell ref="K21:M21"/>
    <mergeCell ref="D23:F23"/>
    <mergeCell ref="D24:F24"/>
    <mergeCell ref="D16:F16"/>
    <mergeCell ref="D17:F17"/>
    <mergeCell ref="K17:M17"/>
    <mergeCell ref="D18:F18"/>
    <mergeCell ref="D19:F19"/>
    <mergeCell ref="K19:M19"/>
    <mergeCell ref="D12:F12"/>
    <mergeCell ref="K12:M12"/>
    <mergeCell ref="D13:F13"/>
    <mergeCell ref="D14:F14"/>
    <mergeCell ref="K14:M14"/>
    <mergeCell ref="D15:J15"/>
    <mergeCell ref="K15:Q15"/>
    <mergeCell ref="D9:J9"/>
    <mergeCell ref="K9:Q9"/>
    <mergeCell ref="D10:F10"/>
    <mergeCell ref="K10:M10"/>
    <mergeCell ref="D11:F11"/>
    <mergeCell ref="K11:M11"/>
    <mergeCell ref="D2:E5"/>
    <mergeCell ref="F2:Q3"/>
    <mergeCell ref="F4:L5"/>
    <mergeCell ref="M4:O5"/>
    <mergeCell ref="P4:Q5"/>
    <mergeCell ref="D7:F8"/>
    <mergeCell ref="K7:M8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380" t="s">
        <v>45</v>
      </c>
      <c r="K44" s="381"/>
      <c r="M44" s="382" t="s">
        <v>46</v>
      </c>
      <c r="N44" s="383"/>
      <c r="O44" s="384"/>
      <c r="R44" s="385" t="s">
        <v>47</v>
      </c>
      <c r="S44" s="381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386" t="s">
        <v>59</v>
      </c>
      <c r="K71" s="381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395" t="s">
        <v>63</v>
      </c>
      <c r="Q7" s="381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95" t="s">
        <v>20</v>
      </c>
      <c r="Q10" s="381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396" t="s">
        <v>66</v>
      </c>
      <c r="Q13" s="381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394" t="s">
        <v>68</v>
      </c>
      <c r="F44" s="389"/>
      <c r="G44" s="392"/>
      <c r="H44" s="394" t="s">
        <v>69</v>
      </c>
      <c r="I44" s="389"/>
      <c r="J44" s="381"/>
      <c r="K44" s="397" t="s">
        <v>70</v>
      </c>
      <c r="L44" s="389"/>
      <c r="M44" s="389"/>
      <c r="N44" s="381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388" t="s">
        <v>72</v>
      </c>
      <c r="I45" s="381"/>
      <c r="J45" s="27">
        <f>+E7</f>
        <v>1770.5761999999995</v>
      </c>
      <c r="K45" s="388" t="s">
        <v>73</v>
      </c>
      <c r="L45" s="389"/>
      <c r="M45" s="381"/>
      <c r="N45" s="27">
        <f>+C8</f>
        <v>12961.629000000001</v>
      </c>
    </row>
    <row r="46" spans="2:20" ht="15.75" customHeight="1" x14ac:dyDescent="0.2">
      <c r="E46" s="386"/>
      <c r="F46" s="381"/>
      <c r="G46" s="16"/>
      <c r="H46" s="388" t="s">
        <v>74</v>
      </c>
      <c r="I46" s="381"/>
      <c r="J46" s="27">
        <f>+J19</f>
        <v>44584.890479986498</v>
      </c>
      <c r="K46" s="388" t="s">
        <v>75</v>
      </c>
      <c r="L46" s="389"/>
      <c r="M46" s="381"/>
      <c r="N46" s="27">
        <f>+C28</f>
        <v>16162.331</v>
      </c>
    </row>
    <row r="47" spans="2:20" ht="15.75" customHeight="1" x14ac:dyDescent="0.2">
      <c r="E47" s="386"/>
      <c r="F47" s="381"/>
      <c r="G47" s="16"/>
      <c r="H47" s="388" t="s">
        <v>76</v>
      </c>
      <c r="I47" s="381"/>
      <c r="J47" s="27">
        <f>+G27</f>
        <v>-359512.14169349719</v>
      </c>
      <c r="K47" s="388" t="s">
        <v>77</v>
      </c>
      <c r="L47" s="389"/>
      <c r="M47" s="381"/>
      <c r="N47" s="27">
        <f>+S36</f>
        <v>19130.865000000002</v>
      </c>
    </row>
    <row r="48" spans="2:20" ht="15.75" customHeight="1" x14ac:dyDescent="0.2">
      <c r="E48" s="386"/>
      <c r="F48" s="381"/>
      <c r="G48" s="16"/>
      <c r="H48" s="77" t="s">
        <v>78</v>
      </c>
      <c r="I48" s="77"/>
      <c r="J48" s="27">
        <f>+O20</f>
        <v>-14174.322317347061</v>
      </c>
      <c r="K48" s="388" t="s">
        <v>79</v>
      </c>
      <c r="L48" s="389"/>
      <c r="M48" s="381"/>
      <c r="N48" s="27">
        <f>+S28</f>
        <v>108284.65870939114</v>
      </c>
    </row>
    <row r="49" spans="5:14" ht="15.75" customHeight="1" x14ac:dyDescent="0.2">
      <c r="E49" s="386"/>
      <c r="F49" s="381"/>
      <c r="G49" s="16"/>
      <c r="H49" s="388" t="s">
        <v>80</v>
      </c>
      <c r="I49" s="381"/>
      <c r="J49" s="27">
        <f>+P40</f>
        <v>-311.60807004405433</v>
      </c>
      <c r="K49" s="388" t="s">
        <v>81</v>
      </c>
      <c r="L49" s="389"/>
      <c r="M49" s="381"/>
      <c r="N49" s="27">
        <f>+G36</f>
        <v>673884.94200000004</v>
      </c>
    </row>
    <row r="50" spans="5:14" ht="15.75" customHeight="1" x14ac:dyDescent="0.25">
      <c r="E50" s="391" t="s">
        <v>82</v>
      </c>
      <c r="F50" s="381"/>
      <c r="G50" s="78">
        <f>+G45</f>
        <v>502781.82030850503</v>
      </c>
      <c r="H50" s="387" t="s">
        <v>83</v>
      </c>
      <c r="I50" s="381"/>
      <c r="J50" s="79">
        <f>+SUM(J45:J49)</f>
        <v>-327642.60540090181</v>
      </c>
      <c r="K50" s="387" t="s">
        <v>84</v>
      </c>
      <c r="L50" s="389"/>
      <c r="M50" s="381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390" t="s">
        <v>68</v>
      </c>
      <c r="F55" s="389"/>
      <c r="G55" s="392"/>
      <c r="H55" s="390" t="s">
        <v>69</v>
      </c>
      <c r="I55" s="389"/>
      <c r="J55" s="381"/>
      <c r="K55" s="393" t="s">
        <v>70</v>
      </c>
      <c r="L55" s="389"/>
      <c r="M55" s="389"/>
      <c r="N55" s="381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388" t="s">
        <v>72</v>
      </c>
      <c r="I56" s="381"/>
      <c r="J56" s="27" t="e">
        <f>+'Bal Los Colorados'!O49*'Bal Los Colorados'!G49</f>
        <v>#REF!</v>
      </c>
      <c r="K56" s="388" t="s">
        <v>73</v>
      </c>
      <c r="L56" s="389"/>
      <c r="M56" s="381"/>
      <c r="N56" s="27">
        <f>+C10</f>
        <v>7704.8210577451482</v>
      </c>
    </row>
    <row r="57" spans="5:14" ht="15.75" customHeight="1" x14ac:dyDescent="0.2">
      <c r="E57" s="386"/>
      <c r="F57" s="381"/>
      <c r="G57" s="16"/>
      <c r="H57" s="388" t="s">
        <v>74</v>
      </c>
      <c r="I57" s="381"/>
      <c r="J57" s="27" t="e">
        <f>+'Bal Los Colorados'!O53*'Bal Los Colorados'!G53</f>
        <v>#REF!</v>
      </c>
      <c r="K57" s="388" t="s">
        <v>75</v>
      </c>
      <c r="L57" s="389"/>
      <c r="M57" s="381"/>
      <c r="N57" s="27">
        <f>+C30</f>
        <v>9675.4587302503223</v>
      </c>
    </row>
    <row r="58" spans="5:14" ht="15.75" customHeight="1" x14ac:dyDescent="0.2">
      <c r="E58" s="386"/>
      <c r="F58" s="381"/>
      <c r="G58" s="16"/>
      <c r="H58" s="388" t="s">
        <v>76</v>
      </c>
      <c r="I58" s="381"/>
      <c r="J58" s="27" t="e">
        <f>+'Bal Los Colorados'!O56*'Bal Los Colorados'!G56</f>
        <v>#REF!</v>
      </c>
      <c r="K58" s="388" t="s">
        <v>77</v>
      </c>
      <c r="L58" s="389"/>
      <c r="M58" s="381"/>
      <c r="N58" s="27">
        <f>+S38</f>
        <v>7620.3234035700007</v>
      </c>
    </row>
    <row r="59" spans="5:14" ht="15.75" customHeight="1" x14ac:dyDescent="0.2">
      <c r="E59" s="386"/>
      <c r="F59" s="381"/>
      <c r="G59" s="16"/>
      <c r="H59" s="77" t="s">
        <v>78</v>
      </c>
      <c r="I59" s="77"/>
      <c r="J59" s="27" t="e">
        <f>+'Bal Los Colorados'!O62*'Bal Los Colorados'!G62</f>
        <v>#REF!</v>
      </c>
      <c r="K59" s="388" t="s">
        <v>79</v>
      </c>
      <c r="L59" s="389"/>
      <c r="M59" s="381"/>
      <c r="N59" s="27">
        <f>+S30</f>
        <v>14049.347154701374</v>
      </c>
    </row>
    <row r="60" spans="5:14" ht="15.75" customHeight="1" x14ac:dyDescent="0.2">
      <c r="E60" s="386"/>
      <c r="F60" s="381"/>
      <c r="G60" s="16"/>
      <c r="H60" s="388" t="s">
        <v>80</v>
      </c>
      <c r="I60" s="381"/>
      <c r="J60" s="27" t="e">
        <f>+'Bal Los Colorados'!O67*'Bal Los Colorados'!G67</f>
        <v>#REF!</v>
      </c>
      <c r="K60" s="388" t="s">
        <v>81</v>
      </c>
      <c r="L60" s="389"/>
      <c r="M60" s="381"/>
      <c r="N60" s="27">
        <f>+G38</f>
        <v>410848.95586592209</v>
      </c>
    </row>
    <row r="61" spans="5:14" ht="15.75" customHeight="1" x14ac:dyDescent="0.25">
      <c r="E61" s="391" t="s">
        <v>82</v>
      </c>
      <c r="F61" s="381"/>
      <c r="G61" s="78">
        <f>+G56</f>
        <v>231983.78607040126</v>
      </c>
      <c r="H61" s="387" t="s">
        <v>83</v>
      </c>
      <c r="I61" s="381"/>
      <c r="J61" s="79" t="e">
        <f>+SUM(J56:J60)</f>
        <v>#REF!</v>
      </c>
      <c r="K61" s="387" t="s">
        <v>84</v>
      </c>
      <c r="L61" s="389"/>
      <c r="M61" s="381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22" workbookViewId="0">
      <selection activeCell="B28" sqref="B28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342" t="s">
        <v>171</v>
      </c>
      <c r="B1" s="342"/>
      <c r="C1" s="343"/>
      <c r="D1" s="344">
        <v>8.2565315053515272E-3</v>
      </c>
      <c r="E1" s="324"/>
      <c r="F1" s="341"/>
    </row>
    <row r="2" spans="1:6" ht="24" x14ac:dyDescent="0.3">
      <c r="A2" s="345" t="s">
        <v>172</v>
      </c>
      <c r="B2" s="346"/>
      <c r="C2" s="345"/>
      <c r="D2" s="347">
        <v>7.3337694200423E-3</v>
      </c>
      <c r="E2" s="324"/>
      <c r="F2" s="341"/>
    </row>
    <row r="3" spans="1:6" ht="24" x14ac:dyDescent="0.3">
      <c r="A3" s="345" t="s">
        <v>173</v>
      </c>
      <c r="B3" s="346"/>
      <c r="C3" s="345"/>
      <c r="D3" s="347">
        <v>1.04E-2</v>
      </c>
      <c r="E3" s="324"/>
      <c r="F3" s="326"/>
    </row>
    <row r="4" spans="1:6" ht="24" x14ac:dyDescent="0.3">
      <c r="A4" s="345" t="s">
        <v>175</v>
      </c>
      <c r="B4" s="346"/>
      <c r="C4" s="345"/>
      <c r="D4" s="347">
        <v>8.6564242834441009E-3</v>
      </c>
      <c r="E4" s="324"/>
      <c r="F4" s="324"/>
    </row>
    <row r="5" spans="1:6" ht="24" x14ac:dyDescent="0.3">
      <c r="A5" s="345" t="s">
        <v>139</v>
      </c>
      <c r="B5" s="346"/>
      <c r="C5" s="345"/>
      <c r="D5" s="347">
        <v>8.6999999999999994E-3</v>
      </c>
      <c r="E5" s="324"/>
      <c r="F5" s="324"/>
    </row>
    <row r="6" spans="1:6" ht="24" x14ac:dyDescent="0.3">
      <c r="A6" s="345" t="s">
        <v>8</v>
      </c>
      <c r="B6" s="346"/>
      <c r="C6" s="345"/>
      <c r="D6" s="347">
        <v>8.6E-3</v>
      </c>
    </row>
    <row r="7" spans="1:6" ht="24" x14ac:dyDescent="0.3">
      <c r="A7" s="345" t="s">
        <v>140</v>
      </c>
      <c r="B7" s="346"/>
      <c r="C7" s="345"/>
      <c r="D7" s="347">
        <v>7.6E-3</v>
      </c>
    </row>
    <row r="8" spans="1:6" ht="24" x14ac:dyDescent="0.3">
      <c r="A8" s="345" t="s">
        <v>87</v>
      </c>
      <c r="B8" s="346"/>
      <c r="C8" s="345"/>
      <c r="D8" s="347">
        <v>0</v>
      </c>
    </row>
    <row r="9" spans="1:6" ht="24" x14ac:dyDescent="0.3">
      <c r="A9" s="345" t="s">
        <v>141</v>
      </c>
      <c r="B9" s="346"/>
      <c r="C9" s="345"/>
      <c r="D9" s="347">
        <v>0.11174159282958218</v>
      </c>
    </row>
    <row r="10" spans="1:6" ht="24" x14ac:dyDescent="0.3">
      <c r="A10" s="345" t="s">
        <v>142</v>
      </c>
      <c r="B10" s="346"/>
      <c r="C10" s="345"/>
      <c r="D10" s="347">
        <v>9.8900000000000002E-2</v>
      </c>
    </row>
    <row r="11" spans="1:6" ht="24" x14ac:dyDescent="0.3">
      <c r="A11" s="345" t="s">
        <v>181</v>
      </c>
      <c r="B11" s="346"/>
      <c r="C11" s="345"/>
      <c r="D11" s="347">
        <v>8.8499999999999995E-2</v>
      </c>
    </row>
    <row r="12" spans="1:6" ht="24" x14ac:dyDescent="0.3">
      <c r="A12" s="345" t="s">
        <v>183</v>
      </c>
      <c r="B12" s="346"/>
      <c r="C12" s="345"/>
      <c r="D12" s="347">
        <v>0</v>
      </c>
    </row>
    <row r="13" spans="1:6" ht="24" x14ac:dyDescent="0.3">
      <c r="A13" s="345" t="s">
        <v>143</v>
      </c>
      <c r="B13" s="346"/>
      <c r="C13" s="345"/>
      <c r="D13" s="347">
        <v>0</v>
      </c>
    </row>
    <row r="14" spans="1:6" ht="24" x14ac:dyDescent="0.3">
      <c r="A14" s="345" t="s">
        <v>189</v>
      </c>
      <c r="B14" s="346"/>
      <c r="C14" s="345"/>
      <c r="D14" s="347">
        <v>8.8099999999999998E-2</v>
      </c>
    </row>
    <row r="15" spans="1:6" ht="24" x14ac:dyDescent="0.3">
      <c r="A15" s="345" t="s">
        <v>194</v>
      </c>
      <c r="B15" s="346"/>
      <c r="C15" s="345"/>
      <c r="D15" s="347">
        <v>2E-3</v>
      </c>
    </row>
    <row r="16" spans="1:6" ht="24" x14ac:dyDescent="0.3">
      <c r="A16" s="345" t="s">
        <v>198</v>
      </c>
      <c r="B16" s="346"/>
      <c r="C16" s="345"/>
      <c r="D16" s="347">
        <v>0.17672850168632548</v>
      </c>
    </row>
    <row r="17" spans="1:4" ht="24" x14ac:dyDescent="0.3">
      <c r="A17" s="345" t="s">
        <v>144</v>
      </c>
      <c r="B17" s="346"/>
      <c r="C17" s="345"/>
      <c r="D17" s="347">
        <v>5.0000000000000001E-3</v>
      </c>
    </row>
    <row r="18" spans="1:4" ht="24" x14ac:dyDescent="0.3">
      <c r="A18" s="345" t="s">
        <v>145</v>
      </c>
      <c r="B18" s="346"/>
      <c r="C18" s="345"/>
      <c r="D18" s="347">
        <v>5.1612903225806139E-3</v>
      </c>
    </row>
    <row r="19" spans="1:4" ht="24" x14ac:dyDescent="0.3">
      <c r="A19" s="345" t="s">
        <v>146</v>
      </c>
      <c r="B19" s="346"/>
      <c r="C19" s="345"/>
      <c r="D19" s="347">
        <v>4.9999999999998934E-3</v>
      </c>
    </row>
    <row r="20" spans="1:4" ht="24" x14ac:dyDescent="0.3">
      <c r="A20" s="345" t="s">
        <v>147</v>
      </c>
      <c r="B20" s="346"/>
      <c r="C20" s="345"/>
      <c r="D20" s="347">
        <v>5.0000000000000001E-3</v>
      </c>
    </row>
    <row r="21" spans="1:4" ht="24" x14ac:dyDescent="0.3">
      <c r="A21" s="345" t="s">
        <v>148</v>
      </c>
      <c r="B21" s="346"/>
      <c r="C21" s="345"/>
      <c r="D21" s="347">
        <v>5.0000000000000001E-3</v>
      </c>
    </row>
    <row r="22" spans="1:4" ht="24" x14ac:dyDescent="0.3">
      <c r="A22" s="345" t="s">
        <v>10</v>
      </c>
      <c r="B22" s="346"/>
      <c r="C22" s="345"/>
      <c r="D22" s="347">
        <v>5.0000000000000001E-3</v>
      </c>
    </row>
    <row r="23" spans="1:4" ht="24" x14ac:dyDescent="0.3">
      <c r="A23" s="345" t="s">
        <v>207</v>
      </c>
      <c r="B23" s="346"/>
      <c r="C23" s="345"/>
      <c r="D23" s="347">
        <v>1.0609981671660898E-2</v>
      </c>
    </row>
    <row r="24" spans="1:4" ht="24" x14ac:dyDescent="0.3">
      <c r="A24" s="345" t="s">
        <v>92</v>
      </c>
      <c r="B24" s="346">
        <v>9561.2951012849808</v>
      </c>
      <c r="C24" s="345">
        <v>9482.3519670492587</v>
      </c>
      <c r="D24" s="347">
        <v>8.2565315053515272E-3</v>
      </c>
    </row>
    <row r="25" spans="1:4" ht="24" x14ac:dyDescent="0.3">
      <c r="A25" s="348" t="s">
        <v>93</v>
      </c>
      <c r="B25" s="346">
        <v>206592.68611022949</v>
      </c>
      <c r="C25" s="349">
        <v>205077.58298642989</v>
      </c>
      <c r="D25" s="350">
        <v>7.3337694200423E-3</v>
      </c>
    </row>
    <row r="26" spans="1:4" ht="24" x14ac:dyDescent="0.3">
      <c r="A26" s="348" t="s">
        <v>174</v>
      </c>
      <c r="B26" s="346">
        <v>550</v>
      </c>
      <c r="C26" s="349">
        <v>545.27</v>
      </c>
      <c r="D26" s="350">
        <v>8.6E-3</v>
      </c>
    </row>
    <row r="27" spans="1:4" ht="24" x14ac:dyDescent="0.3">
      <c r="A27" s="348" t="s">
        <v>176</v>
      </c>
      <c r="B27" s="346">
        <v>1440</v>
      </c>
      <c r="C27" s="349">
        <v>1440</v>
      </c>
      <c r="D27" s="350">
        <v>0</v>
      </c>
    </row>
    <row r="28" spans="1:4" ht="24" x14ac:dyDescent="0.3">
      <c r="A28" s="348" t="s">
        <v>107</v>
      </c>
      <c r="B28" s="346">
        <v>218541.48310889813</v>
      </c>
      <c r="C28" s="349">
        <v>199200.56185376065</v>
      </c>
      <c r="D28" s="350">
        <v>8.8499999999999995E-2</v>
      </c>
    </row>
    <row r="29" spans="1:4" ht="24" x14ac:dyDescent="0.3">
      <c r="A29" s="348" t="s">
        <v>177</v>
      </c>
      <c r="B29" s="346">
        <v>0</v>
      </c>
      <c r="C29" s="349">
        <v>0</v>
      </c>
      <c r="D29" s="350">
        <v>0</v>
      </c>
    </row>
    <row r="30" spans="1:4" ht="24" x14ac:dyDescent="0.3">
      <c r="A30" s="348" t="s">
        <v>109</v>
      </c>
      <c r="B30" s="346">
        <v>233821</v>
      </c>
      <c r="C30" s="349">
        <v>232651.89499999999</v>
      </c>
      <c r="D30" s="350">
        <v>5.0000000000000001E-3</v>
      </c>
    </row>
    <row r="31" spans="1:4" ht="24" x14ac:dyDescent="0.3">
      <c r="A31" s="348" t="s">
        <v>178</v>
      </c>
      <c r="B31" s="346">
        <v>99746</v>
      </c>
      <c r="C31" s="349">
        <v>99247.27</v>
      </c>
      <c r="D31" s="350">
        <v>5.0000000000000001E-3</v>
      </c>
    </row>
    <row r="32" spans="1:4" ht="24" x14ac:dyDescent="0.3">
      <c r="A32" s="348" t="s">
        <v>179</v>
      </c>
      <c r="B32" s="346">
        <v>0</v>
      </c>
      <c r="C32" s="349">
        <v>0</v>
      </c>
      <c r="D32" s="350">
        <v>3.5000000000000003E-2</v>
      </c>
    </row>
    <row r="33" spans="1:4" ht="24" x14ac:dyDescent="0.3">
      <c r="A33" s="348" t="s">
        <v>180</v>
      </c>
      <c r="B33" s="346">
        <v>0</v>
      </c>
      <c r="C33" s="349">
        <v>0</v>
      </c>
      <c r="D33" s="350">
        <v>0</v>
      </c>
    </row>
    <row r="34" spans="1:4" ht="24" x14ac:dyDescent="0.3">
      <c r="A34" s="348" t="s">
        <v>158</v>
      </c>
      <c r="B34" s="346">
        <v>200437</v>
      </c>
      <c r="C34" s="349"/>
      <c r="D34" s="350"/>
    </row>
    <row r="35" spans="1:4" ht="24" x14ac:dyDescent="0.3">
      <c r="A35" s="353" t="s">
        <v>88</v>
      </c>
      <c r="B35" s="354">
        <v>88708</v>
      </c>
      <c r="C35" s="355"/>
      <c r="D35" s="355"/>
    </row>
    <row r="36" spans="1:4" ht="24" x14ac:dyDescent="0.3">
      <c r="A36" s="353" t="s">
        <v>89</v>
      </c>
      <c r="B36" s="354">
        <v>382282</v>
      </c>
      <c r="C36" s="355"/>
      <c r="D36" s="355"/>
    </row>
    <row r="37" spans="1:4" ht="24" x14ac:dyDescent="0.3">
      <c r="A37" s="353" t="s">
        <v>159</v>
      </c>
      <c r="B37" s="354"/>
      <c r="C37" s="355"/>
      <c r="D37" s="355"/>
    </row>
    <row r="38" spans="1:4" ht="24" x14ac:dyDescent="0.3">
      <c r="A38" s="353" t="s">
        <v>90</v>
      </c>
      <c r="B38" s="354"/>
      <c r="C38" s="355"/>
      <c r="D38" s="355"/>
    </row>
    <row r="39" spans="1:4" ht="24" x14ac:dyDescent="0.3">
      <c r="A39" s="353" t="s">
        <v>91</v>
      </c>
      <c r="B39" s="354"/>
      <c r="C39" s="355"/>
      <c r="D39" s="355"/>
    </row>
    <row r="40" spans="1:4" ht="24" x14ac:dyDescent="0.3">
      <c r="A40" s="353" t="s">
        <v>92</v>
      </c>
      <c r="B40" s="354">
        <v>8766</v>
      </c>
      <c r="C40" s="355"/>
      <c r="D40" s="355"/>
    </row>
    <row r="41" spans="1:4" ht="24" x14ac:dyDescent="0.3">
      <c r="A41" s="353" t="s">
        <v>93</v>
      </c>
      <c r="B41" s="354">
        <v>146083</v>
      </c>
      <c r="C41" s="355"/>
      <c r="D41" s="355"/>
    </row>
    <row r="42" spans="1:4" ht="24" x14ac:dyDescent="0.3">
      <c r="A42" s="353" t="s">
        <v>94</v>
      </c>
      <c r="B42" s="354">
        <v>0</v>
      </c>
      <c r="C42" s="355"/>
      <c r="D42" s="355"/>
    </row>
    <row r="43" spans="1:4" ht="24" x14ac:dyDescent="0.3">
      <c r="A43" s="353" t="s">
        <v>95</v>
      </c>
      <c r="B43" s="354">
        <v>27</v>
      </c>
      <c r="C43" s="355"/>
      <c r="D43" s="355"/>
    </row>
    <row r="44" spans="1:4" ht="24" x14ac:dyDescent="0.3">
      <c r="A44" s="353" t="s">
        <v>96</v>
      </c>
      <c r="B44" s="354">
        <v>25122</v>
      </c>
      <c r="C44" s="355"/>
      <c r="D44" s="355"/>
    </row>
    <row r="45" spans="1:4" ht="24" x14ac:dyDescent="0.3">
      <c r="A45" s="353" t="s">
        <v>254</v>
      </c>
      <c r="B45" s="354">
        <v>841140</v>
      </c>
      <c r="C45" s="355">
        <v>1</v>
      </c>
      <c r="D45" s="355">
        <v>2.65</v>
      </c>
    </row>
    <row r="46" spans="1:4" ht="24" x14ac:dyDescent="0.3">
      <c r="A46" s="356" t="s">
        <v>255</v>
      </c>
      <c r="B46" s="357">
        <v>841140</v>
      </c>
      <c r="C46" s="358">
        <v>1</v>
      </c>
      <c r="D46" s="359">
        <v>1.7937498607364257</v>
      </c>
    </row>
    <row r="47" spans="1:4" ht="24" x14ac:dyDescent="0.3">
      <c r="A47" s="360" t="s">
        <v>256</v>
      </c>
      <c r="B47" s="357">
        <v>799464</v>
      </c>
      <c r="C47" s="358">
        <v>0.85</v>
      </c>
      <c r="D47" s="361">
        <v>0.93275003802393297</v>
      </c>
    </row>
    <row r="48" spans="1:4" ht="24" x14ac:dyDescent="0.3">
      <c r="A48" s="356" t="s">
        <v>257</v>
      </c>
      <c r="B48" s="357">
        <v>309440</v>
      </c>
      <c r="C48" s="358">
        <v>0.15</v>
      </c>
      <c r="D48" s="361">
        <v>1.1554858656662388</v>
      </c>
    </row>
    <row r="49" spans="1:4" ht="24" x14ac:dyDescent="0.3">
      <c r="A49" s="356" t="s">
        <v>258</v>
      </c>
      <c r="B49" s="357">
        <v>719345</v>
      </c>
      <c r="C49" s="358">
        <v>1</v>
      </c>
      <c r="D49" s="361">
        <v>6.7708475606506466</v>
      </c>
    </row>
    <row r="50" spans="1:4" ht="15.75" customHeight="1" x14ac:dyDescent="0.3">
      <c r="A50" s="356" t="s">
        <v>260</v>
      </c>
      <c r="B50" s="357"/>
      <c r="C50" s="358"/>
      <c r="D50" s="361">
        <v>12.73464883638535</v>
      </c>
    </row>
    <row r="51" spans="1:4" ht="15.75" customHeight="1" x14ac:dyDescent="0.3">
      <c r="A51" s="356" t="s">
        <v>261</v>
      </c>
      <c r="B51" s="356"/>
      <c r="C51" s="362"/>
      <c r="D51" s="363">
        <v>20.331616421326252</v>
      </c>
    </row>
    <row r="52" spans="1:4" ht="15.75" customHeight="1" x14ac:dyDescent="0.3">
      <c r="A52" s="356" t="s">
        <v>262</v>
      </c>
      <c r="B52" s="356"/>
      <c r="C52" s="362"/>
      <c r="D52" s="363">
        <v>8.225477491060424</v>
      </c>
    </row>
    <row r="53" spans="1:4" ht="15.75" customHeight="1" x14ac:dyDescent="0.3">
      <c r="A53" s="356" t="s">
        <v>263</v>
      </c>
      <c r="B53" s="356"/>
      <c r="C53" s="362"/>
      <c r="D53" s="363">
        <v>2.7579753151123789</v>
      </c>
    </row>
    <row r="54" spans="1:4" ht="15.75" customHeight="1" x14ac:dyDescent="0.3">
      <c r="A54" s="356" t="s">
        <v>263</v>
      </c>
      <c r="B54" s="356"/>
      <c r="C54" s="362"/>
      <c r="D54" s="363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400"/>
      <c r="L65" s="398"/>
      <c r="M65" s="88"/>
      <c r="N65" s="401" t="s">
        <v>46</v>
      </c>
      <c r="O65" s="402"/>
      <c r="P65" s="398"/>
      <c r="Q65" s="93"/>
      <c r="R65" s="403"/>
      <c r="S65" s="399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404"/>
      <c r="L129" s="398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M16" workbookViewId="0">
      <selection activeCell="Q32" sqref="Q3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405" t="s">
        <v>134</v>
      </c>
      <c r="C2" s="406"/>
      <c r="D2" s="407"/>
      <c r="F2" s="405" t="s">
        <v>135</v>
      </c>
      <c r="G2" s="406"/>
      <c r="H2" s="407"/>
      <c r="J2" s="408" t="s">
        <v>136</v>
      </c>
      <c r="K2" s="381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15.75" customHeight="1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15.75" customHeight="1" x14ac:dyDescent="0.3">
      <c r="B33" s="328"/>
      <c r="C33" s="329"/>
      <c r="D33" s="330"/>
      <c r="E33" s="324"/>
      <c r="F33" s="328"/>
      <c r="G33" s="329"/>
      <c r="H33" s="330"/>
      <c r="I33" s="324"/>
      <c r="J33" s="331"/>
      <c r="K33" s="331"/>
      <c r="L33" s="326"/>
      <c r="M33" s="332"/>
      <c r="N33" s="332"/>
      <c r="O33" s="324"/>
      <c r="P33" s="324"/>
      <c r="Q33" s="328"/>
      <c r="R33" s="330"/>
    </row>
    <row r="34" spans="2:18" ht="15.75" customHeight="1" x14ac:dyDescent="0.3">
      <c r="B34" s="328"/>
      <c r="C34" s="329"/>
      <c r="D34" s="330"/>
      <c r="E34" s="324"/>
      <c r="F34" s="328"/>
      <c r="G34" s="329"/>
      <c r="H34" s="330"/>
      <c r="I34" s="324"/>
      <c r="J34" s="331"/>
      <c r="K34" s="331"/>
      <c r="L34" s="326"/>
      <c r="M34" s="332"/>
      <c r="N34" s="332"/>
      <c r="O34" s="324"/>
      <c r="P34" s="324"/>
      <c r="Q34" s="328"/>
      <c r="R34" s="330"/>
    </row>
    <row r="35" spans="2:18" ht="15.75" customHeight="1" x14ac:dyDescent="0.3">
      <c r="B35" s="328"/>
      <c r="C35" s="329"/>
      <c r="D35" s="330"/>
      <c r="E35" s="324"/>
      <c r="F35" s="328"/>
      <c r="G35" s="329"/>
      <c r="H35" s="330"/>
      <c r="I35" s="324"/>
      <c r="J35" s="331"/>
      <c r="K35" s="331"/>
      <c r="L35" s="326"/>
      <c r="M35" s="332"/>
      <c r="N35" s="332"/>
      <c r="O35" s="324"/>
      <c r="P35" s="324"/>
      <c r="Q35" s="328"/>
      <c r="R35" s="330"/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zoomScale="112" zoomScaleNormal="90" workbookViewId="0">
      <selection activeCell="C4" sqref="C4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45121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411" t="s">
        <v>269</v>
      </c>
      <c r="AE4" s="411"/>
      <c r="AF4" s="411"/>
      <c r="AG4" s="411"/>
      <c r="AH4" s="144"/>
      <c r="AI4" s="144"/>
      <c r="AL4" s="412"/>
      <c r="AM4" s="412"/>
      <c r="AN4" s="412"/>
      <c r="AO4" s="412"/>
      <c r="AP4" s="412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+AQ7</f>
        <v>0</v>
      </c>
      <c r="J5" s="146">
        <f>+AR7</f>
        <v>0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409" t="s">
        <v>166</v>
      </c>
      <c r="AB5" s="413"/>
      <c r="AC5" s="410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414"/>
      <c r="AV5" s="414"/>
      <c r="AW5" s="414"/>
      <c r="AX5" s="414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0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415" t="s">
        <v>171</v>
      </c>
      <c r="AB6" s="416"/>
      <c r="AC6" s="417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3"/>
      <c r="AM6" s="373"/>
      <c r="AN6" s="373"/>
      <c r="AO6" s="374"/>
      <c r="AP6" s="373"/>
      <c r="AQ6" s="373"/>
      <c r="AR6" s="373"/>
      <c r="AS6" s="364"/>
      <c r="AU6" s="365"/>
      <c r="AV6" s="365"/>
      <c r="AW6" s="365"/>
      <c r="AX6" s="365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418" t="s">
        <v>172</v>
      </c>
      <c r="AB7" s="419"/>
      <c r="AC7" s="420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3"/>
      <c r="AM7" s="373"/>
      <c r="AN7" s="373"/>
      <c r="AO7" s="374"/>
      <c r="AP7" s="373"/>
      <c r="AQ7" s="373"/>
      <c r="AR7" s="373"/>
      <c r="AS7" s="364"/>
      <c r="AT7" s="366"/>
      <c r="AU7" s="367"/>
      <c r="AV7" s="367"/>
      <c r="AW7" s="367"/>
      <c r="AX7" s="367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415" t="s">
        <v>173</v>
      </c>
      <c r="AB8" s="416"/>
      <c r="AC8" s="417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3"/>
      <c r="AM8" s="373"/>
      <c r="AN8" s="373"/>
      <c r="AO8" s="374"/>
      <c r="AP8" s="373"/>
      <c r="AQ8" s="373"/>
      <c r="AR8" s="373"/>
      <c r="AS8" s="364"/>
      <c r="AT8" s="366"/>
      <c r="AU8" s="367"/>
      <c r="AV8" s="367"/>
      <c r="AW8" s="367"/>
      <c r="AX8" s="367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418" t="s">
        <v>175</v>
      </c>
      <c r="AB9" s="419"/>
      <c r="AC9" s="420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3"/>
      <c r="AM9" s="373"/>
      <c r="AN9" s="373"/>
      <c r="AO9" s="374"/>
      <c r="AP9" s="373"/>
      <c r="AQ9" s="373"/>
      <c r="AR9" s="373"/>
      <c r="AS9" s="364"/>
      <c r="AT9" s="366"/>
      <c r="AU9" s="368"/>
      <c r="AV9" s="368"/>
      <c r="AW9" s="368"/>
      <c r="AX9" s="368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3"/>
      <c r="AM10" s="373"/>
      <c r="AN10" s="373"/>
      <c r="AO10" s="374"/>
      <c r="AP10" s="373"/>
      <c r="AQ10" s="373"/>
      <c r="AR10" s="373"/>
      <c r="AS10" s="364"/>
      <c r="AT10" s="369"/>
      <c r="AU10" s="370"/>
      <c r="AV10" s="370"/>
      <c r="AW10" s="370"/>
      <c r="AX10" s="370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3"/>
      <c r="AM11" s="373"/>
      <c r="AN11" s="373"/>
      <c r="AO11" s="374"/>
      <c r="AP11" s="373"/>
      <c r="AQ11" s="373"/>
      <c r="AR11" s="373"/>
      <c r="AS11" s="364"/>
      <c r="AT11" s="369"/>
      <c r="AU11" s="368"/>
      <c r="AV11" s="368"/>
      <c r="AW11" s="368"/>
      <c r="AX11" s="368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3"/>
      <c r="AM12" s="373"/>
      <c r="AN12" s="373"/>
      <c r="AO12" s="374"/>
      <c r="AP12" s="373"/>
      <c r="AQ12" s="373"/>
      <c r="AR12" s="373"/>
      <c r="AS12" s="364"/>
      <c r="AT12" s="369"/>
      <c r="AU12" s="371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3"/>
      <c r="AM13" s="373"/>
      <c r="AN13" s="373"/>
      <c r="AO13" s="374"/>
      <c r="AP13" s="373"/>
      <c r="AQ13" s="373"/>
      <c r="AR13" s="373"/>
      <c r="AS13" s="364"/>
      <c r="AT13" s="369"/>
      <c r="AU13" s="369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3"/>
      <c r="AM14" s="373"/>
      <c r="AN14" s="373"/>
      <c r="AO14" s="374"/>
      <c r="AP14" s="373"/>
      <c r="AQ14" s="373"/>
      <c r="AR14" s="373"/>
      <c r="AS14" s="364"/>
      <c r="AT14" s="369"/>
      <c r="AU14" s="414"/>
      <c r="AV14" s="414"/>
    </row>
    <row r="15" spans="2:50" ht="16" x14ac:dyDescent="0.2">
      <c r="B15" s="132"/>
      <c r="C15" s="133"/>
      <c r="D15" s="133"/>
      <c r="E15" s="173" t="s">
        <v>40</v>
      </c>
      <c r="F15" s="174">
        <f>+(AL6*(1-AO6))+H9-G20</f>
        <v>-3929.9735216228291</v>
      </c>
      <c r="G15" s="174">
        <f>+AR6</f>
        <v>0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3"/>
      <c r="AM15" s="373"/>
      <c r="AN15" s="375"/>
      <c r="AO15" s="374"/>
      <c r="AP15" s="373"/>
      <c r="AQ15" s="373"/>
      <c r="AR15" s="373"/>
      <c r="AS15" s="364"/>
      <c r="AT15" s="369"/>
      <c r="AU15" s="365"/>
      <c r="AV15" s="365"/>
    </row>
    <row r="16" spans="2:50" x14ac:dyDescent="0.2">
      <c r="B16" s="132"/>
      <c r="C16" s="133"/>
      <c r="D16" s="133"/>
      <c r="G16" s="151">
        <f>+G15-F15</f>
        <v>3929.9735216228291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6"/>
      <c r="AS16" s="364"/>
      <c r="AT16" s="366"/>
      <c r="AU16" s="367"/>
      <c r="AV16" s="367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4"/>
      <c r="AT17" s="366"/>
      <c r="AU17" s="367"/>
      <c r="AV17" s="367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4"/>
      <c r="AT18" s="366"/>
      <c r="AU18" s="368"/>
      <c r="AV18" s="368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571099.76239999989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+(P49+R47+H40)/I25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4"/>
      <c r="AT19" s="369"/>
      <c r="AU19" s="370"/>
      <c r="AV19" s="370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+F29+H42+P51+R49+R45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9"/>
      <c r="AU20" s="368"/>
      <c r="AV20" s="368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-9335.5340749446768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+(P51+R49+H42)/I27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9"/>
      <c r="AU21" s="371"/>
      <c r="AX21" s="372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9237.4659250553232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7" t="s">
        <v>147</v>
      </c>
      <c r="AB25" s="378"/>
      <c r="AC25" s="379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7" t="s">
        <v>148</v>
      </c>
      <c r="AB26" s="378"/>
      <c r="AC26" s="379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1440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1319.5127870927618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-9237.4659250554123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421" t="s">
        <v>160</v>
      </c>
      <c r="AB29" s="422"/>
      <c r="AC29" s="422"/>
      <c r="AD29" s="422"/>
      <c r="AE29" s="422"/>
      <c r="AF29" s="422"/>
      <c r="AG29" s="422"/>
      <c r="AH29" s="422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U31" s="141"/>
      <c r="V31" s="133"/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U32" s="145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U33" s="150"/>
      <c r="V33" s="133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-AP9</f>
        <v>0</v>
      </c>
      <c r="H34" s="133"/>
      <c r="I34" s="145">
        <f>+AG15</f>
        <v>0.68913249103666352</v>
      </c>
      <c r="U34" s="134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0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+AQ10</f>
        <v>0</v>
      </c>
      <c r="E36" s="146">
        <f>+AR10</f>
        <v>0</v>
      </c>
      <c r="F36" s="133"/>
      <c r="H36" s="133"/>
      <c r="I36" s="133"/>
      <c r="J36" s="224">
        <v>8100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0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89"/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89"/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411" t="s">
        <v>222</v>
      </c>
      <c r="AL39" s="411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409" t="s">
        <v>107</v>
      </c>
      <c r="AL40" s="410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+P49+R47+R43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423" t="s">
        <v>228</v>
      </c>
      <c r="AL41" s="424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423" t="s">
        <v>230</v>
      </c>
      <c r="AL42" s="424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+R45+R49+P51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423" t="s">
        <v>232</v>
      </c>
      <c r="AL43" s="424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423" t="s">
        <v>234</v>
      </c>
      <c r="AL44" s="424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+P41-R43-R47-P49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409" t="s">
        <v>109</v>
      </c>
      <c r="AL45" s="410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+P43-R45-R49-P51</f>
        <v>0</v>
      </c>
      <c r="U46" s="133"/>
      <c r="V46" s="133"/>
      <c r="Y46" s="137"/>
      <c r="AK46" s="423" t="s">
        <v>228</v>
      </c>
      <c r="AL46" s="424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R47" s="165">
        <f>+AF25</f>
        <v>12496.205</v>
      </c>
      <c r="U47" s="133"/>
      <c r="V47" s="133"/>
      <c r="Y47" s="137"/>
      <c r="Z47" s="133" t="s">
        <v>149</v>
      </c>
      <c r="AC47" s="412" t="s">
        <v>236</v>
      </c>
      <c r="AD47" s="412"/>
      <c r="AE47" s="412"/>
      <c r="AF47" s="412"/>
      <c r="AK47" s="423" t="s">
        <v>230</v>
      </c>
      <c r="AL47" s="424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R48" s="166">
        <f>+AG25</f>
        <v>0.65535413283291699</v>
      </c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423" t="s">
        <v>232</v>
      </c>
      <c r="AL48" s="424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R49" s="168">
        <f>+R47*R48</f>
        <v>8189.4395914773613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423" t="s">
        <v>234</v>
      </c>
      <c r="AL49" s="424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409" t="s">
        <v>93</v>
      </c>
      <c r="AL50" s="410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423" t="s">
        <v>228</v>
      </c>
      <c r="AL51" s="424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423" t="s">
        <v>230</v>
      </c>
      <c r="AL52" s="424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423" t="s">
        <v>232</v>
      </c>
      <c r="AL53" s="424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423" t="s">
        <v>234</v>
      </c>
      <c r="AL54" s="424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409" t="s">
        <v>243</v>
      </c>
      <c r="AL55" s="410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423" t="s">
        <v>228</v>
      </c>
      <c r="AL56" s="424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+AQ12+R52+S52+T52</f>
        <v>0</v>
      </c>
      <c r="P57" s="146">
        <f>+AR12</f>
        <v>0</v>
      </c>
      <c r="R57" s="150"/>
      <c r="S57" s="232"/>
      <c r="T57" s="133"/>
      <c r="U57" s="133"/>
      <c r="V57" s="133"/>
      <c r="W57" s="133"/>
      <c r="X57" s="133"/>
      <c r="Y57" s="137"/>
      <c r="AK57" s="423" t="s">
        <v>230</v>
      </c>
      <c r="AL57" s="424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0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427" t="s">
        <v>244</v>
      </c>
      <c r="H68" s="428"/>
      <c r="I68" s="429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430" t="s">
        <v>68</v>
      </c>
      <c r="D69" s="431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425" t="s">
        <v>158</v>
      </c>
      <c r="D70" s="426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Extra'!B34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425" t="s">
        <v>88</v>
      </c>
      <c r="D71" s="426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Extra'!B35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425" t="s">
        <v>89</v>
      </c>
      <c r="D72" s="426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Extra'!B36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425" t="s">
        <v>159</v>
      </c>
      <c r="D73" s="426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Extra'!B37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425" t="s">
        <v>90</v>
      </c>
      <c r="D74" s="426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Extra'!B38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425" t="s">
        <v>91</v>
      </c>
      <c r="D75" s="426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425" t="s">
        <v>92</v>
      </c>
      <c r="D76" s="426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Extra'!B40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425" t="s">
        <v>93</v>
      </c>
      <c r="D77" s="426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Extra'!B41</f>
        <v>146083</v>
      </c>
      <c r="L77" s="261">
        <f>+K77+I77-J77+AD34</f>
        <v>209116</v>
      </c>
      <c r="M77" s="256">
        <f>'Datos Extra'!B25</f>
        <v>206592.68611022949</v>
      </c>
      <c r="N77" s="262">
        <f t="shared" si="3"/>
        <v>-2523.3138897705066</v>
      </c>
      <c r="O77" s="263">
        <v>21.37</v>
      </c>
      <c r="P77" s="264">
        <f t="shared" si="5"/>
        <v>-53923.217824395731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425" t="s">
        <v>94</v>
      </c>
      <c r="D78" s="426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Extra'!B42</f>
        <v>0</v>
      </c>
      <c r="L78" s="268">
        <f>+K78+AD32-AD34</f>
        <v>0</v>
      </c>
      <c r="M78" s="256">
        <f>'Datos Extra'!B33</f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425" t="s">
        <v>95</v>
      </c>
      <c r="D79" s="426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Extra'!B43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425" t="s">
        <v>96</v>
      </c>
      <c r="D80" s="426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Extra'!B44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9407.9643204126041</v>
      </c>
      <c r="O81" s="288"/>
      <c r="P81" s="289">
        <f>SUM(P70:P80)</f>
        <v>343989.79652284476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4623.6692191276234</v>
      </c>
      <c r="O82" s="288"/>
      <c r="P82" s="289">
        <f>SUM(P70:P80)-P76</f>
        <v>247634.09318296524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436"/>
      <c r="D84" s="438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436" t="s">
        <v>253</v>
      </c>
      <c r="D85" s="437"/>
      <c r="E85" s="437"/>
      <c r="F85" s="437"/>
      <c r="G85" s="437"/>
      <c r="H85" s="438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434" t="s">
        <v>254</v>
      </c>
      <c r="D86" s="435"/>
      <c r="E86" s="163">
        <f>'Datos Extra'!B46</f>
        <v>841140</v>
      </c>
      <c r="F86" s="351">
        <f>'Datos Extra'!C46</f>
        <v>1</v>
      </c>
      <c r="G86" s="352">
        <f>'Datos Extra'!D46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432"/>
      <c r="S86" s="433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Extra'!B47</f>
        <v>799464</v>
      </c>
      <c r="F87" s="351">
        <f>'Datos Extra'!C47</f>
        <v>0.85</v>
      </c>
      <c r="G87" s="352">
        <f>'Datos Extra'!D47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434" t="s">
        <v>256</v>
      </c>
      <c r="D88" s="435"/>
      <c r="E88" s="163">
        <f>'Datos Extra'!B48</f>
        <v>309440</v>
      </c>
      <c r="F88" s="351">
        <f>'Datos Extra'!C48</f>
        <v>0.15</v>
      </c>
      <c r="G88" s="352">
        <f>'Datos Extra'!D48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432"/>
      <c r="Q88" s="433"/>
      <c r="R88" s="198"/>
      <c r="S88" s="198"/>
      <c r="T88" s="198"/>
    </row>
    <row r="89" spans="3:26" ht="15.75" customHeight="1" x14ac:dyDescent="0.2">
      <c r="C89" s="434" t="s">
        <v>257</v>
      </c>
      <c r="D89" s="435"/>
      <c r="E89" s="163">
        <f>'Datos Extra'!B49</f>
        <v>719345</v>
      </c>
      <c r="F89" s="351">
        <f>'Datos Extra'!C49</f>
        <v>1</v>
      </c>
      <c r="G89" s="352">
        <f>'Datos Extra'!D49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432"/>
      <c r="Q89" s="433"/>
      <c r="R89" s="198"/>
      <c r="S89" s="198"/>
      <c r="T89" s="198"/>
    </row>
    <row r="90" spans="3:26" ht="14.25" customHeight="1" x14ac:dyDescent="0.2">
      <c r="C90" s="434" t="s">
        <v>258</v>
      </c>
      <c r="D90" s="435"/>
      <c r="E90" s="163">
        <f>'Datos Extra'!B50</f>
        <v>0</v>
      </c>
      <c r="F90" s="351">
        <f>'Datos Extra'!C50</f>
        <v>0</v>
      </c>
      <c r="G90" s="352">
        <f>'Datos Extra'!D50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432"/>
      <c r="Q90" s="433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432"/>
      <c r="Q91" s="433"/>
      <c r="R91" s="198"/>
      <c r="S91" s="198"/>
      <c r="T91" s="198"/>
    </row>
    <row r="92" spans="3:26" ht="14.25" customHeight="1" x14ac:dyDescent="0.2">
      <c r="C92" s="436" t="s">
        <v>259</v>
      </c>
      <c r="D92" s="437"/>
      <c r="E92" s="437"/>
      <c r="F92" s="437"/>
      <c r="G92" s="437"/>
      <c r="H92" s="438"/>
      <c r="I92" s="266"/>
      <c r="J92" s="266"/>
      <c r="K92" s="133"/>
      <c r="L92" s="198"/>
      <c r="M92" s="133"/>
      <c r="N92" s="198"/>
      <c r="O92" s="133"/>
      <c r="P92" s="432"/>
      <c r="Q92" s="433"/>
      <c r="R92" s="198"/>
      <c r="S92" s="198"/>
      <c r="T92" s="198"/>
    </row>
    <row r="93" spans="3:26" ht="14.25" customHeight="1" x14ac:dyDescent="0.2">
      <c r="C93" s="434" t="s">
        <v>260</v>
      </c>
      <c r="D93" s="435"/>
      <c r="E93" s="164">
        <f>+AF10/(1-AE10)</f>
        <v>562148</v>
      </c>
      <c r="F93" s="298">
        <f>+O19</f>
        <v>0.86635997358641803</v>
      </c>
      <c r="G93" s="299">
        <f>'Datos Extra'!D51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432"/>
      <c r="Q93" s="433"/>
      <c r="R93" s="198"/>
      <c r="S93" s="198"/>
    </row>
    <row r="94" spans="3:26" ht="14.25" customHeight="1" x14ac:dyDescent="0.2">
      <c r="C94" s="434" t="s">
        <v>261</v>
      </c>
      <c r="D94" s="435"/>
      <c r="E94" s="164">
        <f>+AF18/(1-AE18)</f>
        <v>274867.73500000004</v>
      </c>
      <c r="F94" s="300">
        <f>+P49/J39</f>
        <v>0.9871167672699015</v>
      </c>
      <c r="G94" s="299">
        <f>'Datos Extra'!D52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432"/>
      <c r="Q94" s="433"/>
      <c r="R94" s="198"/>
      <c r="S94" s="198"/>
    </row>
    <row r="95" spans="3:26" ht="14.25" customHeight="1" x14ac:dyDescent="0.2">
      <c r="C95" s="434" t="s">
        <v>262</v>
      </c>
      <c r="D95" s="435"/>
      <c r="E95" s="164">
        <f>+AF26/(1-AE26)+AF25/(1-AE25)+AF17/(1-AE17)+AF16/(1-AE16)</f>
        <v>486422</v>
      </c>
      <c r="F95" s="298">
        <f>+P19</f>
        <v>0.83919856032918472</v>
      </c>
      <c r="G95" s="299">
        <f>'Datos Extra'!D53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432"/>
      <c r="Q95" s="433"/>
      <c r="R95" s="198"/>
      <c r="S95" s="198"/>
    </row>
    <row r="96" spans="3:26" ht="14.25" customHeight="1" x14ac:dyDescent="0.2">
      <c r="C96" s="434" t="s">
        <v>263</v>
      </c>
      <c r="D96" s="435"/>
      <c r="E96" s="164">
        <f>+E95</f>
        <v>486422</v>
      </c>
      <c r="F96" s="301">
        <v>1</v>
      </c>
      <c r="G96" s="299">
        <f>'Datos Extra'!D54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432"/>
      <c r="Q96" s="433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