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  <Override PartName="/xl/commentsmeta0" ContentType="application/binary"/>
  <Override PartName="/xl/commentsmeta1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/>
  <mc:AlternateContent xmlns:mc="http://schemas.openxmlformats.org/markup-compatibility/2006">
    <mc:Choice Requires="x15">
      <x15ac:absPath xmlns:x15ac="http://schemas.microsoft.com/office/spreadsheetml/2010/11/ac" url="/Users/fernando/Desktop/"/>
    </mc:Choice>
  </mc:AlternateContent>
  <xr:revisionPtr revIDLastSave="0" documentId="8_{5BB68ADE-7C11-4F42-9025-51547AD45A34}" xr6:coauthVersionLast="47" xr6:coauthVersionMax="47" xr10:uidLastSave="{00000000-0000-0000-0000-000000000000}"/>
  <bookViews>
    <workbookView xWindow="0" yWindow="700" windowWidth="20740" windowHeight="11160" tabRatio="859" activeTab="1" xr2:uid="{00000000-000D-0000-FFFF-FFFF00000000}"/>
  </bookViews>
  <sheets>
    <sheet name="Flujos" sheetId="1" r:id="rId1"/>
    <sheet name="Reporte " sheetId="2" r:id="rId2"/>
    <sheet name="Formato Balance" sheetId="13" r:id="rId3"/>
    <sheet name="Datos Extra" sheetId="3" r:id="rId4"/>
    <sheet name="Utilidad" sheetId="4" r:id="rId5"/>
    <sheet name="Info Planta" sheetId="5" state="hidden" r:id="rId6"/>
    <sheet name="Calc Nodos" sheetId="6" state="hidden" r:id="rId7"/>
    <sheet name="Bal AL FeT" sheetId="7" state="hidden" r:id="rId8"/>
    <sheet name="Bal AL FeMag" sheetId="8" state="hidden" r:id="rId9"/>
    <sheet name="Diag Bal AL FeT" sheetId="9" r:id="rId10"/>
    <sheet name="Diag ML FeT" sheetId="10" r:id="rId11"/>
    <sheet name="Bal ML FeT" sheetId="11" state="hidden" r:id="rId12"/>
    <sheet name="Bal ML FeMag" sheetId="12" state="hidden" r:id="rId13"/>
  </sheets>
  <definedNames>
    <definedName name="solver_adj" localSheetId="8">'Bal AL FeMag'!$K$26:$K$42</definedName>
    <definedName name="solver_adj" localSheetId="7">'Bal AL FeT'!$J$26:$K$42</definedName>
    <definedName name="solver_adj" localSheetId="12">'Bal ML FeMag'!$K$20:$K$30</definedName>
    <definedName name="solver_adj" localSheetId="11">'Bal ML FeT'!$J$20:$K$30</definedName>
    <definedName name="solver_cvg" localSheetId="7">0.0001</definedName>
    <definedName name="solver_cvg" localSheetId="12">0.0001</definedName>
    <definedName name="solver_cvg" localSheetId="11">0.0001</definedName>
    <definedName name="solver_cvg" localSheetId="6">0.0001</definedName>
    <definedName name="solver_drv" localSheetId="7">1</definedName>
    <definedName name="solver_drv" localSheetId="12">2</definedName>
    <definedName name="solver_drv" localSheetId="11">2</definedName>
    <definedName name="solver_drv" localSheetId="6">1</definedName>
    <definedName name="solver_eng" localSheetId="7">1</definedName>
    <definedName name="solver_eng" localSheetId="12">1</definedName>
    <definedName name="solver_eng" localSheetId="11">1</definedName>
    <definedName name="solver_eng" localSheetId="6">1</definedName>
    <definedName name="solver_est" localSheetId="7">1</definedName>
    <definedName name="solver_est" localSheetId="12">1</definedName>
    <definedName name="solver_est" localSheetId="11">1</definedName>
    <definedName name="solver_est" localSheetId="6">1</definedName>
    <definedName name="solver_itr" localSheetId="7">2147483647</definedName>
    <definedName name="solver_itr" localSheetId="12">2147483647</definedName>
    <definedName name="solver_itr" localSheetId="11">2147483647</definedName>
    <definedName name="solver_itr" localSheetId="6">2147483647</definedName>
    <definedName name="solver_lhs1" localSheetId="8">'Bal AL FeMag'!$P$29</definedName>
    <definedName name="solver_lhs1" localSheetId="7">'Bal AL FeT'!$P$32</definedName>
    <definedName name="solver_lhs1" localSheetId="12">'Bal ML FeMag'!$R$22</definedName>
    <definedName name="solver_lhs1" localSheetId="11">'Bal ML FeT'!$W$21</definedName>
    <definedName name="solver_lhs10" localSheetId="8">'Bal AL FeMag'!$R$28</definedName>
    <definedName name="solver_lhs10" localSheetId="7">'Bal AL FeT'!$W$37</definedName>
    <definedName name="solver_lhs10" localSheetId="12">'Bal ML FeMag'!$V$22</definedName>
    <definedName name="solver_lhs10" localSheetId="11">'Bal ML FeT'!$R$30</definedName>
    <definedName name="solver_lhs11" localSheetId="8">'Bal AL FeMag'!$R$29</definedName>
    <definedName name="solver_lhs11" localSheetId="7">'Bal AL FeT'!$W$33</definedName>
    <definedName name="solver_lhs11" localSheetId="12">'Bal ML FeMag'!$V$21</definedName>
    <definedName name="solver_lhs11" localSheetId="11">'Bal ML FeT'!$V$20</definedName>
    <definedName name="solver_lhs12" localSheetId="8">'Bal AL FeMag'!$R$40</definedName>
    <definedName name="solver_lhs12" localSheetId="7">'Bal AL FeT'!$V$36</definedName>
    <definedName name="solver_lhs12" localSheetId="12">'Bal ML FeMag'!$W$19</definedName>
    <definedName name="solver_lhs12" localSheetId="11">'Bal ML FeT'!$V$19</definedName>
    <definedName name="solver_lhs13" localSheetId="8">'Bal AL FeMag'!$R$32</definedName>
    <definedName name="solver_lhs13" localSheetId="7">'Bal AL FeT'!$W$36</definedName>
    <definedName name="solver_lhs13" localSheetId="12">'Bal ML FeMag'!$V$20</definedName>
    <definedName name="solver_lhs13" localSheetId="11">'Bal ML FeT'!$R$25</definedName>
    <definedName name="solver_lhs14" localSheetId="8">'Bal AL FeMag'!$R$42</definedName>
    <definedName name="solver_lhs14" localSheetId="7">'Bal AL FeT'!$W$35</definedName>
    <definedName name="solver_lhs14" localSheetId="12">'Bal ML FeMag'!$W$20</definedName>
    <definedName name="solver_lhs14" localSheetId="11">'Bal ML FeT'!$R$23</definedName>
    <definedName name="solver_lhs15" localSheetId="8">'Bal AL FeMag'!$V$35</definedName>
    <definedName name="solver_lhs15" localSheetId="7">'Bal AL FeT'!$R$37</definedName>
    <definedName name="solver_lhs15" localSheetId="12">'Bal ML FeMag'!$R$20</definedName>
    <definedName name="solver_lhs15" localSheetId="11">'Bal ML FeT'!$R$21</definedName>
    <definedName name="solver_lhs16" localSheetId="8">'Bal AL FeMag'!$V$34</definedName>
    <definedName name="solver_lhs16" localSheetId="7">'Bal AL FeT'!$R$41</definedName>
    <definedName name="solver_lhs16" localSheetId="12">'Bal ML FeMag'!$R$29</definedName>
    <definedName name="solver_lhs16" localSheetId="11">'Bal ML FeT'!$R$22</definedName>
    <definedName name="solver_lhs17" localSheetId="8">'Bal AL FeMag'!$R$30</definedName>
    <definedName name="solver_lhs17" localSheetId="7">'Bal AL FeT'!$V$35</definedName>
    <definedName name="solver_lhs17" localSheetId="12">'Bal ML FeMag'!$R$28</definedName>
    <definedName name="solver_lhs17" localSheetId="11">'Bal ML FeT'!$P$30</definedName>
    <definedName name="solver_lhs18" localSheetId="8">'Bal AL FeMag'!$V$36</definedName>
    <definedName name="solver_lhs18" localSheetId="7">'Bal AL FeT'!$V$33</definedName>
    <definedName name="solver_lhs18" localSheetId="11">'Bal ML FeT'!$R$20</definedName>
    <definedName name="solver_lhs19" localSheetId="8">'Bal AL FeMag'!$V$33</definedName>
    <definedName name="solver_lhs19" localSheetId="7">'Bal AL FeT'!$V$34</definedName>
    <definedName name="solver_lhs19" localSheetId="11">'Bal ML FeT'!$P$29</definedName>
    <definedName name="solver_lhs2" localSheetId="8">'Bal AL FeMag'!$P$32</definedName>
    <definedName name="solver_lhs2" localSheetId="7">'Bal AL FeT'!$P$27</definedName>
    <definedName name="solver_lhs2" localSheetId="12">'Bal ML FeMag'!$R$24</definedName>
    <definedName name="solver_lhs2" localSheetId="11">'Bal ML FeT'!$W$20</definedName>
    <definedName name="solver_lhs20" localSheetId="8">'Bal AL FeMag'!$R$33</definedName>
    <definedName name="solver_lhs20" localSheetId="7">'Bal AL FeT'!$W$34</definedName>
    <definedName name="solver_lhs20" localSheetId="11">'Bal ML FeT'!$P$28</definedName>
    <definedName name="solver_lhs21" localSheetId="8">'Bal AL FeMag'!$P$25</definedName>
    <definedName name="solver_lhs21" localSheetId="7">'Bal AL FeT'!$R$42</definedName>
    <definedName name="solver_lhs21" localSheetId="11">'Bal ML FeT'!$P$27</definedName>
    <definedName name="solver_lhs22" localSheetId="8">'Bal AL FeMag'!$W$33</definedName>
    <definedName name="solver_lhs22" localSheetId="7">'Bal AL FeT'!$R$38</definedName>
    <definedName name="solver_lhs22" localSheetId="11">'Bal ML FeT'!$P$25</definedName>
    <definedName name="solver_lhs23" localSheetId="8">'Bal AL FeMag'!$V$37</definedName>
    <definedName name="solver_lhs23" localSheetId="7">'Bal AL FeT'!$R$40</definedName>
    <definedName name="solver_lhs23" localSheetId="11">'Bal ML FeT'!$P$24</definedName>
    <definedName name="solver_lhs24" localSheetId="8">'Bal AL FeMag'!$W$34</definedName>
    <definedName name="solver_lhs24" localSheetId="7">'Bal AL FeT'!$R$35</definedName>
    <definedName name="solver_lhs24" localSheetId="11">'Bal ML FeT'!$J$21</definedName>
    <definedName name="solver_lhs25" localSheetId="8">'Bal AL FeMag'!$W$36</definedName>
    <definedName name="solver_lhs25" localSheetId="7">'Bal AL FeT'!$P$39</definedName>
    <definedName name="solver_lhs25" localSheetId="11">'Bal ML FeT'!$K$30</definedName>
    <definedName name="solver_lhs26" localSheetId="8">'Bal AL FeMag'!$W$35</definedName>
    <definedName name="solver_lhs26" localSheetId="7">'Bal AL FeT'!$R$27</definedName>
    <definedName name="solver_lhs26" localSheetId="11">'Bal ML FeT'!$P$20</definedName>
    <definedName name="solver_lhs27" localSheetId="8">'Bal AL FeMag'!$W$37</definedName>
    <definedName name="solver_lhs27" localSheetId="7">'Bal AL FeT'!$R$33</definedName>
    <definedName name="solver_lhs28" localSheetId="7">'Bal AL FeT'!$R$28</definedName>
    <definedName name="solver_lhs29" localSheetId="7">'Bal AL FeT'!$R$29</definedName>
    <definedName name="solver_lhs3" localSheetId="8">'Bal AL FeMag'!$P$31</definedName>
    <definedName name="solver_lhs3" localSheetId="7">'Bal AL FeT'!$P$35</definedName>
    <definedName name="solver_lhs3" localSheetId="12">'Bal ML FeMag'!$R$26</definedName>
    <definedName name="solver_lhs3" localSheetId="11">'Bal ML FeT'!$W$22</definedName>
    <definedName name="solver_lhs30" localSheetId="7">'Bal AL FeT'!$P$40</definedName>
    <definedName name="solver_lhs31" localSheetId="7">'Bal AL FeT'!$P$36</definedName>
    <definedName name="solver_lhs32" localSheetId="7">'Bal AL FeT'!$P$33</definedName>
    <definedName name="solver_lhs33" localSheetId="7">'Bal AL FeT'!$P$29</definedName>
    <definedName name="solver_lhs34" localSheetId="7">'Bal AL FeT'!$P$28</definedName>
    <definedName name="solver_lhs35" localSheetId="7">'Bal AL FeT'!$P$31</definedName>
    <definedName name="solver_lhs4" localSheetId="8">'Bal AL FeMag'!$P$33</definedName>
    <definedName name="solver_lhs4" localSheetId="7">'Bal AL FeT'!$P$37</definedName>
    <definedName name="solver_lhs4" localSheetId="12">'Bal ML FeMag'!$R$27</definedName>
    <definedName name="solver_lhs4" localSheetId="11">'Bal ML FeT'!$W$19</definedName>
    <definedName name="solver_lhs5" localSheetId="8">'Bal AL FeMag'!$P$35</definedName>
    <definedName name="solver_lhs5" localSheetId="7">'Bal AL FeT'!$P$42</definedName>
    <definedName name="solver_lhs5" localSheetId="12">'Bal ML FeMag'!$R$30</definedName>
    <definedName name="solver_lhs5" localSheetId="11">'Bal ML FeT'!$V$22</definedName>
    <definedName name="solver_lhs6" localSheetId="8">'Bal AL FeMag'!$P$39</definedName>
    <definedName name="solver_lhs6" localSheetId="7">'Bal AL FeT'!$R$32</definedName>
    <definedName name="solver_lhs6" localSheetId="12">'Bal ML FeMag'!$R$23</definedName>
    <definedName name="solver_lhs6" localSheetId="11">'Bal ML FeT'!$P$22</definedName>
    <definedName name="solver_lhs7" localSheetId="8">'Bal AL FeMag'!$P$36</definedName>
    <definedName name="solver_lhs7" localSheetId="7">'Bal AL FeT'!$P$25</definedName>
    <definedName name="solver_lhs7" localSheetId="12">'Bal ML FeMag'!$W$21</definedName>
    <definedName name="solver_lhs7" localSheetId="11">'Bal ML FeT'!$R$26</definedName>
    <definedName name="solver_lhs8" localSheetId="8">'Bal AL FeMag'!$P$42</definedName>
    <definedName name="solver_lhs8" localSheetId="7">'Bal AL FeT'!$R$36</definedName>
    <definedName name="solver_lhs8" localSheetId="12">'Bal ML FeMag'!$V$19</definedName>
    <definedName name="solver_lhs8" localSheetId="11">'Bal ML FeT'!$R$28</definedName>
    <definedName name="solver_lhs9" localSheetId="8">'Bal AL FeMag'!$R$27</definedName>
    <definedName name="solver_lhs9" localSheetId="7">'Bal AL FeT'!$V$37</definedName>
    <definedName name="solver_lhs9" localSheetId="12">'Bal ML FeMag'!$W$22</definedName>
    <definedName name="solver_lhs9" localSheetId="11">'Bal ML FeT'!$V$21</definedName>
    <definedName name="solver_mip" localSheetId="7">2147483647</definedName>
    <definedName name="solver_mip" localSheetId="12">2147483647</definedName>
    <definedName name="solver_mip" localSheetId="11">2147483647</definedName>
    <definedName name="solver_mip" localSheetId="6">2147483647</definedName>
    <definedName name="solver_mni" localSheetId="7">30</definedName>
    <definedName name="solver_mni" localSheetId="12">30</definedName>
    <definedName name="solver_mni" localSheetId="11">30</definedName>
    <definedName name="solver_mni" localSheetId="6">30</definedName>
    <definedName name="solver_mrt" localSheetId="7">0.075</definedName>
    <definedName name="solver_mrt" localSheetId="12">0.075</definedName>
    <definedName name="solver_mrt" localSheetId="11">0.075</definedName>
    <definedName name="solver_mrt" localSheetId="6">0.075</definedName>
    <definedName name="solver_msl" localSheetId="7">2</definedName>
    <definedName name="solver_msl" localSheetId="12">2</definedName>
    <definedName name="solver_msl" localSheetId="11">2</definedName>
    <definedName name="solver_msl" localSheetId="6">2</definedName>
    <definedName name="solver_neg" localSheetId="7">1</definedName>
    <definedName name="solver_neg" localSheetId="12">1</definedName>
    <definedName name="solver_neg" localSheetId="11">1</definedName>
    <definedName name="solver_neg" localSheetId="6">1</definedName>
    <definedName name="solver_nod" localSheetId="7">2147483647</definedName>
    <definedName name="solver_nod" localSheetId="12">2147483647</definedName>
    <definedName name="solver_nod" localSheetId="11">2147483647</definedName>
    <definedName name="solver_nod" localSheetId="6">2147483647</definedName>
    <definedName name="solver_num" localSheetId="7">27</definedName>
    <definedName name="solver_num" localSheetId="12">17</definedName>
    <definedName name="solver_num" localSheetId="11">26</definedName>
    <definedName name="solver_num" localSheetId="6">35</definedName>
    <definedName name="solver_nwt" localSheetId="7">1</definedName>
    <definedName name="solver_nwt" localSheetId="12">1</definedName>
    <definedName name="solver_nwt" localSheetId="11">1</definedName>
    <definedName name="solver_nwt" localSheetId="6">1</definedName>
    <definedName name="solver_opt" localSheetId="8">'Bal AL FeMag'!$V$40</definedName>
    <definedName name="solver_opt" localSheetId="7">'Bal AL FeT'!$V$40</definedName>
    <definedName name="solver_opt" localSheetId="12">'Bal ML FeMag'!$V$26</definedName>
    <definedName name="solver_opt" localSheetId="11">'Bal ML FeT'!$V$26</definedName>
    <definedName name="solver_pre" localSheetId="7">0.000001</definedName>
    <definedName name="solver_pre" localSheetId="12">0.000001</definedName>
    <definedName name="solver_pre" localSheetId="11">0.000001</definedName>
    <definedName name="solver_pre" localSheetId="6">0.000001</definedName>
    <definedName name="solver_rbv" localSheetId="7">1</definedName>
    <definedName name="solver_rbv" localSheetId="12">2</definedName>
    <definedName name="solver_rbv" localSheetId="11">2</definedName>
    <definedName name="solver_rbv" localSheetId="6">1</definedName>
    <definedName name="solver_rel1" localSheetId="7">1</definedName>
    <definedName name="solver_rel1" localSheetId="12">1</definedName>
    <definedName name="solver_rel1" localSheetId="11">2</definedName>
    <definedName name="solver_rel1" localSheetId="6">1</definedName>
    <definedName name="solver_rel10" localSheetId="7">1</definedName>
    <definedName name="solver_rel10" localSheetId="12">2</definedName>
    <definedName name="solver_rel10" localSheetId="11">1</definedName>
    <definedName name="solver_rel10" localSheetId="6">2</definedName>
    <definedName name="solver_rel11" localSheetId="7">1</definedName>
    <definedName name="solver_rel11" localSheetId="12">2</definedName>
    <definedName name="solver_rel11" localSheetId="11">2</definedName>
    <definedName name="solver_rel11" localSheetId="6">2</definedName>
    <definedName name="solver_rel12" localSheetId="7">1</definedName>
    <definedName name="solver_rel12" localSheetId="12">2</definedName>
    <definedName name="solver_rel12" localSheetId="11">2</definedName>
    <definedName name="solver_rel12" localSheetId="6">2</definedName>
    <definedName name="solver_rel13" localSheetId="7">1</definedName>
    <definedName name="solver_rel13" localSheetId="12">2</definedName>
    <definedName name="solver_rel13" localSheetId="11">1</definedName>
    <definedName name="solver_rel13" localSheetId="6">2</definedName>
    <definedName name="solver_rel14" localSheetId="7">1</definedName>
    <definedName name="solver_rel14" localSheetId="12">2</definedName>
    <definedName name="solver_rel14" localSheetId="11">1</definedName>
    <definedName name="solver_rel14" localSheetId="6">2</definedName>
    <definedName name="solver_rel15" localSheetId="7">2</definedName>
    <definedName name="solver_rel15" localSheetId="12">1</definedName>
    <definedName name="solver_rel15" localSheetId="11">1</definedName>
    <definedName name="solver_rel15" localSheetId="6">1</definedName>
    <definedName name="solver_rel16" localSheetId="7">2</definedName>
    <definedName name="solver_rel16" localSheetId="12">1</definedName>
    <definedName name="solver_rel16" localSheetId="11">1</definedName>
    <definedName name="solver_rel16" localSheetId="6">1</definedName>
    <definedName name="solver_rel17" localSheetId="7">1</definedName>
    <definedName name="solver_rel17" localSheetId="12">1</definedName>
    <definedName name="solver_rel17" localSheetId="11">1</definedName>
    <definedName name="solver_rel17" localSheetId="6">2</definedName>
    <definedName name="solver_rel18" localSheetId="7">2</definedName>
    <definedName name="solver_rel18" localSheetId="11">1</definedName>
    <definedName name="solver_rel18" localSheetId="6">2</definedName>
    <definedName name="solver_rel19" localSheetId="7">2</definedName>
    <definedName name="solver_rel19" localSheetId="11">1</definedName>
    <definedName name="solver_rel19" localSheetId="6">2</definedName>
    <definedName name="solver_rel2" localSheetId="7">1</definedName>
    <definedName name="solver_rel2" localSheetId="12">1</definedName>
    <definedName name="solver_rel2" localSheetId="11">2</definedName>
    <definedName name="solver_rel2" localSheetId="6">1</definedName>
    <definedName name="solver_rel20" localSheetId="7">1</definedName>
    <definedName name="solver_rel20" localSheetId="11">1</definedName>
    <definedName name="solver_rel20" localSheetId="6">2</definedName>
    <definedName name="solver_rel21" localSheetId="7">1</definedName>
    <definedName name="solver_rel21" localSheetId="11">1</definedName>
    <definedName name="solver_rel21" localSheetId="6">1</definedName>
    <definedName name="solver_rel22" localSheetId="7">2</definedName>
    <definedName name="solver_rel22" localSheetId="11">1</definedName>
    <definedName name="solver_rel22" localSheetId="6">1</definedName>
    <definedName name="solver_rel23" localSheetId="7">2</definedName>
    <definedName name="solver_rel23" localSheetId="11">1</definedName>
    <definedName name="solver_rel23" localSheetId="6">1</definedName>
    <definedName name="solver_rel24" localSheetId="7">2</definedName>
    <definedName name="solver_rel24" localSheetId="11">2</definedName>
    <definedName name="solver_rel24" localSheetId="6">1</definedName>
    <definedName name="solver_rel25" localSheetId="7">2</definedName>
    <definedName name="solver_rel25" localSheetId="11">2</definedName>
    <definedName name="solver_rel25" localSheetId="6">1</definedName>
    <definedName name="solver_rel26" localSheetId="7">2</definedName>
    <definedName name="solver_rel26" localSheetId="11">1</definedName>
    <definedName name="solver_rel26" localSheetId="6">1</definedName>
    <definedName name="solver_rel27" localSheetId="7">2</definedName>
    <definedName name="solver_rel27" localSheetId="6">1</definedName>
    <definedName name="solver_rel28" localSheetId="6">1</definedName>
    <definedName name="solver_rel29" localSheetId="6">1</definedName>
    <definedName name="solver_rel3" localSheetId="7">1</definedName>
    <definedName name="solver_rel3" localSheetId="12">1</definedName>
    <definedName name="solver_rel3" localSheetId="11">2</definedName>
    <definedName name="solver_rel3" localSheetId="6">1</definedName>
    <definedName name="solver_rel30" localSheetId="6">1</definedName>
    <definedName name="solver_rel31" localSheetId="6">1</definedName>
    <definedName name="solver_rel32" localSheetId="6">1</definedName>
    <definedName name="solver_rel33" localSheetId="6">1</definedName>
    <definedName name="solver_rel34" localSheetId="6">1</definedName>
    <definedName name="solver_rel35" localSheetId="6">1</definedName>
    <definedName name="solver_rel4" localSheetId="7">1</definedName>
    <definedName name="solver_rel4" localSheetId="12">1</definedName>
    <definedName name="solver_rel4" localSheetId="11">2</definedName>
    <definedName name="solver_rel4" localSheetId="6">1</definedName>
    <definedName name="solver_rel5" localSheetId="7">1</definedName>
    <definedName name="solver_rel5" localSheetId="12">1</definedName>
    <definedName name="solver_rel5" localSheetId="11">2</definedName>
    <definedName name="solver_rel5" localSheetId="6">1</definedName>
    <definedName name="solver_rel6" localSheetId="7">1</definedName>
    <definedName name="solver_rel6" localSheetId="12">1</definedName>
    <definedName name="solver_rel6" localSheetId="11">1</definedName>
    <definedName name="solver_rel6" localSheetId="6">1</definedName>
    <definedName name="solver_rel7" localSheetId="7">1</definedName>
    <definedName name="solver_rel7" localSheetId="12">2</definedName>
    <definedName name="solver_rel7" localSheetId="11">1</definedName>
    <definedName name="solver_rel7" localSheetId="6">1</definedName>
    <definedName name="solver_rel8" localSheetId="7">1</definedName>
    <definedName name="solver_rel8" localSheetId="12">2</definedName>
    <definedName name="solver_rel8" localSheetId="11">1</definedName>
    <definedName name="solver_rel8" localSheetId="6">1</definedName>
    <definedName name="solver_rel9" localSheetId="7">1</definedName>
    <definedName name="solver_rel9" localSheetId="12">2</definedName>
    <definedName name="solver_rel9" localSheetId="11">2</definedName>
    <definedName name="solver_rel9" localSheetId="6">2</definedName>
    <definedName name="solver_rhs1" localSheetId="8">'Bal AL FeMag'!$Q$29</definedName>
    <definedName name="solver_rhs1" localSheetId="7">'Bal AL FeT'!$Q$32</definedName>
    <definedName name="solver_rhs1" localSheetId="12">'Bal ML FeMag'!$S$22</definedName>
    <definedName name="solver_rhs1" localSheetId="11">0</definedName>
    <definedName name="solver_rhs10" localSheetId="8">'Bal AL FeMag'!$S$28</definedName>
    <definedName name="solver_rhs10" localSheetId="12">0</definedName>
    <definedName name="solver_rhs10" localSheetId="11">'Bal ML FeT'!$S$30</definedName>
    <definedName name="solver_rhs10" localSheetId="6">0</definedName>
    <definedName name="solver_rhs11" localSheetId="8">'Bal AL FeMag'!$S$29</definedName>
    <definedName name="solver_rhs11" localSheetId="12">0</definedName>
    <definedName name="solver_rhs11" localSheetId="11">0</definedName>
    <definedName name="solver_rhs11" localSheetId="6">0</definedName>
    <definedName name="solver_rhs12" localSheetId="8">'Bal AL FeMag'!$S$40</definedName>
    <definedName name="solver_rhs12" localSheetId="12">0</definedName>
    <definedName name="solver_rhs12" localSheetId="11">0</definedName>
    <definedName name="solver_rhs12" localSheetId="6">0</definedName>
    <definedName name="solver_rhs13" localSheetId="8">'Bal AL FeMag'!$S$32</definedName>
    <definedName name="solver_rhs13" localSheetId="12">0</definedName>
    <definedName name="solver_rhs13" localSheetId="11">'Bal ML FeT'!$S$25</definedName>
    <definedName name="solver_rhs13" localSheetId="6">0</definedName>
    <definedName name="solver_rhs14" localSheetId="8">'Bal AL FeMag'!$S$42</definedName>
    <definedName name="solver_rhs14" localSheetId="12">0</definedName>
    <definedName name="solver_rhs14" localSheetId="11">'Bal ML FeT'!$S$23</definedName>
    <definedName name="solver_rhs14" localSheetId="6">0</definedName>
    <definedName name="solver_rhs15" localSheetId="7">'Bal AL FeT'!$S$37</definedName>
    <definedName name="solver_rhs15" localSheetId="12">'Bal ML FeMag'!$S$20</definedName>
    <definedName name="solver_rhs15" localSheetId="11">'Bal ML FeT'!$S$21</definedName>
    <definedName name="solver_rhs16" localSheetId="7">'Bal AL FeT'!$S$41</definedName>
    <definedName name="solver_rhs16" localSheetId="12">'Bal ML FeMag'!$S$29</definedName>
    <definedName name="solver_rhs16" localSheetId="11">'Bal ML FeT'!$S$22</definedName>
    <definedName name="solver_rhs17" localSheetId="8">'Bal AL FeMag'!$S$30</definedName>
    <definedName name="solver_rhs17" localSheetId="12">'Bal ML FeMag'!$S$28</definedName>
    <definedName name="solver_rhs17" localSheetId="11">'Bal ML FeT'!$Q$30</definedName>
    <definedName name="solver_rhs17" localSheetId="6">0</definedName>
    <definedName name="solver_rhs18" localSheetId="7">0</definedName>
    <definedName name="solver_rhs18" localSheetId="11">'Bal ML FeT'!$S$20</definedName>
    <definedName name="solver_rhs18" localSheetId="6">0</definedName>
    <definedName name="solver_rhs19" localSheetId="7">0</definedName>
    <definedName name="solver_rhs19" localSheetId="11">'Bal ML FeT'!$Q$29</definedName>
    <definedName name="solver_rhs19" localSheetId="6">0</definedName>
    <definedName name="solver_rhs2" localSheetId="8">'Bal AL FeMag'!$Q$32</definedName>
    <definedName name="solver_rhs2" localSheetId="7">'Bal AL FeT'!$Q$27</definedName>
    <definedName name="solver_rhs2" localSheetId="12">'Bal ML FeMag'!$S$24</definedName>
    <definedName name="solver_rhs2" localSheetId="11">0</definedName>
    <definedName name="solver_rhs20" localSheetId="8">'Bal AL FeMag'!$S$33</definedName>
    <definedName name="solver_rhs20" localSheetId="11">'Bal ML FeT'!$Q$28</definedName>
    <definedName name="solver_rhs20" localSheetId="6">0</definedName>
    <definedName name="solver_rhs21" localSheetId="8">'Bal AL FeMag'!$Q$25</definedName>
    <definedName name="solver_rhs21" localSheetId="7">'Bal AL FeT'!$S$42</definedName>
    <definedName name="solver_rhs21" localSheetId="11">'Bal ML FeT'!$Q$27</definedName>
    <definedName name="solver_rhs22" localSheetId="7">'Bal AL FeT'!$S$38</definedName>
    <definedName name="solver_rhs22" localSheetId="11">'Bal ML FeT'!$Q$25</definedName>
    <definedName name="solver_rhs23" localSheetId="7">'Bal AL FeT'!$S$40</definedName>
    <definedName name="solver_rhs23" localSheetId="11">'Bal ML FeT'!$Q$24</definedName>
    <definedName name="solver_rhs24" localSheetId="7">'Bal AL FeT'!$S$35</definedName>
    <definedName name="solver_rhs24" localSheetId="11">'Bal ML FeT'!$G$21</definedName>
    <definedName name="solver_rhs25" localSheetId="7">'Bal AL FeT'!$Q$39</definedName>
    <definedName name="solver_rhs25" localSheetId="11">'Bal ML FeT'!$K$29</definedName>
    <definedName name="solver_rhs26" localSheetId="7">'Bal AL FeT'!$S$27</definedName>
    <definedName name="solver_rhs26" localSheetId="11">'Bal ML FeT'!$Q$20</definedName>
    <definedName name="solver_rhs27" localSheetId="7">'Bal AL FeT'!$S$33</definedName>
    <definedName name="solver_rhs28" localSheetId="7">'Bal AL FeT'!$S$28</definedName>
    <definedName name="solver_rhs29" localSheetId="7">'Bal AL FeT'!$S$29</definedName>
    <definedName name="solver_rhs3" localSheetId="8">'Bal AL FeMag'!$Q$31</definedName>
    <definedName name="solver_rhs3" localSheetId="7">'Bal AL FeT'!$Q$35</definedName>
    <definedName name="solver_rhs3" localSheetId="12">'Bal ML FeMag'!$S$26</definedName>
    <definedName name="solver_rhs3" localSheetId="11">0</definedName>
    <definedName name="solver_rhs30" localSheetId="7">'Bal AL FeT'!$Q$40</definedName>
    <definedName name="solver_rhs31" localSheetId="7">'Bal AL FeT'!$Q$36</definedName>
    <definedName name="solver_rhs32" localSheetId="7">'Bal AL FeT'!$Q$33</definedName>
    <definedName name="solver_rhs33" localSheetId="7">'Bal AL FeT'!$Q$29</definedName>
    <definedName name="solver_rhs34" localSheetId="7">'Bal AL FeT'!$Q$28</definedName>
    <definedName name="solver_rhs35" localSheetId="7">'Bal AL FeT'!$Q$31</definedName>
    <definedName name="solver_rhs4" localSheetId="8">'Bal AL FeMag'!$Q$33</definedName>
    <definedName name="solver_rhs4" localSheetId="7">'Bal AL FeT'!$Q$37</definedName>
    <definedName name="solver_rhs4" localSheetId="12">'Bal ML FeMag'!$S$27</definedName>
    <definedName name="solver_rhs4" localSheetId="11">0</definedName>
    <definedName name="solver_rhs5" localSheetId="8">'Bal AL FeMag'!$Q$35</definedName>
    <definedName name="solver_rhs5" localSheetId="7">'Bal AL FeT'!$Q$42</definedName>
    <definedName name="solver_rhs5" localSheetId="12">'Bal ML FeMag'!$S$30</definedName>
    <definedName name="solver_rhs5" localSheetId="11">0</definedName>
    <definedName name="solver_rhs6" localSheetId="8">'Bal AL FeMag'!$Q$39</definedName>
    <definedName name="solver_rhs6" localSheetId="7">'Bal AL FeT'!$S$32</definedName>
    <definedName name="solver_rhs6" localSheetId="12">'Bal ML FeMag'!$S$23</definedName>
    <definedName name="solver_rhs6" localSheetId="11">'Bal ML FeT'!$Q$22</definedName>
    <definedName name="solver_rhs7" localSheetId="8">'Bal AL FeMag'!$Q$36</definedName>
    <definedName name="solver_rhs7" localSheetId="7">'Bal AL FeT'!$Q$25</definedName>
    <definedName name="solver_rhs7" localSheetId="12">0</definedName>
    <definedName name="solver_rhs7" localSheetId="11">'Bal ML FeT'!$S$26</definedName>
    <definedName name="solver_rhs8" localSheetId="8">'Bal AL FeMag'!$Q$42</definedName>
    <definedName name="solver_rhs8" localSheetId="7">'Bal AL FeT'!$S$36</definedName>
    <definedName name="solver_rhs8" localSheetId="12">0</definedName>
    <definedName name="solver_rhs8" localSheetId="11">'Bal ML FeT'!$S$28</definedName>
    <definedName name="solver_rhs9" localSheetId="8">'Bal AL FeMag'!$S$27</definedName>
    <definedName name="solver_rhs9" localSheetId="12">0</definedName>
    <definedName name="solver_rhs9" localSheetId="11">0</definedName>
    <definedName name="solver_rhs9" localSheetId="6">0</definedName>
    <definedName name="solver_rlx" localSheetId="7">2</definedName>
    <definedName name="solver_rlx" localSheetId="12">2</definedName>
    <definedName name="solver_rlx" localSheetId="11">2</definedName>
    <definedName name="solver_rlx" localSheetId="6">2</definedName>
    <definedName name="solver_rsd" localSheetId="7">0</definedName>
    <definedName name="solver_rsd" localSheetId="12">0</definedName>
    <definedName name="solver_rsd" localSheetId="11">0</definedName>
    <definedName name="solver_rsd" localSheetId="6">0</definedName>
    <definedName name="solver_scl" localSheetId="7">1</definedName>
    <definedName name="solver_scl" localSheetId="12">2</definedName>
    <definedName name="solver_scl" localSheetId="11">2</definedName>
    <definedName name="solver_scl" localSheetId="6">1</definedName>
    <definedName name="solver_sho" localSheetId="7">2</definedName>
    <definedName name="solver_sho" localSheetId="12">2</definedName>
    <definedName name="solver_sho" localSheetId="11">2</definedName>
    <definedName name="solver_sho" localSheetId="6">2</definedName>
    <definedName name="solver_ssz" localSheetId="7">100</definedName>
    <definedName name="solver_ssz" localSheetId="12">100</definedName>
    <definedName name="solver_ssz" localSheetId="11">100</definedName>
    <definedName name="solver_ssz" localSheetId="6">100</definedName>
    <definedName name="solver_tim" localSheetId="7">2147483647</definedName>
    <definedName name="solver_tim" localSheetId="12">2147483647</definedName>
    <definedName name="solver_tim" localSheetId="11">2147483647</definedName>
    <definedName name="solver_tim" localSheetId="6">2147483647</definedName>
    <definedName name="solver_tol" localSheetId="7">1</definedName>
    <definedName name="solver_tol" localSheetId="12">1</definedName>
    <definedName name="solver_tol" localSheetId="11">1</definedName>
    <definedName name="solver_tol" localSheetId="6">1</definedName>
    <definedName name="solver_typ" localSheetId="7">2</definedName>
    <definedName name="solver_typ" localSheetId="12">2</definedName>
    <definedName name="solver_typ" localSheetId="11">2</definedName>
    <definedName name="solver_typ" localSheetId="6">2</definedName>
    <definedName name="solver_val" localSheetId="7">0</definedName>
    <definedName name="solver_val" localSheetId="12">0</definedName>
    <definedName name="solver_val" localSheetId="11">0</definedName>
    <definedName name="solver_val" localSheetId="6">0</definedName>
    <definedName name="solver_ver" localSheetId="7">3</definedName>
    <definedName name="solver_ver" localSheetId="12">3</definedName>
    <definedName name="solver_ver" localSheetId="11">3</definedName>
    <definedName name="solver_ver" localSheetId="6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6" roundtripDataChecksum="xUOEIgml2br7GiVmPHh+oKvLCV+/LjJmLrsv8hNVczM="/>
    </ext>
  </extLst>
</workbook>
</file>

<file path=xl/calcChain.xml><?xml version="1.0" encoding="utf-8"?>
<calcChain xmlns="http://schemas.openxmlformats.org/spreadsheetml/2006/main">
  <c r="M24" i="13" l="1"/>
  <c r="M31" i="13" s="1"/>
  <c r="N22" i="13"/>
  <c r="G24" i="13"/>
  <c r="G31" i="13" s="1"/>
  <c r="L31" i="13"/>
  <c r="N25" i="13"/>
  <c r="M25" i="13"/>
  <c r="L25" i="13"/>
  <c r="L24" i="13"/>
  <c r="F31" i="13"/>
  <c r="H28" i="13"/>
  <c r="H27" i="13"/>
  <c r="H26" i="13"/>
  <c r="H25" i="13"/>
  <c r="G28" i="13"/>
  <c r="F28" i="13"/>
  <c r="G27" i="13"/>
  <c r="F27" i="13"/>
  <c r="G26" i="13"/>
  <c r="F26" i="13"/>
  <c r="G25" i="13"/>
  <c r="F25" i="13"/>
  <c r="F24" i="13"/>
  <c r="M22" i="13"/>
  <c r="L22" i="13"/>
  <c r="M18" i="13"/>
  <c r="N18" i="13" s="1"/>
  <c r="L18" i="13"/>
  <c r="M17" i="13"/>
  <c r="L17" i="13"/>
  <c r="M16" i="13"/>
  <c r="L16" i="13"/>
  <c r="M15" i="13"/>
  <c r="N15" i="13" s="1"/>
  <c r="L15" i="13"/>
  <c r="N14" i="13"/>
  <c r="M14" i="13"/>
  <c r="L14" i="13"/>
  <c r="H15" i="13"/>
  <c r="G15" i="13"/>
  <c r="F15" i="13"/>
  <c r="H14" i="13"/>
  <c r="G14" i="13"/>
  <c r="F14" i="13"/>
  <c r="N24" i="13" l="1"/>
  <c r="N31" i="13" s="1"/>
  <c r="H24" i="13"/>
  <c r="H31" i="13" s="1"/>
  <c r="N17" i="13"/>
  <c r="N16" i="13"/>
  <c r="H22" i="13"/>
  <c r="F22" i="13"/>
  <c r="G22" i="13"/>
  <c r="H12" i="2"/>
  <c r="H13" i="2"/>
  <c r="H14" i="2"/>
  <c r="K26" i="1"/>
  <c r="K25" i="1"/>
  <c r="F23" i="1" l="1"/>
  <c r="K23" i="1"/>
  <c r="K22" i="1"/>
  <c r="K21" i="1"/>
  <c r="F22" i="1"/>
  <c r="F21" i="1"/>
  <c r="K30" i="12"/>
  <c r="E30" i="12"/>
  <c r="K29" i="12"/>
  <c r="F36" i="2" s="1"/>
  <c r="E29" i="12"/>
  <c r="A29" i="12"/>
  <c r="D29" i="12" s="1"/>
  <c r="K28" i="12"/>
  <c r="F44" i="2" s="1"/>
  <c r="E28" i="12"/>
  <c r="K27" i="12"/>
  <c r="J27" i="12"/>
  <c r="L27" i="12" s="1"/>
  <c r="H27" i="12"/>
  <c r="E27" i="12"/>
  <c r="K26" i="12"/>
  <c r="H26" i="12"/>
  <c r="G26" i="12"/>
  <c r="E26" i="12"/>
  <c r="K25" i="12"/>
  <c r="G25" i="12"/>
  <c r="E25" i="12"/>
  <c r="K24" i="12"/>
  <c r="H24" i="12"/>
  <c r="H23" i="12" s="1"/>
  <c r="E24" i="12"/>
  <c r="K23" i="12"/>
  <c r="F34" i="2" s="1"/>
  <c r="E23" i="12"/>
  <c r="K22" i="12"/>
  <c r="E22" i="12"/>
  <c r="K21" i="12"/>
  <c r="H21" i="12"/>
  <c r="E21" i="12"/>
  <c r="K20" i="12"/>
  <c r="H20" i="12"/>
  <c r="E20" i="12"/>
  <c r="K30" i="11"/>
  <c r="L30" i="11" s="1"/>
  <c r="J30" i="11"/>
  <c r="J30" i="12" s="1"/>
  <c r="L30" i="12" s="1"/>
  <c r="G30" i="11"/>
  <c r="F30" i="11"/>
  <c r="E30" i="11"/>
  <c r="L29" i="11"/>
  <c r="K29" i="11"/>
  <c r="J29" i="11"/>
  <c r="J29" i="12" s="1"/>
  <c r="L29" i="12" s="1"/>
  <c r="F29" i="11"/>
  <c r="E29" i="11"/>
  <c r="A29" i="11"/>
  <c r="G29" i="11" s="1"/>
  <c r="K28" i="11"/>
  <c r="L28" i="11" s="1"/>
  <c r="J28" i="11"/>
  <c r="J28" i="12" s="1"/>
  <c r="F28" i="11"/>
  <c r="E28" i="11"/>
  <c r="L27" i="11"/>
  <c r="K27" i="11"/>
  <c r="J27" i="11"/>
  <c r="G27" i="12" s="1"/>
  <c r="H27" i="11"/>
  <c r="G27" i="11"/>
  <c r="F27" i="11"/>
  <c r="E27" i="11"/>
  <c r="K26" i="11"/>
  <c r="E35" i="2" s="1"/>
  <c r="J26" i="11"/>
  <c r="J26" i="12" s="1"/>
  <c r="L26" i="12" s="1"/>
  <c r="H26" i="11"/>
  <c r="F26" i="11"/>
  <c r="E26" i="11"/>
  <c r="L25" i="11"/>
  <c r="K25" i="11"/>
  <c r="J25" i="11"/>
  <c r="J25" i="12" s="1"/>
  <c r="L25" i="12" s="1"/>
  <c r="F25" i="11"/>
  <c r="E25" i="11"/>
  <c r="L24" i="11"/>
  <c r="K24" i="11"/>
  <c r="J24" i="11"/>
  <c r="J24" i="12" s="1"/>
  <c r="L24" i="12" s="1"/>
  <c r="H24" i="11"/>
  <c r="H23" i="11" s="1"/>
  <c r="G24" i="11"/>
  <c r="F24" i="11"/>
  <c r="E24" i="11"/>
  <c r="L23" i="11"/>
  <c r="K23" i="11"/>
  <c r="E34" i="2" s="1"/>
  <c r="J23" i="11"/>
  <c r="F23" i="11"/>
  <c r="E23" i="11"/>
  <c r="L22" i="11"/>
  <c r="K22" i="11"/>
  <c r="J22" i="11"/>
  <c r="J22" i="12" s="1"/>
  <c r="L22" i="12" s="1"/>
  <c r="F22" i="11"/>
  <c r="E22" i="11"/>
  <c r="K21" i="11"/>
  <c r="J21" i="11"/>
  <c r="G21" i="12" s="1"/>
  <c r="H21" i="11"/>
  <c r="G21" i="11"/>
  <c r="F21" i="11"/>
  <c r="E21" i="11"/>
  <c r="K20" i="11"/>
  <c r="J20" i="11"/>
  <c r="H20" i="11"/>
  <c r="G20" i="11"/>
  <c r="F20" i="11"/>
  <c r="E20" i="11"/>
  <c r="I16" i="11"/>
  <c r="H26" i="10"/>
  <c r="Y18" i="10" s="1"/>
  <c r="K18" i="10"/>
  <c r="J18" i="10"/>
  <c r="U17" i="10" s="1"/>
  <c r="K17" i="10"/>
  <c r="Y17" i="10" s="1"/>
  <c r="D15" i="10"/>
  <c r="A12" i="10"/>
  <c r="A11" i="10"/>
  <c r="R18" i="10" s="1"/>
  <c r="H7" i="10"/>
  <c r="D7" i="10"/>
  <c r="C7" i="10"/>
  <c r="M44" i="9"/>
  <c r="M43" i="9"/>
  <c r="M42" i="9"/>
  <c r="M41" i="9"/>
  <c r="P40" i="9"/>
  <c r="G29" i="9"/>
  <c r="S17" i="9" s="1"/>
  <c r="O43" i="9" s="1"/>
  <c r="I6" i="6" s="1"/>
  <c r="J6" i="6" s="1"/>
  <c r="P43" i="9" s="1"/>
  <c r="E29" i="9"/>
  <c r="J16" i="9"/>
  <c r="B16" i="9"/>
  <c r="B18" i="9" s="1"/>
  <c r="P30" i="9" s="1"/>
  <c r="K42" i="8"/>
  <c r="J42" i="8"/>
  <c r="AF25" i="8" s="1"/>
  <c r="H42" i="8"/>
  <c r="E42" i="8"/>
  <c r="K41" i="8"/>
  <c r="J41" i="8"/>
  <c r="L41" i="8" s="1"/>
  <c r="H41" i="8"/>
  <c r="G41" i="8"/>
  <c r="E41" i="8"/>
  <c r="K40" i="8"/>
  <c r="J40" i="8"/>
  <c r="H40" i="8"/>
  <c r="G40" i="8"/>
  <c r="E40" i="8"/>
  <c r="K39" i="8"/>
  <c r="G39" i="8"/>
  <c r="E39" i="8"/>
  <c r="K38" i="8"/>
  <c r="E38" i="8"/>
  <c r="K37" i="8"/>
  <c r="H37" i="8"/>
  <c r="H38" i="8" s="1"/>
  <c r="E37" i="8"/>
  <c r="K36" i="8"/>
  <c r="J36" i="8"/>
  <c r="L36" i="8" s="1"/>
  <c r="E36" i="8"/>
  <c r="K35" i="8"/>
  <c r="J35" i="8"/>
  <c r="L35" i="8" s="1"/>
  <c r="H35" i="8"/>
  <c r="G35" i="8"/>
  <c r="E35" i="8"/>
  <c r="K34" i="8"/>
  <c r="G34" i="8"/>
  <c r="E34" i="8"/>
  <c r="K33" i="8"/>
  <c r="H33" i="8"/>
  <c r="G33" i="8"/>
  <c r="A14" i="8" s="1"/>
  <c r="E33" i="8"/>
  <c r="K32" i="8"/>
  <c r="E32" i="8"/>
  <c r="K31" i="8"/>
  <c r="J31" i="8"/>
  <c r="L31" i="8" s="1"/>
  <c r="H31" i="8"/>
  <c r="E31" i="8"/>
  <c r="K30" i="8"/>
  <c r="J30" i="8"/>
  <c r="L30" i="8" s="1"/>
  <c r="G30" i="8"/>
  <c r="E30" i="8"/>
  <c r="K29" i="8"/>
  <c r="J29" i="8"/>
  <c r="L29" i="8" s="1"/>
  <c r="H29" i="8"/>
  <c r="G29" i="8"/>
  <c r="E29" i="8"/>
  <c r="K28" i="8"/>
  <c r="H28" i="8"/>
  <c r="G28" i="8"/>
  <c r="E28" i="8"/>
  <c r="K27" i="8"/>
  <c r="H27" i="8"/>
  <c r="E27" i="8"/>
  <c r="K26" i="8"/>
  <c r="J26" i="8"/>
  <c r="L26" i="8" s="1"/>
  <c r="H26" i="8"/>
  <c r="E26" i="8"/>
  <c r="AG24" i="8"/>
  <c r="AF24" i="8"/>
  <c r="B14" i="8"/>
  <c r="B13" i="8"/>
  <c r="A13" i="8"/>
  <c r="A17" i="8" s="1"/>
  <c r="C21" i="8" s="1"/>
  <c r="K42" i="7"/>
  <c r="J42" i="7"/>
  <c r="L42" i="7" s="1"/>
  <c r="H42" i="7"/>
  <c r="G42" i="7"/>
  <c r="G42" i="8" s="1"/>
  <c r="E42" i="7"/>
  <c r="L41" i="7"/>
  <c r="K41" i="7"/>
  <c r="J41" i="7"/>
  <c r="H41" i="7"/>
  <c r="G41" i="7"/>
  <c r="E41" i="7"/>
  <c r="L40" i="7"/>
  <c r="K40" i="7"/>
  <c r="J40" i="7"/>
  <c r="H40" i="7"/>
  <c r="G40" i="7"/>
  <c r="E40" i="7"/>
  <c r="K39" i="7"/>
  <c r="J39" i="7"/>
  <c r="H39" i="7"/>
  <c r="G39" i="7"/>
  <c r="E39" i="7"/>
  <c r="K38" i="7"/>
  <c r="J38" i="7"/>
  <c r="H38" i="7"/>
  <c r="G38" i="7"/>
  <c r="G38" i="8" s="1"/>
  <c r="E38" i="7"/>
  <c r="K37" i="7"/>
  <c r="J37" i="7"/>
  <c r="H37" i="7"/>
  <c r="G37" i="7"/>
  <c r="G37" i="8" s="1"/>
  <c r="E37" i="7"/>
  <c r="K36" i="7"/>
  <c r="J36" i="7"/>
  <c r="L36" i="7" s="1"/>
  <c r="H36" i="7"/>
  <c r="G36" i="7"/>
  <c r="G36" i="8" s="1"/>
  <c r="E36" i="7"/>
  <c r="L35" i="7"/>
  <c r="K35" i="7"/>
  <c r="J35" i="7"/>
  <c r="H35" i="7"/>
  <c r="G35" i="7"/>
  <c r="E35" i="7"/>
  <c r="K34" i="7"/>
  <c r="L34" i="7" s="1"/>
  <c r="J34" i="7"/>
  <c r="J34" i="8" s="1"/>
  <c r="L34" i="8" s="1"/>
  <c r="H34" i="7"/>
  <c r="G34" i="7"/>
  <c r="E34" i="7"/>
  <c r="K33" i="7"/>
  <c r="E20" i="2" s="1"/>
  <c r="J33" i="7"/>
  <c r="H33" i="7"/>
  <c r="G33" i="7"/>
  <c r="E33" i="7"/>
  <c r="K32" i="7"/>
  <c r="J32" i="7"/>
  <c r="H32" i="7"/>
  <c r="G32" i="7"/>
  <c r="G32" i="8" s="1"/>
  <c r="E32" i="7"/>
  <c r="K31" i="7"/>
  <c r="J31" i="7"/>
  <c r="L31" i="7" s="1"/>
  <c r="H31" i="7"/>
  <c r="G31" i="7"/>
  <c r="G31" i="8" s="1"/>
  <c r="H30" i="8" s="1"/>
  <c r="E31" i="7"/>
  <c r="L30" i="7"/>
  <c r="K30" i="7"/>
  <c r="J30" i="7"/>
  <c r="H30" i="7"/>
  <c r="G30" i="7"/>
  <c r="E30" i="7"/>
  <c r="L29" i="7"/>
  <c r="K29" i="7"/>
  <c r="J29" i="7"/>
  <c r="H29" i="7"/>
  <c r="B13" i="7" s="1"/>
  <c r="G29" i="7"/>
  <c r="E29" i="7"/>
  <c r="K28" i="7"/>
  <c r="J28" i="7"/>
  <c r="J28" i="8" s="1"/>
  <c r="L28" i="8" s="1"/>
  <c r="H28" i="7"/>
  <c r="G28" i="7"/>
  <c r="E28" i="7"/>
  <c r="K27" i="7"/>
  <c r="J27" i="7"/>
  <c r="H27" i="7"/>
  <c r="G27" i="7"/>
  <c r="G27" i="8" s="1"/>
  <c r="E27" i="7"/>
  <c r="K26" i="7"/>
  <c r="J26" i="7"/>
  <c r="L26" i="7" s="1"/>
  <c r="H26" i="7"/>
  <c r="G26" i="7"/>
  <c r="G26" i="8" s="1"/>
  <c r="E26" i="7"/>
  <c r="B14" i="7"/>
  <c r="A14" i="7"/>
  <c r="A17" i="7" s="1"/>
  <c r="C21" i="7" s="1"/>
  <c r="C11" i="7" s="1"/>
  <c r="A13" i="7"/>
  <c r="B11" i="7"/>
  <c r="E11" i="6"/>
  <c r="F11" i="6" s="1"/>
  <c r="G11" i="6" s="1"/>
  <c r="H11" i="6" s="1"/>
  <c r="D11" i="6"/>
  <c r="F10" i="6"/>
  <c r="G10" i="6" s="1"/>
  <c r="H10" i="6" s="1"/>
  <c r="E10" i="6"/>
  <c r="D10" i="6"/>
  <c r="D9" i="6"/>
  <c r="E8" i="6"/>
  <c r="D8" i="6"/>
  <c r="D7" i="6"/>
  <c r="E5" i="6"/>
  <c r="F5" i="6" s="1"/>
  <c r="D5" i="6"/>
  <c r="D4" i="6"/>
  <c r="F27" i="5"/>
  <c r="E27" i="5"/>
  <c r="F26" i="5"/>
  <c r="H30" i="12" s="1"/>
  <c r="H29" i="12" s="1"/>
  <c r="E26" i="5"/>
  <c r="H30" i="11" s="1"/>
  <c r="H29" i="11" s="1"/>
  <c r="A18" i="5"/>
  <c r="L16" i="5"/>
  <c r="E12" i="6" s="1"/>
  <c r="F12" i="6" s="1"/>
  <c r="G12" i="6" s="1"/>
  <c r="H12" i="6" s="1"/>
  <c r="F15" i="5"/>
  <c r="H39" i="8" s="1"/>
  <c r="E15" i="5"/>
  <c r="G14" i="5"/>
  <c r="F14" i="5"/>
  <c r="H36" i="8" s="1"/>
  <c r="F12" i="5"/>
  <c r="H32" i="8" s="1"/>
  <c r="I11" i="5"/>
  <c r="G11" i="5"/>
  <c r="G10" i="5"/>
  <c r="D10" i="5"/>
  <c r="A10" i="5"/>
  <c r="L9" i="5"/>
  <c r="E9" i="6" s="1"/>
  <c r="F9" i="6" s="1"/>
  <c r="G9" i="5"/>
  <c r="D9" i="5"/>
  <c r="A9" i="5" s="1"/>
  <c r="G8" i="5"/>
  <c r="A8" i="5"/>
  <c r="L7" i="5"/>
  <c r="E7" i="6" s="1"/>
  <c r="I7" i="5"/>
  <c r="G7" i="5"/>
  <c r="A7" i="5"/>
  <c r="L6" i="5"/>
  <c r="E6" i="6" s="1"/>
  <c r="F6" i="6" s="1"/>
  <c r="I6" i="5"/>
  <c r="D6" i="6" s="1"/>
  <c r="G6" i="5"/>
  <c r="G5" i="5"/>
  <c r="L4" i="5"/>
  <c r="E4" i="6" s="1"/>
  <c r="F4" i="6" s="1"/>
  <c r="A30" i="7" s="1"/>
  <c r="D30" i="7" s="1"/>
  <c r="G4" i="5"/>
  <c r="B3" i="5"/>
  <c r="F80" i="2"/>
  <c r="E80" i="2"/>
  <c r="D80" i="2"/>
  <c r="F79" i="2"/>
  <c r="E79" i="2"/>
  <c r="D79" i="2"/>
  <c r="F78" i="2"/>
  <c r="E78" i="2"/>
  <c r="D78" i="2"/>
  <c r="E77" i="2"/>
  <c r="D77" i="2"/>
  <c r="E76" i="2"/>
  <c r="D76" i="2"/>
  <c r="E75" i="2"/>
  <c r="D75" i="2"/>
  <c r="E74" i="2"/>
  <c r="D74" i="2"/>
  <c r="Q65" i="2"/>
  <c r="C64" i="2"/>
  <c r="C63" i="2"/>
  <c r="C61" i="2"/>
  <c r="C60" i="2"/>
  <c r="C59" i="2"/>
  <c r="C58" i="2"/>
  <c r="F52" i="2"/>
  <c r="E52" i="2"/>
  <c r="D52" i="2"/>
  <c r="F51" i="2"/>
  <c r="E51" i="2"/>
  <c r="D51" i="2"/>
  <c r="F48" i="2"/>
  <c r="E48" i="2"/>
  <c r="D48" i="2"/>
  <c r="F47" i="2"/>
  <c r="E47" i="2"/>
  <c r="E44" i="2"/>
  <c r="D44" i="2"/>
  <c r="F43" i="2"/>
  <c r="E43" i="2"/>
  <c r="D43" i="2"/>
  <c r="C40" i="2"/>
  <c r="C39" i="2"/>
  <c r="E36" i="2"/>
  <c r="D36" i="2"/>
  <c r="F35" i="2"/>
  <c r="D35" i="2"/>
  <c r="C34" i="2"/>
  <c r="C62" i="2" s="1"/>
  <c r="C28" i="2"/>
  <c r="C25" i="2"/>
  <c r="F23" i="2"/>
  <c r="E23" i="2"/>
  <c r="D23" i="2"/>
  <c r="F22" i="2"/>
  <c r="E22" i="2"/>
  <c r="F20" i="2"/>
  <c r="F19" i="2"/>
  <c r="E19" i="2"/>
  <c r="D19" i="2"/>
  <c r="S17" i="2"/>
  <c r="Q32" i="1"/>
  <c r="M32" i="1"/>
  <c r="R32" i="1" s="1"/>
  <c r="L32" i="1"/>
  <c r="P32" i="1" s="1"/>
  <c r="J32" i="1"/>
  <c r="T32" i="1" s="1"/>
  <c r="I32" i="1"/>
  <c r="H27" i="10" s="1"/>
  <c r="H32" i="1"/>
  <c r="E32" i="1"/>
  <c r="N32" i="1" s="1"/>
  <c r="D32" i="1"/>
  <c r="C32" i="1"/>
  <c r="J31" i="1"/>
  <c r="I31" i="1"/>
  <c r="T31" i="1" s="1"/>
  <c r="H31" i="1"/>
  <c r="E31" i="1"/>
  <c r="N31" i="1" s="1"/>
  <c r="D31" i="1"/>
  <c r="C31" i="1"/>
  <c r="T30" i="1"/>
  <c r="N30" i="1"/>
  <c r="J30" i="1"/>
  <c r="I30" i="1"/>
  <c r="H30" i="1"/>
  <c r="E30" i="1"/>
  <c r="D30" i="1"/>
  <c r="M30" i="1" s="1"/>
  <c r="R30" i="1" s="1"/>
  <c r="C30" i="1"/>
  <c r="L30" i="1" s="1"/>
  <c r="Q30" i="1" s="1"/>
  <c r="M29" i="1"/>
  <c r="R29" i="1" s="1"/>
  <c r="L29" i="1"/>
  <c r="Q29" i="1" s="1"/>
  <c r="J29" i="1"/>
  <c r="L18" i="10" s="1"/>
  <c r="L19" i="10" s="1"/>
  <c r="Y41" i="10" s="1"/>
  <c r="I29" i="1"/>
  <c r="E18" i="10" s="1"/>
  <c r="H29" i="1"/>
  <c r="E17" i="10" s="1"/>
  <c r="E29" i="1"/>
  <c r="N29" i="1" s="1"/>
  <c r="D29" i="1"/>
  <c r="C29" i="1"/>
  <c r="T28" i="1"/>
  <c r="R28" i="1"/>
  <c r="J28" i="1"/>
  <c r="I28" i="1"/>
  <c r="H28" i="1"/>
  <c r="J20" i="10" s="1"/>
  <c r="U41" i="10" s="1"/>
  <c r="E28" i="1"/>
  <c r="N28" i="1" s="1"/>
  <c r="D28" i="1"/>
  <c r="M28" i="1" s="1"/>
  <c r="C28" i="1"/>
  <c r="N27" i="1"/>
  <c r="M27" i="1"/>
  <c r="R27" i="1" s="1"/>
  <c r="J27" i="1"/>
  <c r="I18" i="10" s="1"/>
  <c r="I19" i="10" s="1"/>
  <c r="I27" i="1"/>
  <c r="H18" i="10" s="1"/>
  <c r="H19" i="10" s="1"/>
  <c r="H27" i="1"/>
  <c r="H17" i="10" s="1"/>
  <c r="E27" i="1"/>
  <c r="D27" i="1"/>
  <c r="C27" i="1"/>
  <c r="N26" i="1"/>
  <c r="L26" i="1"/>
  <c r="J26" i="1"/>
  <c r="L7" i="10" s="1"/>
  <c r="I26" i="1"/>
  <c r="K7" i="10" s="1"/>
  <c r="H26" i="1"/>
  <c r="K6" i="10" s="1"/>
  <c r="E26" i="1"/>
  <c r="D26" i="1"/>
  <c r="C26" i="1"/>
  <c r="R25" i="1"/>
  <c r="Q25" i="1"/>
  <c r="J25" i="1"/>
  <c r="T25" i="1" s="1"/>
  <c r="I25" i="1"/>
  <c r="H25" i="1"/>
  <c r="E25" i="1"/>
  <c r="D25" i="1"/>
  <c r="M25" i="1" s="1"/>
  <c r="C25" i="1"/>
  <c r="L25" i="1" s="1"/>
  <c r="P25" i="1" s="1"/>
  <c r="M24" i="1"/>
  <c r="R24" i="1" s="1"/>
  <c r="L24" i="1"/>
  <c r="P24" i="1" s="1"/>
  <c r="J24" i="1"/>
  <c r="T24" i="1" s="1"/>
  <c r="I24" i="1"/>
  <c r="H24" i="1"/>
  <c r="H6" i="10" s="1"/>
  <c r="E24" i="1"/>
  <c r="N24" i="1" s="1"/>
  <c r="D24" i="1"/>
  <c r="C24" i="1"/>
  <c r="T23" i="1"/>
  <c r="J23" i="1"/>
  <c r="B12" i="10" s="1"/>
  <c r="I23" i="1"/>
  <c r="H23" i="1"/>
  <c r="E23" i="1"/>
  <c r="D23" i="1"/>
  <c r="M23" i="1" s="1"/>
  <c r="R23" i="1" s="1"/>
  <c r="C23" i="1"/>
  <c r="L23" i="1" s="1"/>
  <c r="T22" i="1"/>
  <c r="J22" i="1"/>
  <c r="I22" i="1"/>
  <c r="C15" i="10" s="1"/>
  <c r="H22" i="1"/>
  <c r="C14" i="10" s="1"/>
  <c r="R17" i="10" s="1"/>
  <c r="E22" i="1"/>
  <c r="N22" i="1" s="1"/>
  <c r="D22" i="1"/>
  <c r="M22" i="1" s="1"/>
  <c r="R22" i="1" s="1"/>
  <c r="C22" i="1"/>
  <c r="N21" i="1"/>
  <c r="J21" i="1"/>
  <c r="T21" i="1" s="1"/>
  <c r="I21" i="1"/>
  <c r="H21" i="1"/>
  <c r="C6" i="10" s="1"/>
  <c r="R16" i="10" s="1"/>
  <c r="E21" i="1"/>
  <c r="D21" i="1"/>
  <c r="M21" i="1" s="1"/>
  <c r="R21" i="1" s="1"/>
  <c r="C21" i="1"/>
  <c r="T20" i="1"/>
  <c r="N20" i="1"/>
  <c r="M20" i="1"/>
  <c r="R20" i="1" s="1"/>
  <c r="L20" i="1"/>
  <c r="J20" i="1"/>
  <c r="I20" i="1"/>
  <c r="H39" i="9" s="1"/>
  <c r="H20" i="1"/>
  <c r="H38" i="9" s="1"/>
  <c r="E20" i="1"/>
  <c r="D20" i="1"/>
  <c r="C20" i="1"/>
  <c r="R19" i="1"/>
  <c r="Q19" i="1"/>
  <c r="J19" i="1"/>
  <c r="T19" i="1" s="1"/>
  <c r="I19" i="1"/>
  <c r="H19" i="1"/>
  <c r="G39" i="9" s="1"/>
  <c r="S18" i="9" s="1"/>
  <c r="O44" i="9" s="1"/>
  <c r="I7" i="6" s="1"/>
  <c r="E19" i="1"/>
  <c r="N19" i="1" s="1"/>
  <c r="D19" i="1"/>
  <c r="M19" i="1" s="1"/>
  <c r="C19" i="1"/>
  <c r="L19" i="1" s="1"/>
  <c r="P19" i="1" s="1"/>
  <c r="M18" i="1"/>
  <c r="R18" i="1" s="1"/>
  <c r="J18" i="1"/>
  <c r="T18" i="1" s="1"/>
  <c r="I18" i="1"/>
  <c r="E39" i="9" s="1"/>
  <c r="H18" i="1"/>
  <c r="E38" i="9" s="1"/>
  <c r="E40" i="9" s="1"/>
  <c r="E18" i="1"/>
  <c r="N18" i="1" s="1"/>
  <c r="D18" i="1"/>
  <c r="C18" i="1"/>
  <c r="L18" i="1" s="1"/>
  <c r="M17" i="1"/>
  <c r="R17" i="1" s="1"/>
  <c r="J17" i="1"/>
  <c r="T17" i="1" s="1"/>
  <c r="I17" i="1"/>
  <c r="H29" i="9" s="1"/>
  <c r="H17" i="1"/>
  <c r="E17" i="1"/>
  <c r="N17" i="1" s="1"/>
  <c r="D17" i="1"/>
  <c r="C17" i="1"/>
  <c r="J16" i="1"/>
  <c r="I16" i="1"/>
  <c r="T16" i="1" s="1"/>
  <c r="H16" i="1"/>
  <c r="E16" i="1"/>
  <c r="N16" i="1" s="1"/>
  <c r="D16" i="1"/>
  <c r="M16" i="1" s="1"/>
  <c r="R16" i="1" s="1"/>
  <c r="C16" i="1"/>
  <c r="L16" i="1" s="1"/>
  <c r="Q16" i="1" s="1"/>
  <c r="N15" i="1"/>
  <c r="M15" i="1"/>
  <c r="R15" i="1" s="1"/>
  <c r="L15" i="1"/>
  <c r="Q15" i="1" s="1"/>
  <c r="J15" i="1"/>
  <c r="T15" i="1" s="1"/>
  <c r="I15" i="1"/>
  <c r="H15" i="1"/>
  <c r="E28" i="9" s="1"/>
  <c r="E15" i="1"/>
  <c r="D15" i="1"/>
  <c r="C15" i="1"/>
  <c r="T14" i="1"/>
  <c r="R14" i="1"/>
  <c r="J14" i="1"/>
  <c r="I14" i="1"/>
  <c r="J20" i="9" s="1"/>
  <c r="H14" i="1"/>
  <c r="J19" i="9" s="1"/>
  <c r="E14" i="1"/>
  <c r="N14" i="1" s="1"/>
  <c r="D14" i="1"/>
  <c r="M14" i="1" s="1"/>
  <c r="C14" i="1"/>
  <c r="M13" i="1"/>
  <c r="R13" i="1" s="1"/>
  <c r="J13" i="1"/>
  <c r="T13" i="1" s="1"/>
  <c r="I13" i="1"/>
  <c r="H13" i="1"/>
  <c r="J15" i="9" s="1"/>
  <c r="J17" i="9" s="1"/>
  <c r="W30" i="9" s="1"/>
  <c r="E13" i="1"/>
  <c r="N13" i="1" s="1"/>
  <c r="D13" i="1"/>
  <c r="C13" i="1"/>
  <c r="N12" i="1"/>
  <c r="M12" i="1"/>
  <c r="R12" i="1" s="1"/>
  <c r="J12" i="1"/>
  <c r="T12" i="1" s="1"/>
  <c r="I12" i="1"/>
  <c r="H12" i="1"/>
  <c r="H19" i="9" s="1"/>
  <c r="S16" i="9" s="1"/>
  <c r="O42" i="9" s="1"/>
  <c r="I5" i="6" s="1"/>
  <c r="J5" i="6" s="1"/>
  <c r="P42" i="9" s="1"/>
  <c r="E12" i="1"/>
  <c r="D12" i="1"/>
  <c r="C12" i="1"/>
  <c r="L12" i="1" s="1"/>
  <c r="N11" i="1"/>
  <c r="J11" i="1"/>
  <c r="I11" i="1"/>
  <c r="F18" i="9" s="1"/>
  <c r="H11" i="1"/>
  <c r="F17" i="9" s="1"/>
  <c r="E11" i="1"/>
  <c r="D11" i="1"/>
  <c r="M11" i="1" s="1"/>
  <c r="R11" i="1" s="1"/>
  <c r="C11" i="1"/>
  <c r="L11" i="1" s="1"/>
  <c r="P11" i="1" s="1"/>
  <c r="N10" i="1"/>
  <c r="L10" i="1"/>
  <c r="Q10" i="1" s="1"/>
  <c r="J10" i="1"/>
  <c r="T10" i="1" s="1"/>
  <c r="I10" i="1"/>
  <c r="J10" i="9" s="1"/>
  <c r="H10" i="1"/>
  <c r="J9" i="9" s="1"/>
  <c r="W16" i="9" s="1"/>
  <c r="E10" i="1"/>
  <c r="D10" i="1"/>
  <c r="M10" i="1" s="1"/>
  <c r="R10" i="1" s="1"/>
  <c r="C10" i="1"/>
  <c r="J9" i="1"/>
  <c r="T9" i="1" s="1"/>
  <c r="I9" i="1"/>
  <c r="J6" i="9" s="1"/>
  <c r="H9" i="1"/>
  <c r="J5" i="9" s="1"/>
  <c r="E9" i="1"/>
  <c r="N9" i="1" s="1"/>
  <c r="D9" i="1"/>
  <c r="M9" i="1" s="1"/>
  <c r="R9" i="1" s="1"/>
  <c r="C9" i="1"/>
  <c r="N8" i="1"/>
  <c r="M8" i="1"/>
  <c r="R8" i="1" s="1"/>
  <c r="J8" i="1"/>
  <c r="T8" i="1" s="1"/>
  <c r="I8" i="1"/>
  <c r="H8" i="1"/>
  <c r="E8" i="1"/>
  <c r="D8" i="1"/>
  <c r="C8" i="1"/>
  <c r="L8" i="1" s="1"/>
  <c r="N7" i="1"/>
  <c r="M7" i="1"/>
  <c r="R7" i="1" s="1"/>
  <c r="J7" i="1"/>
  <c r="I7" i="1"/>
  <c r="G4" i="9" s="1"/>
  <c r="H7" i="1"/>
  <c r="G3" i="9" s="1"/>
  <c r="E7" i="1"/>
  <c r="D7" i="1"/>
  <c r="C7" i="1"/>
  <c r="L7" i="1" s="1"/>
  <c r="J6" i="1"/>
  <c r="I6" i="1"/>
  <c r="B17" i="9" s="1"/>
  <c r="H6" i="1"/>
  <c r="E6" i="1"/>
  <c r="N6" i="1" s="1"/>
  <c r="D6" i="1"/>
  <c r="M6" i="1" s="1"/>
  <c r="R6" i="1" s="1"/>
  <c r="C6" i="1"/>
  <c r="L6" i="1" s="1"/>
  <c r="M5" i="1"/>
  <c r="R5" i="1" s="1"/>
  <c r="L5" i="1"/>
  <c r="P5" i="1" s="1"/>
  <c r="J5" i="1"/>
  <c r="T5" i="1" s="1"/>
  <c r="I5" i="1"/>
  <c r="B11" i="9" s="1"/>
  <c r="H5" i="1"/>
  <c r="B10" i="9" s="1"/>
  <c r="P16" i="9" s="1"/>
  <c r="E5" i="1"/>
  <c r="N5" i="1" s="1"/>
  <c r="D5" i="1"/>
  <c r="C5" i="1"/>
  <c r="R4" i="1"/>
  <c r="M4" i="1"/>
  <c r="J4" i="1"/>
  <c r="I4" i="1"/>
  <c r="T4" i="1" s="1"/>
  <c r="H4" i="1"/>
  <c r="B5" i="9" s="1"/>
  <c r="P15" i="9" s="1"/>
  <c r="E4" i="1"/>
  <c r="N4" i="1" s="1"/>
  <c r="D4" i="1"/>
  <c r="C4" i="1"/>
  <c r="D16" i="10" l="1"/>
  <c r="R41" i="10" s="1"/>
  <c r="Q8" i="10"/>
  <c r="E19" i="10"/>
  <c r="K19" i="10"/>
  <c r="Y29" i="10" s="1"/>
  <c r="H8" i="10"/>
  <c r="C16" i="10"/>
  <c r="R29" i="10" s="1"/>
  <c r="J7" i="6"/>
  <c r="P44" i="9" s="1"/>
  <c r="A26" i="12"/>
  <c r="G9" i="6"/>
  <c r="H9" i="6" s="1"/>
  <c r="A26" i="11"/>
  <c r="Q6" i="1"/>
  <c r="P6" i="1"/>
  <c r="P18" i="1"/>
  <c r="Q18" i="1"/>
  <c r="Q12" i="1"/>
  <c r="P12" i="1"/>
  <c r="J21" i="9"/>
  <c r="W31" i="9" s="1"/>
  <c r="W18" i="9"/>
  <c r="Q7" i="1"/>
  <c r="P7" i="1"/>
  <c r="Q8" i="1"/>
  <c r="P8" i="1"/>
  <c r="Q20" i="1"/>
  <c r="P20" i="1"/>
  <c r="Q23" i="1"/>
  <c r="P23" i="1"/>
  <c r="K8" i="10"/>
  <c r="Y28" i="10" s="1"/>
  <c r="Y31" i="10" s="1"/>
  <c r="L26" i="11"/>
  <c r="L28" i="12"/>
  <c r="N23" i="1"/>
  <c r="P29" i="1"/>
  <c r="P30" i="1"/>
  <c r="H28" i="10"/>
  <c r="Y30" i="10" s="1"/>
  <c r="D11" i="2"/>
  <c r="L17" i="5"/>
  <c r="L18" i="5" s="1"/>
  <c r="L20" i="5" s="1"/>
  <c r="J39" i="8"/>
  <c r="L39" i="8" s="1"/>
  <c r="B6" i="9"/>
  <c r="J20" i="12"/>
  <c r="L20" i="12" s="1"/>
  <c r="L20" i="11"/>
  <c r="L21" i="11"/>
  <c r="G20" i="12"/>
  <c r="E28" i="10"/>
  <c r="U30" i="10" s="1"/>
  <c r="E29" i="10"/>
  <c r="U42" i="10" s="1"/>
  <c r="E27" i="10"/>
  <c r="U18" i="10" s="1"/>
  <c r="D20" i="2"/>
  <c r="J33" i="8"/>
  <c r="L33" i="8" s="1"/>
  <c r="F19" i="9"/>
  <c r="T11" i="1"/>
  <c r="P15" i="1"/>
  <c r="P16" i="1"/>
  <c r="Q24" i="1"/>
  <c r="Q26" i="1"/>
  <c r="P26" i="1"/>
  <c r="M31" i="1"/>
  <c r="R31" i="1" s="1"/>
  <c r="N43" i="9"/>
  <c r="G6" i="6"/>
  <c r="H6" i="6" s="1"/>
  <c r="A38" i="7"/>
  <c r="D38" i="7" s="1"/>
  <c r="A34" i="8"/>
  <c r="D34" i="8" s="1"/>
  <c r="G5" i="6"/>
  <c r="H5" i="6" s="1"/>
  <c r="A34" i="7"/>
  <c r="D34" i="7" s="1"/>
  <c r="L33" i="7"/>
  <c r="A38" i="8"/>
  <c r="D38" i="8" s="1"/>
  <c r="P17" i="9"/>
  <c r="P21" i="9" s="1"/>
  <c r="J23" i="12"/>
  <c r="L23" i="12" s="1"/>
  <c r="G23" i="12"/>
  <c r="D34" i="2"/>
  <c r="H34" i="2" s="1"/>
  <c r="D62" i="2" s="1"/>
  <c r="T7" i="1"/>
  <c r="J37" i="8"/>
  <c r="L37" i="8" s="1"/>
  <c r="L37" i="7"/>
  <c r="W15" i="9"/>
  <c r="J7" i="9"/>
  <c r="W28" i="9" s="1"/>
  <c r="H35" i="2"/>
  <c r="D63" i="2" s="1"/>
  <c r="L42" i="8"/>
  <c r="AG25" i="8" s="1"/>
  <c r="Q5" i="1"/>
  <c r="H9" i="9"/>
  <c r="S28" i="9" s="1"/>
  <c r="H8" i="9"/>
  <c r="S15" i="9" s="1"/>
  <c r="P10" i="1"/>
  <c r="L21" i="1"/>
  <c r="F24" i="1"/>
  <c r="L22" i="1"/>
  <c r="K26" i="2"/>
  <c r="H26" i="2"/>
  <c r="F8" i="6"/>
  <c r="J32" i="8"/>
  <c r="L32" i="8" s="1"/>
  <c r="L32" i="7"/>
  <c r="D47" i="2"/>
  <c r="H47" i="2" s="1"/>
  <c r="L39" i="7"/>
  <c r="B7" i="9"/>
  <c r="P28" i="9" s="1"/>
  <c r="E30" i="9"/>
  <c r="N42" i="9"/>
  <c r="C8" i="10"/>
  <c r="R28" i="10" s="1"/>
  <c r="L8" i="10"/>
  <c r="Y40" i="10" s="1"/>
  <c r="Y16" i="10"/>
  <c r="Y19" i="10" s="1"/>
  <c r="C38" i="2"/>
  <c r="B12" i="9"/>
  <c r="P29" i="9" s="1"/>
  <c r="W20" i="9"/>
  <c r="H40" i="9"/>
  <c r="W33" i="9" s="1"/>
  <c r="B13" i="10"/>
  <c r="R42" i="10" s="1"/>
  <c r="Q7" i="10"/>
  <c r="T26" i="1"/>
  <c r="L31" i="1"/>
  <c r="D22" i="2"/>
  <c r="L28" i="7"/>
  <c r="J38" i="8"/>
  <c r="L38" i="8" s="1"/>
  <c r="L38" i="7"/>
  <c r="W17" i="9"/>
  <c r="D8" i="10"/>
  <c r="R40" i="10" s="1"/>
  <c r="J19" i="10"/>
  <c r="U29" i="10" s="1"/>
  <c r="Q11" i="1"/>
  <c r="H28" i="9"/>
  <c r="W19" i="9" s="1"/>
  <c r="L17" i="1"/>
  <c r="L9" i="1"/>
  <c r="L13" i="1"/>
  <c r="L14" i="1"/>
  <c r="K24" i="1"/>
  <c r="N25" i="1"/>
  <c r="M26" i="1"/>
  <c r="R26" i="1" s="1"/>
  <c r="L27" i="1"/>
  <c r="L28" i="1"/>
  <c r="D10" i="2"/>
  <c r="J27" i="8"/>
  <c r="L27" i="8" s="1"/>
  <c r="L27" i="7"/>
  <c r="AF23" i="8"/>
  <c r="L40" i="8"/>
  <c r="AG23" i="8" s="1"/>
  <c r="D29" i="11"/>
  <c r="A13" i="10"/>
  <c r="R30" i="10" s="1"/>
  <c r="L4" i="1"/>
  <c r="T6" i="1"/>
  <c r="G5" i="9"/>
  <c r="H20" i="9"/>
  <c r="S29" i="9" s="1"/>
  <c r="G30" i="9"/>
  <c r="S30" i="9" s="1"/>
  <c r="R19" i="10"/>
  <c r="J8" i="10"/>
  <c r="U28" i="10" s="1"/>
  <c r="J7" i="10"/>
  <c r="U16" i="10" s="1"/>
  <c r="U19" i="10" s="1"/>
  <c r="T29" i="1"/>
  <c r="F18" i="10"/>
  <c r="F19" i="10" s="1"/>
  <c r="N41" i="9"/>
  <c r="A30" i="8"/>
  <c r="D30" i="8" s="1"/>
  <c r="F7" i="6"/>
  <c r="G4" i="6"/>
  <c r="H4" i="6" s="1"/>
  <c r="B11" i="8"/>
  <c r="C11" i="8" s="1"/>
  <c r="H34" i="8"/>
  <c r="J11" i="9"/>
  <c r="W29" i="9" s="1"/>
  <c r="G40" i="9"/>
  <c r="S31" i="9" s="1"/>
  <c r="J9" i="10"/>
  <c r="U40" i="10" s="1"/>
  <c r="J21" i="12"/>
  <c r="L21" i="12" s="1"/>
  <c r="I7" i="10"/>
  <c r="I8" i="10" s="1"/>
  <c r="G24" i="12"/>
  <c r="G30" i="12"/>
  <c r="T27" i="1"/>
  <c r="I27" i="10"/>
  <c r="I28" i="10" s="1"/>
  <c r="Y42" i="10" s="1"/>
  <c r="G22" i="12"/>
  <c r="G28" i="12"/>
  <c r="H28" i="12" s="1"/>
  <c r="G29" i="12"/>
  <c r="H25" i="2" l="1"/>
  <c r="H38" i="2"/>
  <c r="R31" i="10"/>
  <c r="S34" i="9"/>
  <c r="Y21" i="10"/>
  <c r="I38" i="2"/>
  <c r="E11" i="2"/>
  <c r="I35" i="2" s="1"/>
  <c r="E63" i="2" s="1"/>
  <c r="H36" i="2"/>
  <c r="F11" i="2"/>
  <c r="K25" i="2"/>
  <c r="K27" i="2" s="1"/>
  <c r="H22" i="2"/>
  <c r="H40" i="2"/>
  <c r="J40" i="2" s="1"/>
  <c r="G8" i="6"/>
  <c r="H8" i="6" s="1"/>
  <c r="A23" i="11"/>
  <c r="A23" i="12"/>
  <c r="D23" i="12" s="1"/>
  <c r="D21" i="2"/>
  <c r="H21" i="2" s="1"/>
  <c r="U43" i="10"/>
  <c r="P14" i="1"/>
  <c r="Q14" i="1"/>
  <c r="R43" i="10"/>
  <c r="J38" i="2"/>
  <c r="P34" i="9"/>
  <c r="P22" i="1"/>
  <c r="Q22" i="1"/>
  <c r="H30" i="9"/>
  <c r="W32" i="9" s="1"/>
  <c r="D15" i="2"/>
  <c r="F10" i="2"/>
  <c r="E10" i="2"/>
  <c r="E15" i="2" s="1"/>
  <c r="H23" i="2"/>
  <c r="H19" i="2"/>
  <c r="W34" i="9"/>
  <c r="P9" i="1"/>
  <c r="Q9" i="1"/>
  <c r="Q31" i="1"/>
  <c r="P31" i="1"/>
  <c r="Q21" i="1"/>
  <c r="P21" i="1"/>
  <c r="W21" i="9"/>
  <c r="G26" i="11"/>
  <c r="G25" i="11"/>
  <c r="H25" i="11" s="1"/>
  <c r="D26" i="11"/>
  <c r="Q13" i="1"/>
  <c r="P13" i="1"/>
  <c r="Q4" i="1"/>
  <c r="P4" i="1"/>
  <c r="P28" i="1"/>
  <c r="Q28" i="1"/>
  <c r="Q17" i="1"/>
  <c r="P17" i="1"/>
  <c r="Y43" i="10"/>
  <c r="H48" i="2"/>
  <c r="H20" i="2"/>
  <c r="A41" i="8"/>
  <c r="D41" i="8" s="1"/>
  <c r="G7" i="6"/>
  <c r="H7" i="6" s="1"/>
  <c r="A41" i="7"/>
  <c r="D41" i="7" s="1"/>
  <c r="N44" i="9"/>
  <c r="H27" i="2"/>
  <c r="U31" i="10"/>
  <c r="Y33" i="10" s="1"/>
  <c r="Q27" i="1"/>
  <c r="P27" i="1"/>
  <c r="O41" i="9"/>
  <c r="I4" i="6" s="1"/>
  <c r="J4" i="6" s="1"/>
  <c r="P41" i="9" s="1"/>
  <c r="S21" i="9"/>
  <c r="W23" i="9" s="1"/>
  <c r="D26" i="12"/>
  <c r="H25" i="12"/>
  <c r="H11" i="2" l="1"/>
  <c r="E21" i="2"/>
  <c r="F21" i="2"/>
  <c r="W36" i="9"/>
  <c r="F15" i="2"/>
  <c r="G23" i="11"/>
  <c r="G22" i="11"/>
  <c r="D23" i="11"/>
  <c r="D59" i="2"/>
  <c r="I20" i="2"/>
  <c r="E59" i="2" s="1"/>
  <c r="Y45" i="10"/>
  <c r="D64" i="2"/>
  <c r="I36" i="2"/>
  <c r="E64" i="2" s="1"/>
  <c r="I40" i="2"/>
  <c r="H22" i="12"/>
  <c r="D61" i="2"/>
  <c r="I23" i="2"/>
  <c r="E61" i="2" s="1"/>
  <c r="I34" i="2"/>
  <c r="E62" i="2" s="1"/>
  <c r="I19" i="2"/>
  <c r="E58" i="2" s="1"/>
  <c r="D58" i="2"/>
  <c r="I21" i="2"/>
  <c r="I22" i="2"/>
  <c r="E60" i="2" s="1"/>
  <c r="D60" i="2"/>
  <c r="H22" i="11" l="1"/>
  <c r="G28" i="11"/>
  <c r="H28" i="1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43" authorId="0" shapeId="0" xr:uid="{00000000-0006-0000-0100-000003000000}">
      <text>
        <r>
          <rPr>
            <sz val="11"/>
            <color rgb="FF000000"/>
            <rFont val="Calibri"/>
            <family val="2"/>
            <scheme val="minor"/>
          </rPr>
          <t>======
ID#AAAA1UbYMVE
Sophia Daniela Cisterna Ponce    (2023-01-18 22:35:56)
se ajusta con balance romeral</t>
        </r>
      </text>
    </comment>
    <comment ref="F43" authorId="0" shapeId="0" xr:uid="{00000000-0006-0000-0100-000001000000}">
      <text>
        <r>
          <rPr>
            <sz val="11"/>
            <color rgb="FF000000"/>
            <rFont val="Calibri"/>
            <family val="2"/>
            <scheme val="minor"/>
          </rPr>
          <t>======
ID#AAAA1UbYMU0
Sophia Daniela Cisterna Ponce    (2023-01-18 22:35:56)
de acuerdo a ley obtenida en balance romenral calcular apuntando al mismo magnetismo</t>
        </r>
      </text>
    </comment>
    <comment ref="N43" authorId="0" shapeId="0" xr:uid="{00000000-0006-0000-0100-000002000000}">
      <text>
        <r>
          <rPr>
            <sz val="11"/>
            <color rgb="FF000000"/>
            <rFont val="Calibri"/>
            <family val="2"/>
            <scheme val="minor"/>
          </rPr>
          <t>======
ID#AAAA1UbYMUg
Sophia Daniela Cisterna Ponce    (2023-01-18 22:35:56)
se hacen pregranzas apartir de material AL de bronces</t>
        </r>
      </text>
    </comment>
    <comment ref="T47" authorId="0" shapeId="0" xr:uid="{00000000-0006-0000-0100-000005000000}">
      <text>
        <r>
          <rPr>
            <sz val="11"/>
            <color rgb="FF000000"/>
            <rFont val="Calibri"/>
            <family val="2"/>
            <scheme val="minor"/>
          </rPr>
          <t>======
ID#AAAA1UbYMU8
Sophia Daniela Cisterna Ponce    (2023-01-18 22:35:56)
se mezclan mixtos hacia rom por buena ley</t>
        </r>
      </text>
    </comment>
    <comment ref="S54" authorId="0" shapeId="0" xr:uid="{00000000-0006-0000-0100-000004000000}">
      <text>
        <r>
          <rPr>
            <sz val="11"/>
            <color rgb="FF000000"/>
            <rFont val="Calibri"/>
            <family val="2"/>
            <scheme val="minor"/>
          </rPr>
          <t>======
ID#AAAA1UbYMT8
Sophia Daniela Cisterna Ponce    (2023-01-18 22:35:56)
se envian la mayoria de los mixtos 1 a rom por buena calidad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hmPac3JjhXUhmhjo7BD9ZHsgQeYg=="/>
    </ext>
  </extL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2" authorId="0" shapeId="0" xr:uid="{00000000-0006-0000-0400-00000C000000}">
      <text>
        <r>
          <rPr>
            <sz val="11"/>
            <color rgb="FF000000"/>
            <rFont val="Calibri"/>
            <family val="2"/>
            <scheme val="minor"/>
          </rPr>
          <t>======
ID#AAAA1UbYMUw
Sophia Daniela Cisterna Ponce    (2023-01-18 22:35:56)
comparar con dato  de alimentacion chancado primario de reportabilidad distrito pleito</t>
        </r>
      </text>
    </comment>
    <comment ref="H3" authorId="0" shapeId="0" xr:uid="{00000000-0006-0000-0400-000004000000}">
      <text>
        <r>
          <rPr>
            <sz val="11"/>
            <color rgb="FF000000"/>
            <rFont val="Calibri"/>
            <family val="2"/>
            <scheme val="minor"/>
          </rPr>
          <t>======
ID#AAAA1UbYMUk
Sophia Daniela Cisterna Ponce    (2023-01-18 22:35:56)
stock inicial del mes</t>
        </r>
      </text>
    </comment>
    <comment ref="K3" authorId="0" shapeId="0" xr:uid="{00000000-0006-0000-0400-000009000000}">
      <text>
        <r>
          <rPr>
            <sz val="11"/>
            <color rgb="FF000000"/>
            <rFont val="Calibri"/>
            <family val="2"/>
            <scheme val="minor"/>
          </rPr>
          <t>======
ID#AAAA1UbYMUA
Sophia Daniela Cisterna Ponce    (2023-01-18 22:35:56)
remanentes del dia anterior a las 08 hrs (cubicacion)</t>
        </r>
      </text>
    </comment>
    <comment ref="D9" authorId="0" shapeId="0" xr:uid="{00000000-0006-0000-0400-000008000000}">
      <text>
        <r>
          <rPr>
            <sz val="11"/>
            <color rgb="FF000000"/>
            <rFont val="Calibri"/>
            <family val="2"/>
            <scheme val="minor"/>
          </rPr>
          <t>======
ID#AAAA1UbYMUc
Sophia Daniela Cisterna Ponce    (2023-01-18 22:35:56)
se restan 8000 ton por envio de mixto 1 a rom por buena calidad</t>
        </r>
      </text>
    </comment>
    <comment ref="K11" authorId="0" shapeId="0" xr:uid="{00000000-0006-0000-0400-000006000000}">
      <text>
        <r>
          <rPr>
            <sz val="11"/>
            <color rgb="FF000000"/>
            <rFont val="Calibri"/>
            <family val="2"/>
            <scheme val="minor"/>
          </rPr>
          <t>======
ID#AAAA1UbYMVI
Sophia Daniela Cisterna Ponce    (2023-01-18 22:35:56)
ML Romeral</t>
        </r>
      </text>
    </comment>
    <comment ref="D15" authorId="0" shapeId="0" xr:uid="{00000000-0006-0000-0400-00000E000000}">
      <text>
        <r>
          <rPr>
            <sz val="11"/>
            <color rgb="FF000000"/>
            <rFont val="Calibri"/>
            <family val="2"/>
            <scheme val="minor"/>
          </rPr>
          <t>======
ID#AAAA1UbYMU4
Sophia Daniela Cisterna Ponce    (2023-01-18 22:35:56)
se coloca el movimiento mina adicional, se suma mov adicional de rechazos</t>
        </r>
      </text>
    </comment>
    <comment ref="L15" authorId="0" shapeId="0" xr:uid="{00000000-0006-0000-0400-000003000000}">
      <text>
        <r>
          <rPr>
            <sz val="11"/>
            <color rgb="FF000000"/>
            <rFont val="Calibri"/>
            <family val="2"/>
            <scheme val="minor"/>
          </rPr>
          <t>======
ID#AAAA1UbYMUM
Sophia Daniela Cisterna Ponce    (2023-01-18 22:35:56)
se usa 1,95 cuando es principalemnte rechazos y 2,1 cuando es mayoria mixto 1</t>
        </r>
      </text>
    </comment>
    <comment ref="D18" authorId="0" shapeId="0" xr:uid="{00000000-0006-0000-0400-00000B000000}">
      <text>
        <r>
          <rPr>
            <sz val="11"/>
            <color rgb="FF000000"/>
            <rFont val="Calibri"/>
            <family val="2"/>
            <scheme val="minor"/>
          </rPr>
          <t>======
ID#AAAA1UbYMUY
Sophia Daniela Cisterna Ponce    (2023-01-18 22:35:56)
se suman 3514 porque con material AL se produjo pregranzas</t>
        </r>
      </text>
    </comment>
    <comment ref="D23" authorId="0" shapeId="0" xr:uid="{00000000-0006-0000-0400-00000F000000}">
      <text>
        <r>
          <rPr>
            <sz val="11"/>
            <color rgb="FF000000"/>
            <rFont val="Calibri"/>
            <family val="2"/>
            <scheme val="minor"/>
          </rPr>
          <t>======
ID#AAAA1UbYMUs
Sophia Daniela Cisterna Ponce    (2023-01-18 22:35:56)
por diferencia de alimentacion-producciones</t>
        </r>
      </text>
    </comment>
    <comment ref="D26" authorId="0" shapeId="0" xr:uid="{00000000-0006-0000-0400-000001000000}">
      <text>
        <r>
          <rPr>
            <sz val="11"/>
            <color rgb="FF000000"/>
            <rFont val="Calibri"/>
            <family val="2"/>
            <scheme val="minor"/>
          </rPr>
          <t>======
ID#AAAA1UbYMUQ
Sophia Daniela Cisterna Ponce    (2023-01-18 22:35:56)
se coloca el movimiento mina adicional</t>
        </r>
      </text>
    </comment>
    <comment ref="C32" authorId="0" shapeId="0" xr:uid="{00000000-0006-0000-0400-000007000000}">
      <text>
        <r>
          <rPr>
            <sz val="11"/>
            <color rgb="FF000000"/>
            <rFont val="Calibri"/>
            <family val="2"/>
            <scheme val="minor"/>
          </rPr>
          <t>======
ID#AAAA1UbYMUE
Sophia Daniela Cisterna Ponce    (2023-01-18 22:35:56)
sumar al transporte de acopio ml a romeral</t>
        </r>
      </text>
    </comment>
    <comment ref="C34" authorId="0" shapeId="0" xr:uid="{00000000-0006-0000-0400-000002000000}">
      <text>
        <r>
          <rPr>
            <sz val="11"/>
            <color rgb="FF000000"/>
            <rFont val="Calibri"/>
            <family val="2"/>
            <scheme val="minor"/>
          </rPr>
          <t>======
ID#AAAA1UbYMUo
Sophia Daniela Cisterna Ponce    (2023-01-18 22:35:56)
sumar al transporte de acopio ml a romeral</t>
        </r>
      </text>
    </comment>
    <comment ref="C36" authorId="0" shapeId="0" xr:uid="{00000000-0006-0000-0400-00000D000000}">
      <text>
        <r>
          <rPr>
            <sz val="11"/>
            <color rgb="FF000000"/>
            <rFont val="Calibri"/>
            <family val="2"/>
            <scheme val="minor"/>
          </rPr>
          <t>======
ID#AAAA1UbYMUU
Sophia Daniela Cisterna Ponce    (2023-01-18 22:35:56)
sumar al transporte de acopio ml a romeral</t>
        </r>
      </text>
    </comment>
    <comment ref="C38" authorId="0" shapeId="0" xr:uid="{00000000-0006-0000-0400-000005000000}">
      <text>
        <r>
          <rPr>
            <sz val="11"/>
            <color rgb="FF000000"/>
            <rFont val="Calibri"/>
            <family val="2"/>
            <scheme val="minor"/>
          </rPr>
          <t>======
ID#AAAA1UbYMUI
Sophia Daniela Cisterna Ponce    (2023-01-18 22:35:56)
sumar al transporte de acopio ml a romeral</t>
        </r>
      </text>
    </comment>
    <comment ref="O40" authorId="0" shapeId="0" xr:uid="{00000000-0006-0000-0400-00000A000000}">
      <text>
        <r>
          <rPr>
            <sz val="11"/>
            <color rgb="FF000000"/>
            <rFont val="Calibri"/>
            <family val="2"/>
            <scheme val="minor"/>
          </rPr>
          <t>======
ID#AAAA1UbYMVA
Sophia Daniela Cisterna Ponce    (2023-01-18 22:35:56)
se ajusta incorporando  la cantidad en la cubicacion inicial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h1m4uFlJpYygAlgWBNGbZvMQKANw=="/>
    </ext>
  </extLst>
</comments>
</file>

<file path=xl/sharedStrings.xml><?xml version="1.0" encoding="utf-8"?>
<sst xmlns="http://schemas.openxmlformats.org/spreadsheetml/2006/main" count="480" uniqueCount="218">
  <si>
    <t>Mediciones</t>
  </si>
  <si>
    <t>Balance</t>
  </si>
  <si>
    <t>% Cambio relativo</t>
  </si>
  <si>
    <t>Max Var Ton</t>
  </si>
  <si>
    <t>Max Var  FeT</t>
  </si>
  <si>
    <t>Max Var  FeMag</t>
  </si>
  <si>
    <t>FeMag &lt; FeT</t>
  </si>
  <si>
    <t>Flujos</t>
  </si>
  <si>
    <t>TMS</t>
  </si>
  <si>
    <t>Ley FeT</t>
  </si>
  <si>
    <t>Ley FeMag</t>
  </si>
  <si>
    <t>TMSD</t>
  </si>
  <si>
    <t>%Fe T</t>
  </si>
  <si>
    <t>Alta Ley 1 Pleito</t>
  </si>
  <si>
    <t>Alta Ley 2 Pleito</t>
  </si>
  <si>
    <t>Alim AL Bronces</t>
  </si>
  <si>
    <t>Produc Granzas</t>
  </si>
  <si>
    <t>Delta Stock Granzas</t>
  </si>
  <si>
    <t>Transporte Granzas a Romeral</t>
  </si>
  <si>
    <t>Transporte Granzas a Puerto</t>
  </si>
  <si>
    <t>Produc Finos</t>
  </si>
  <si>
    <t>Delta Stock Finos</t>
  </si>
  <si>
    <t>Transporte Finos a Romeral</t>
  </si>
  <si>
    <t>Transporte Finos a Puerto</t>
  </si>
  <si>
    <t>Rechazo Mixto 1</t>
  </si>
  <si>
    <t>Delta Stock Mixto 1</t>
  </si>
  <si>
    <t>Transporte Mixto 1 a Rechazo</t>
  </si>
  <si>
    <t>Rechazo Mixto 2</t>
  </si>
  <si>
    <t>Delta Stock Mixto 2</t>
  </si>
  <si>
    <t>Transporte Mixto 2 a Romeral</t>
  </si>
  <si>
    <t>ML Pleito</t>
  </si>
  <si>
    <t>Bronces</t>
  </si>
  <si>
    <t>Acopio</t>
  </si>
  <si>
    <t>Produc Prec Granzas</t>
  </si>
  <si>
    <t>Delta Stock Prec Granzas</t>
  </si>
  <si>
    <t xml:space="preserve">Transporte Prec  Granzas  </t>
  </si>
  <si>
    <t>Prod Prec Finos</t>
  </si>
  <si>
    <t>Delta Prec Finos</t>
  </si>
  <si>
    <t xml:space="preserve">Transp Prec Finos  </t>
  </si>
  <si>
    <t>Produc Rechazos</t>
  </si>
  <si>
    <t>Delta Stock Rechazos</t>
  </si>
  <si>
    <t>Transp Rechazos a botadero</t>
  </si>
  <si>
    <t>Recuperaciones en peso</t>
  </si>
  <si>
    <t>Balance Faena Pleito</t>
  </si>
  <si>
    <t>Fecha</t>
  </si>
  <si>
    <t>Pregranza</t>
  </si>
  <si>
    <t>Prefino</t>
  </si>
  <si>
    <t>Rechazo</t>
  </si>
  <si>
    <t>Granzas</t>
  </si>
  <si>
    <t>Finos</t>
  </si>
  <si>
    <t>Mixto 1</t>
  </si>
  <si>
    <t>Mixto 2</t>
  </si>
  <si>
    <t>Mixtos</t>
  </si>
  <si>
    <t>Planta Pleito</t>
  </si>
  <si>
    <t>Alimentación Chancado Primario</t>
  </si>
  <si>
    <t>TM</t>
  </si>
  <si>
    <t>%FeT</t>
  </si>
  <si>
    <t>%Femag</t>
  </si>
  <si>
    <t>Alimentación Alta Ley (AL)</t>
  </si>
  <si>
    <t>Alimentación Mediana Ley (ML)</t>
  </si>
  <si>
    <t>Alimentación Total</t>
  </si>
  <si>
    <t>Producción Planta</t>
  </si>
  <si>
    <t>Alta Ley Pleito Sur</t>
  </si>
  <si>
    <t>%Rp</t>
  </si>
  <si>
    <t>%Rm</t>
  </si>
  <si>
    <t>Prec Mixto 1</t>
  </si>
  <si>
    <t>Prec Mixto 2</t>
  </si>
  <si>
    <t>Alta Ley Bronces</t>
  </si>
  <si>
    <t>Preconcentrados</t>
  </si>
  <si>
    <t>Mediana Ley Especial</t>
  </si>
  <si>
    <t>Prec. Granzas</t>
  </si>
  <si>
    <t>Pre. Finos</t>
  </si>
  <si>
    <t>Mediana Ley Bronces</t>
  </si>
  <si>
    <t>Produccion Total</t>
  </si>
  <si>
    <t>Fet</t>
  </si>
  <si>
    <t>Fem</t>
  </si>
  <si>
    <t>Rechazo total</t>
  </si>
  <si>
    <t>%Rp Granzas</t>
  </si>
  <si>
    <t>Transporte</t>
  </si>
  <si>
    <t>Prec. Granzas a Romeral (ML)</t>
  </si>
  <si>
    <t>Prec. Finos a Romeral (ML)</t>
  </si>
  <si>
    <t xml:space="preserve">Prec. Mixtos 2 a Romeral </t>
  </si>
  <si>
    <t>Finos a Romeral</t>
  </si>
  <si>
    <t>Granzas a Guayacán</t>
  </si>
  <si>
    <t>Finos a Guayacán</t>
  </si>
  <si>
    <t>Otros Movimientos</t>
  </si>
  <si>
    <t>Transporte Alta Ley a ROM</t>
  </si>
  <si>
    <t>Transporte Mediana Ley a ROM</t>
  </si>
  <si>
    <t>Comentarios</t>
  </si>
  <si>
    <t>1. Se obtienen las siguientes recuperaciones:</t>
  </si>
  <si>
    <t>Material</t>
  </si>
  <si>
    <t xml:space="preserve">Material </t>
  </si>
  <si>
    <t>%Rp actual</t>
  </si>
  <si>
    <t>%Rp Propuesto</t>
  </si>
  <si>
    <t>2. Se consideran 5.769 ton de rechazo como movimientos adicionales  a mina.</t>
  </si>
  <si>
    <t>AL</t>
  </si>
  <si>
    <t>ML</t>
  </si>
  <si>
    <t>Recuperaciones</t>
  </si>
  <si>
    <t>sept. 21</t>
  </si>
  <si>
    <t>oct. 21</t>
  </si>
  <si>
    <t>granzas</t>
  </si>
  <si>
    <t>finos</t>
  </si>
  <si>
    <t>premixto 1</t>
  </si>
  <si>
    <t>premixto 2</t>
  </si>
  <si>
    <t>Pre granzas</t>
  </si>
  <si>
    <t>Prefinos</t>
  </si>
  <si>
    <t>Rechazos</t>
  </si>
  <si>
    <t>Planta Pleito Tambor 2</t>
  </si>
  <si>
    <t>Cubicaciones</t>
  </si>
  <si>
    <t>Comprobacion</t>
  </si>
  <si>
    <t>%FeM</t>
  </si>
  <si>
    <t>REMANENTES inicio periodo</t>
  </si>
  <si>
    <t>REMANENTES fin periodo</t>
  </si>
  <si>
    <t>Alta Ley</t>
  </si>
  <si>
    <t>Alimentación Alta Ley 1</t>
  </si>
  <si>
    <t>Alimentación Alta Ley 2</t>
  </si>
  <si>
    <t>Alimentación Bronces</t>
  </si>
  <si>
    <t>Producción a  Granzas</t>
  </si>
  <si>
    <t>Producción a Finos</t>
  </si>
  <si>
    <t>Pre. Granzas</t>
  </si>
  <si>
    <t>Producción  a Mixto 1</t>
  </si>
  <si>
    <t>Producción  a Mixto 2</t>
  </si>
  <si>
    <t>ML Acopio</t>
  </si>
  <si>
    <t>Verificar con sap stock iniciales</t>
  </si>
  <si>
    <t>REMANENTES BOTADERO fin periodo</t>
  </si>
  <si>
    <t>Rechazo Planta (m3)</t>
  </si>
  <si>
    <t>Densidad</t>
  </si>
  <si>
    <t>Rechazo Planta (ton)</t>
  </si>
  <si>
    <t>Transporte Alta Ley a Romeral</t>
  </si>
  <si>
    <t>Rechazo Planta (ton) balance</t>
  </si>
  <si>
    <t>MEDIANA LEY</t>
  </si>
  <si>
    <t>Alim Med Ley</t>
  </si>
  <si>
    <t>Material en caminos y varios</t>
  </si>
  <si>
    <t>Alim Bronces ML</t>
  </si>
  <si>
    <t>Informado por Depetris</t>
  </si>
  <si>
    <t>Alim ML desde Acopio</t>
  </si>
  <si>
    <t>Delta</t>
  </si>
  <si>
    <t>Transporte Prec  Granzas a Romeral</t>
  </si>
  <si>
    <t>Transp Prec Finos a Romeral</t>
  </si>
  <si>
    <t xml:space="preserve"> </t>
  </si>
  <si>
    <t>Transp de Acopio ML a Romeral</t>
  </si>
  <si>
    <t>Transporte noche 13-10</t>
  </si>
  <si>
    <t>Transporte noche  20-09</t>
  </si>
  <si>
    <t>Transporte noche 27-10</t>
  </si>
  <si>
    <t>Transporte noche 19-05</t>
  </si>
  <si>
    <t>Codigo</t>
  </si>
  <si>
    <t>Stock Inicial Sap</t>
  </si>
  <si>
    <t>Ajuste</t>
  </si>
  <si>
    <t>Preconcentrados (Mixto 2 + Pregranza + Prefino)</t>
  </si>
  <si>
    <t>cub ini</t>
  </si>
  <si>
    <t>cub fin</t>
  </si>
  <si>
    <t>final - ini</t>
  </si>
  <si>
    <t>Valor del Nodo</t>
  </si>
  <si>
    <t>Cub final Balanceada</t>
  </si>
  <si>
    <t>stock Granzas</t>
  </si>
  <si>
    <t>Stock Finos</t>
  </si>
  <si>
    <t>Stock Mixto 1</t>
  </si>
  <si>
    <t>Stock Mixto 2</t>
  </si>
  <si>
    <t>stock  Prec Granzas</t>
  </si>
  <si>
    <t>Stock  Prec Finos</t>
  </si>
  <si>
    <t>Stock Rechazos</t>
  </si>
  <si>
    <t>Stock ML</t>
  </si>
  <si>
    <t>Stock botadero</t>
  </si>
  <si>
    <t>alim</t>
  </si>
  <si>
    <t>Prod T</t>
  </si>
  <si>
    <t>Valor Inicial</t>
  </si>
  <si>
    <t>Valores Calculados</t>
  </si>
  <si>
    <t>TMF Fe</t>
  </si>
  <si>
    <t>%FeMag</t>
  </si>
  <si>
    <t>TMF Fe Mag</t>
  </si>
  <si>
    <t>BALANCE GLOBAL MASA</t>
  </si>
  <si>
    <t>ENTRADAS</t>
  </si>
  <si>
    <t>VARIACIONES DE INVENTARIOS</t>
  </si>
  <si>
    <t>SALIDAS</t>
  </si>
  <si>
    <t>Alim Alta Ley 1</t>
  </si>
  <si>
    <t>Stock Granzas</t>
  </si>
  <si>
    <t>Alim Alta Ley 2</t>
  </si>
  <si>
    <t xml:space="preserve">Stock Finos  </t>
  </si>
  <si>
    <t>Alim AL Bornces</t>
  </si>
  <si>
    <t>Stock Prec Mixto 1</t>
  </si>
  <si>
    <t>Transporte Mixto 1 a Romeral</t>
  </si>
  <si>
    <t>TOTAL ENTRADAS</t>
  </si>
  <si>
    <t xml:space="preserve">VAR NETA </t>
  </si>
  <si>
    <t>ENTRADAS - VAR INVENTARIO - SALIDAS</t>
  </si>
  <si>
    <t>BALANCE GLOBAL FINOS</t>
  </si>
  <si>
    <t>Delta Stock S/Bal</t>
  </si>
  <si>
    <t>Deltas Stock Balanceado</t>
  </si>
  <si>
    <t>Rec P Granzas</t>
  </si>
  <si>
    <t>Rec P Finos</t>
  </si>
  <si>
    <t>ML Pleitos</t>
  </si>
  <si>
    <t>Stock Prec Granzas</t>
  </si>
  <si>
    <t xml:space="preserve">Transporte  Prec Granzas </t>
  </si>
  <si>
    <t>ML Bronces</t>
  </si>
  <si>
    <t>Stock Prec Finos</t>
  </si>
  <si>
    <t>Transporte Prec Finos</t>
  </si>
  <si>
    <t>Transporte a Botadero</t>
  </si>
  <si>
    <t>BALANCE GLOBAL FINO FeT</t>
  </si>
  <si>
    <t>BALANCE GLOBAL FINO FeMag</t>
  </si>
  <si>
    <t>01 al 16 de Julio 2023 (ML)</t>
  </si>
  <si>
    <t>Pleito</t>
  </si>
  <si>
    <t xml:space="preserve">Mediana Ley </t>
  </si>
  <si>
    <t>BALANCE METALÚRGICO - VALLE ELQUI</t>
  </si>
  <si>
    <t>FECHA DE BALANCE</t>
  </si>
  <si>
    <t>TONELAJE</t>
  </si>
  <si>
    <t>LEY</t>
  </si>
  <si>
    <t>FINO</t>
  </si>
  <si>
    <t>% FeT</t>
  </si>
  <si>
    <t>TMF</t>
  </si>
  <si>
    <t>PRODUCCIÓN</t>
  </si>
  <si>
    <t>TOTAL</t>
  </si>
  <si>
    <t xml:space="preserve">PÉRDIDAS </t>
  </si>
  <si>
    <t>INVENTARIOS</t>
  </si>
  <si>
    <t>REPORTE DISTRITO PLEITO</t>
  </si>
  <si>
    <t>Mediana Ley</t>
  </si>
  <si>
    <t>Sinter Feed</t>
  </si>
  <si>
    <t>Pregranzas</t>
  </si>
  <si>
    <t>Mixtos 2</t>
  </si>
  <si>
    <t>TRANSPORTES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</si>
</sst>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\ %"/>
    <numFmt numFmtId="165" formatCode="0.0%"/>
    <numFmt numFmtId="166" formatCode="0\ %"/>
    <numFmt numFmtId="167" formatCode="0.0"/>
  </numFmts>
  <fonts count="35" x14ac:knownFonts="1">
    <font>
      <sz val="11"/>
      <color rgb="FF000000"/>
      <name val="Calibri"/>
      <scheme val="minor"/>
    </font>
    <font>
      <sz val="11"/>
      <color rgb="FF000000"/>
      <name val="Calibri"/>
      <family val="2"/>
    </font>
    <font>
      <b/>
      <sz val="14"/>
      <color rgb="FF000000"/>
      <name val="Calibri"/>
      <family val="2"/>
    </font>
    <font>
      <sz val="11"/>
      <name val="Calibri"/>
      <family val="2"/>
    </font>
    <font>
      <b/>
      <sz val="16"/>
      <color rgb="FF000000"/>
      <name val="Calibri"/>
      <family val="2"/>
    </font>
    <font>
      <sz val="14"/>
      <color rgb="FF000000"/>
      <name val="Calibri"/>
      <family val="2"/>
    </font>
    <font>
      <sz val="16"/>
      <color rgb="FF000000"/>
      <name val="Calibri"/>
      <family val="2"/>
    </font>
    <font>
      <b/>
      <sz val="12"/>
      <color rgb="FF2F5496"/>
      <name val="Calibri"/>
      <family val="2"/>
    </font>
    <font>
      <b/>
      <sz val="12"/>
      <color rgb="FFFFFFFF"/>
      <name val="Calibri"/>
      <family val="2"/>
    </font>
    <font>
      <b/>
      <sz val="11"/>
      <color rgb="FFFFFFFF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Calibri"/>
      <family val="2"/>
    </font>
    <font>
      <b/>
      <i/>
      <sz val="11"/>
      <color rgb="FF000000"/>
      <name val="Calibri"/>
      <family val="2"/>
    </font>
    <font>
      <sz val="11"/>
      <color rgb="FFFF0000"/>
      <name val="Calibri"/>
      <family val="2"/>
    </font>
    <font>
      <sz val="11"/>
      <color rgb="FF242424"/>
      <name val="Quattrocento Sans"/>
      <family val="2"/>
    </font>
    <font>
      <sz val="8"/>
      <color rgb="FF000000"/>
      <name val="Calibri"/>
      <family val="2"/>
    </font>
    <font>
      <b/>
      <sz val="12"/>
      <color rgb="FF000000"/>
      <name val="Calibri"/>
      <family val="2"/>
    </font>
    <font>
      <b/>
      <sz val="11"/>
      <color rgb="FF2F5496"/>
      <name val="Calibri"/>
      <family val="2"/>
    </font>
    <font>
      <sz val="10"/>
      <color rgb="FF000000"/>
      <name val="Calibri"/>
      <family val="2"/>
    </font>
    <font>
      <b/>
      <sz val="10"/>
      <color rgb="FFC00000"/>
      <name val="Calibri"/>
      <family val="2"/>
    </font>
    <font>
      <b/>
      <sz val="10"/>
      <color rgb="FF2E75B5"/>
      <name val="Calibri"/>
      <family val="2"/>
    </font>
    <font>
      <sz val="12"/>
      <color rgb="FF000000"/>
      <name val="Calibri"/>
      <family val="2"/>
    </font>
    <font>
      <sz val="9"/>
      <color rgb="FF000000"/>
      <name val="Calibri"/>
      <family val="2"/>
    </font>
    <font>
      <i/>
      <sz val="9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10"/>
      <color rgb="FF44546A"/>
      <name val="Calibri"/>
      <family val="2"/>
      <scheme val="minor"/>
    </font>
    <font>
      <sz val="11"/>
      <color rgb="FF44546A"/>
      <name val="Calibri"/>
      <family val="2"/>
      <scheme val="minor"/>
    </font>
    <font>
      <b/>
      <sz val="12"/>
      <color rgb="FF44546A"/>
      <name val="Calibri"/>
      <family val="2"/>
      <scheme val="minor"/>
    </font>
    <font>
      <sz val="8"/>
      <color rgb="FF44546A"/>
      <name val="Calibri"/>
      <family val="2"/>
      <scheme val="minor"/>
    </font>
    <font>
      <b/>
      <sz val="8"/>
      <color rgb="FF44546A"/>
      <name val="Calibri"/>
      <family val="2"/>
      <scheme val="minor"/>
    </font>
    <font>
      <b/>
      <sz val="8"/>
      <color rgb="FFFFFFFF"/>
      <name val="Calibri"/>
      <family val="2"/>
      <scheme val="minor"/>
    </font>
    <font>
      <sz val="8"/>
      <color rgb="FF1F4E78"/>
      <name val="Calibri"/>
      <family val="2"/>
      <scheme val="minor"/>
    </font>
    <font>
      <sz val="8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rgb="FFADB9CA"/>
        <bgColor rgb="FFADB9CA"/>
      </patternFill>
    </fill>
    <fill>
      <patternFill patternType="solid">
        <fgColor rgb="FFFFFF00"/>
        <bgColor rgb="FFFFFF00"/>
      </patternFill>
    </fill>
    <fill>
      <patternFill patternType="solid">
        <fgColor rgb="FFBDD6EE"/>
        <bgColor rgb="FFBDD6EE"/>
      </patternFill>
    </fill>
    <fill>
      <patternFill patternType="solid">
        <fgColor rgb="FFC5E0B3"/>
        <bgColor rgb="FFC5E0B3"/>
      </patternFill>
    </fill>
    <fill>
      <patternFill patternType="solid">
        <fgColor rgb="FFC5E0B4"/>
        <bgColor rgb="FFC5E0B4"/>
      </patternFill>
    </fill>
    <fill>
      <patternFill patternType="solid">
        <fgColor rgb="FFFEF2CB"/>
        <bgColor rgb="FFFEF2CB"/>
      </patternFill>
    </fill>
    <fill>
      <patternFill patternType="solid">
        <fgColor rgb="FFFFF2CC"/>
        <bgColor rgb="FFFFF2CC"/>
      </patternFill>
    </fill>
    <fill>
      <patternFill patternType="solid">
        <fgColor rgb="FF70AD47"/>
        <bgColor rgb="FF70AD47"/>
      </patternFill>
    </fill>
    <fill>
      <patternFill patternType="solid">
        <fgColor rgb="FF2E75B5"/>
        <bgColor rgb="FF2E75B5"/>
      </patternFill>
    </fill>
    <fill>
      <patternFill patternType="solid">
        <fgColor rgb="FFFF0000"/>
        <bgColor rgb="FFFF0000"/>
      </patternFill>
    </fill>
    <fill>
      <patternFill patternType="solid">
        <fgColor rgb="FF8EAADB"/>
        <bgColor rgb="FF8EAADB"/>
      </patternFill>
    </fill>
    <fill>
      <patternFill patternType="solid">
        <fgColor rgb="FFF7CAAC"/>
        <bgColor rgb="FFF7CAAC"/>
      </patternFill>
    </fill>
    <fill>
      <patternFill patternType="solid">
        <fgColor rgb="FFF2F2F2"/>
        <bgColor rgb="FFF2F2F2"/>
      </patternFill>
    </fill>
    <fill>
      <patternFill patternType="solid">
        <fgColor rgb="FFFBE4D5"/>
        <bgColor rgb="FFFBE4D5"/>
      </patternFill>
    </fill>
    <fill>
      <patternFill patternType="solid">
        <fgColor rgb="FFD9E2F3"/>
        <bgColor rgb="FFD9E2F3"/>
      </patternFill>
    </fill>
    <fill>
      <patternFill patternType="solid">
        <fgColor rgb="FFE2EFD9"/>
        <bgColor rgb="FFE2EFD9"/>
      </patternFill>
    </fill>
    <fill>
      <patternFill patternType="solid">
        <fgColor rgb="FFECECEC"/>
        <bgColor rgb="FFECECEC"/>
      </patternFill>
    </fill>
    <fill>
      <patternFill patternType="solid">
        <fgColor rgb="FFDEEAF6"/>
        <bgColor rgb="FFDEEAF6"/>
      </patternFill>
    </fill>
    <fill>
      <patternFill patternType="solid">
        <fgColor rgb="FFFFFFFF"/>
        <bgColor rgb="FFFFFFFF"/>
      </patternFill>
    </fill>
    <fill>
      <patternFill patternType="solid">
        <fgColor rgb="FFFFE598"/>
        <bgColor rgb="FFFFE598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44546A"/>
        <bgColor rgb="FF000000"/>
      </patternFill>
    </fill>
    <fill>
      <patternFill patternType="solid">
        <fgColor rgb="FFE7E6E6"/>
        <bgColor rgb="FF000000"/>
      </patternFill>
    </fill>
    <fill>
      <patternFill patternType="solid">
        <fgColor rgb="FFE8E6E6"/>
        <bgColor rgb="FF000000"/>
      </patternFill>
    </fill>
    <fill>
      <patternFill patternType="solid">
        <fgColor theme="0"/>
        <bgColor rgb="FF000000"/>
      </patternFill>
    </fill>
  </fills>
  <borders count="1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AEABAB"/>
      </left>
      <right/>
      <top style="thin">
        <color rgb="FFAEABAB"/>
      </top>
      <bottom style="thin">
        <color rgb="FFAEABAB"/>
      </bottom>
      <diagonal/>
    </border>
    <border>
      <left/>
      <right/>
      <top style="thin">
        <color rgb="FFAEABAB"/>
      </top>
      <bottom style="thin">
        <color rgb="FFAEABAB"/>
      </bottom>
      <diagonal/>
    </border>
    <border>
      <left/>
      <right style="thin">
        <color rgb="FFAEABAB"/>
      </right>
      <top style="thin">
        <color rgb="FFAEABAB"/>
      </top>
      <bottom style="thin">
        <color rgb="FFAEABAB"/>
      </bottom>
      <diagonal/>
    </border>
    <border>
      <left style="thin">
        <color rgb="FFAEABAB"/>
      </left>
      <right style="thin">
        <color rgb="FFAEABAB"/>
      </right>
      <top style="thin">
        <color rgb="FFAEABAB"/>
      </top>
      <bottom style="thin">
        <color rgb="FFAEABAB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7F7F7F"/>
      </left>
      <right/>
      <top style="thin">
        <color rgb="FF7F7F7F"/>
      </top>
      <bottom style="thin">
        <color rgb="FFAEABAB"/>
      </bottom>
      <diagonal/>
    </border>
    <border>
      <left/>
      <right/>
      <top style="thin">
        <color rgb="FF7F7F7F"/>
      </top>
      <bottom style="thin">
        <color rgb="FFAEABAB"/>
      </bottom>
      <diagonal/>
    </border>
    <border>
      <left/>
      <right style="thin">
        <color rgb="FF7F7F7F"/>
      </right>
      <top style="thin">
        <color rgb="FF7F7F7F"/>
      </top>
      <bottom style="thin">
        <color rgb="FFAEABAB"/>
      </bottom>
      <diagonal/>
    </border>
    <border>
      <left style="thin">
        <color rgb="FF7F7F7F"/>
      </left>
      <right/>
      <top style="thin">
        <color rgb="FFAEABAB"/>
      </top>
      <bottom/>
      <diagonal/>
    </border>
    <border>
      <left/>
      <right/>
      <top style="thin">
        <color rgb="FFAEABAB"/>
      </top>
      <bottom/>
      <diagonal/>
    </border>
    <border>
      <left/>
      <right style="thin">
        <color rgb="FF7F7F7F"/>
      </right>
      <top style="thin">
        <color rgb="FFAEABAB"/>
      </top>
      <bottom/>
      <diagonal/>
    </border>
    <border>
      <left style="thin">
        <color rgb="FF7F7F7F"/>
      </left>
      <right/>
      <top/>
      <bottom/>
      <diagonal/>
    </border>
    <border>
      <left/>
      <right style="thin">
        <color rgb="FF7F7F7F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/>
      <bottom style="thin">
        <color rgb="FF7F7F7F"/>
      </bottom>
      <diagonal/>
    </border>
    <border>
      <left/>
      <right/>
      <top/>
      <bottom style="thin">
        <color rgb="FF7F7F7F"/>
      </bottom>
      <diagonal/>
    </border>
    <border>
      <left/>
      <right style="thin">
        <color rgb="FF7F7F7F"/>
      </right>
      <top/>
      <bottom style="thin">
        <color rgb="FF7F7F7F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34" fillId="0" borderId="0" applyFont="0" applyFill="0" applyBorder="0" applyAlignment="0" applyProtection="0"/>
  </cellStyleXfs>
  <cellXfs count="380">
    <xf numFmtId="0" fontId="0" fillId="0" borderId="0" xfId="0"/>
    <xf numFmtId="0" fontId="1" fillId="0" borderId="0" xfId="0" applyFont="1"/>
    <xf numFmtId="0" fontId="2" fillId="4" borderId="4" xfId="0" applyFont="1" applyFill="1" applyBorder="1"/>
    <xf numFmtId="0" fontId="2" fillId="5" borderId="4" xfId="0" applyFont="1" applyFill="1" applyBorder="1" applyAlignment="1">
      <alignment wrapText="1"/>
    </xf>
    <xf numFmtId="0" fontId="4" fillId="6" borderId="4" xfId="0" applyFont="1" applyFill="1" applyBorder="1" applyAlignment="1">
      <alignment wrapText="1"/>
    </xf>
    <xf numFmtId="0" fontId="2" fillId="2" borderId="4" xfId="0" applyFont="1" applyFill="1" applyBorder="1"/>
    <xf numFmtId="0" fontId="5" fillId="3" borderId="4" xfId="0" applyFont="1" applyFill="1" applyBorder="1" applyAlignment="1">
      <alignment horizontal="center"/>
    </xf>
    <xf numFmtId="164" fontId="2" fillId="7" borderId="4" xfId="0" applyNumberFormat="1" applyFont="1" applyFill="1" applyBorder="1"/>
    <xf numFmtId="164" fontId="2" fillId="8" borderId="4" xfId="0" applyNumberFormat="1" applyFont="1" applyFill="1" applyBorder="1"/>
    <xf numFmtId="0" fontId="1" fillId="9" borderId="4" xfId="0" applyFont="1" applyFill="1" applyBorder="1"/>
    <xf numFmtId="3" fontId="5" fillId="0" borderId="4" xfId="0" applyNumberFormat="1" applyFont="1" applyBorder="1"/>
    <xf numFmtId="164" fontId="5" fillId="0" borderId="4" xfId="0" applyNumberFormat="1" applyFont="1" applyBorder="1"/>
    <xf numFmtId="165" fontId="5" fillId="0" borderId="4" xfId="0" applyNumberFormat="1" applyFont="1" applyBorder="1"/>
    <xf numFmtId="0" fontId="6" fillId="0" borderId="4" xfId="0" applyFont="1" applyBorder="1" applyAlignment="1">
      <alignment horizontal="center"/>
    </xf>
    <xf numFmtId="0" fontId="1" fillId="3" borderId="4" xfId="0" applyFont="1" applyFill="1" applyBorder="1"/>
    <xf numFmtId="3" fontId="1" fillId="0" borderId="0" xfId="0" applyNumberFormat="1" applyFont="1"/>
    <xf numFmtId="0" fontId="2" fillId="0" borderId="0" xfId="0" applyFont="1"/>
    <xf numFmtId="3" fontId="5" fillId="0" borderId="0" xfId="0" applyNumberFormat="1" applyFont="1"/>
    <xf numFmtId="164" fontId="5" fillId="0" borderId="0" xfId="0" applyNumberFormat="1" applyFont="1"/>
    <xf numFmtId="165" fontId="5" fillId="0" borderId="0" xfId="0" applyNumberFormat="1" applyFont="1"/>
    <xf numFmtId="0" fontId="2" fillId="0" borderId="0" xfId="0" applyFont="1" applyAlignment="1">
      <alignment wrapText="1"/>
    </xf>
    <xf numFmtId="164" fontId="1" fillId="0" borderId="0" xfId="0" applyNumberFormat="1" applyFont="1"/>
    <xf numFmtId="165" fontId="1" fillId="0" borderId="0" xfId="0" applyNumberFormat="1" applyFont="1"/>
    <xf numFmtId="166" fontId="1" fillId="0" borderId="0" xfId="0" applyNumberFormat="1" applyFont="1"/>
    <xf numFmtId="164" fontId="7" fillId="0" borderId="0" xfId="0" applyNumberFormat="1" applyFont="1"/>
    <xf numFmtId="0" fontId="1" fillId="0" borderId="0" xfId="0" applyFont="1" applyAlignment="1">
      <alignment horizontal="center"/>
    </xf>
    <xf numFmtId="0" fontId="1" fillId="0" borderId="5" xfId="0" applyFont="1" applyBorder="1"/>
    <xf numFmtId="0" fontId="1" fillId="0" borderId="6" xfId="0" applyFont="1" applyBorder="1"/>
    <xf numFmtId="0" fontId="1" fillId="0" borderId="6" xfId="0" applyFont="1" applyBorder="1" applyAlignment="1">
      <alignment horizontal="center"/>
    </xf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17" fontId="1" fillId="0" borderId="0" xfId="0" applyNumberFormat="1" applyFont="1"/>
    <xf numFmtId="14" fontId="1" fillId="0" borderId="0" xfId="0" applyNumberFormat="1" applyFont="1"/>
    <xf numFmtId="167" fontId="1" fillId="0" borderId="0" xfId="0" applyNumberFormat="1" applyFont="1" applyAlignment="1">
      <alignment horizontal="center"/>
    </xf>
    <xf numFmtId="3" fontId="1" fillId="0" borderId="9" xfId="0" applyNumberFormat="1" applyFont="1" applyBorder="1"/>
    <xf numFmtId="0" fontId="10" fillId="0" borderId="16" xfId="0" applyFont="1" applyBorder="1" applyAlignment="1">
      <alignment horizontal="center" vertical="center" wrapText="1"/>
    </xf>
    <xf numFmtId="0" fontId="11" fillId="0" borderId="16" xfId="0" applyFont="1" applyBorder="1" applyAlignment="1">
      <alignment horizontal="center" vertical="center" wrapText="1"/>
    </xf>
    <xf numFmtId="0" fontId="1" fillId="0" borderId="16" xfId="0" applyFont="1" applyBorder="1"/>
    <xf numFmtId="3" fontId="1" fillId="0" borderId="16" xfId="0" applyNumberFormat="1" applyFont="1" applyBorder="1" applyAlignment="1">
      <alignment horizontal="center"/>
    </xf>
    <xf numFmtId="164" fontId="1" fillId="0" borderId="16" xfId="0" applyNumberFormat="1" applyFont="1" applyBorder="1" applyAlignment="1">
      <alignment horizontal="center"/>
    </xf>
    <xf numFmtId="0" fontId="1" fillId="0" borderId="14" xfId="0" applyFont="1" applyBorder="1"/>
    <xf numFmtId="3" fontId="1" fillId="0" borderId="14" xfId="0" applyNumberFormat="1" applyFont="1" applyBorder="1" applyAlignment="1">
      <alignment horizontal="center"/>
    </xf>
    <xf numFmtId="2" fontId="1" fillId="0" borderId="14" xfId="0" applyNumberFormat="1" applyFont="1" applyBorder="1" applyAlignment="1">
      <alignment horizontal="center"/>
    </xf>
    <xf numFmtId="0" fontId="1" fillId="0" borderId="17" xfId="0" applyFont="1" applyBorder="1"/>
    <xf numFmtId="2" fontId="1" fillId="0" borderId="16" xfId="0" applyNumberFormat="1" applyFont="1" applyBorder="1" applyAlignment="1">
      <alignment horizontal="center"/>
    </xf>
    <xf numFmtId="3" fontId="1" fillId="0" borderId="18" xfId="0" applyNumberFormat="1" applyFont="1" applyBorder="1"/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3" fontId="1" fillId="0" borderId="19" xfId="0" applyNumberFormat="1" applyFont="1" applyBorder="1"/>
    <xf numFmtId="0" fontId="1" fillId="0" borderId="20" xfId="0" applyFont="1" applyBorder="1"/>
    <xf numFmtId="0" fontId="1" fillId="0" borderId="21" xfId="0" applyFont="1" applyBorder="1"/>
    <xf numFmtId="0" fontId="1" fillId="0" borderId="5" xfId="0" applyFont="1" applyBorder="1" applyAlignment="1">
      <alignment horizontal="center" vertical="center"/>
    </xf>
    <xf numFmtId="164" fontId="1" fillId="0" borderId="20" xfId="0" applyNumberFormat="1" applyFont="1" applyBorder="1"/>
    <xf numFmtId="164" fontId="1" fillId="0" borderId="21" xfId="0" applyNumberFormat="1" applyFont="1" applyBorder="1"/>
    <xf numFmtId="167" fontId="1" fillId="0" borderId="0" xfId="0" applyNumberFormat="1" applyFont="1"/>
    <xf numFmtId="4" fontId="1" fillId="0" borderId="0" xfId="0" applyNumberFormat="1" applyFont="1"/>
    <xf numFmtId="0" fontId="1" fillId="0" borderId="14" xfId="0" applyFont="1" applyBorder="1" applyAlignment="1">
      <alignment horizontal="center"/>
    </xf>
    <xf numFmtId="3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1" fillId="0" borderId="28" xfId="0" applyFont="1" applyBorder="1" applyAlignment="1">
      <alignment vertical="top" wrapText="1"/>
    </xf>
    <xf numFmtId="0" fontId="1" fillId="0" borderId="29" xfId="0" applyFont="1" applyBorder="1" applyAlignment="1">
      <alignment vertical="top" wrapText="1"/>
    </xf>
    <xf numFmtId="0" fontId="1" fillId="0" borderId="0" xfId="0" applyFont="1" applyAlignment="1">
      <alignment horizontal="left" vertical="top" wrapText="1"/>
    </xf>
    <xf numFmtId="0" fontId="10" fillId="0" borderId="30" xfId="0" applyFont="1" applyBorder="1" applyAlignment="1">
      <alignment vertical="top" wrapText="1"/>
    </xf>
    <xf numFmtId="0" fontId="10" fillId="0" borderId="30" xfId="0" applyFont="1" applyBorder="1" applyAlignment="1">
      <alignment horizontal="center"/>
    </xf>
    <xf numFmtId="0" fontId="1" fillId="0" borderId="30" xfId="0" applyFont="1" applyBorder="1" applyAlignment="1">
      <alignment vertical="top" wrapText="1"/>
    </xf>
    <xf numFmtId="167" fontId="1" fillId="0" borderId="30" xfId="0" applyNumberFormat="1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1" fillId="0" borderId="19" xfId="0" applyFont="1" applyBorder="1"/>
    <xf numFmtId="0" fontId="1" fillId="0" borderId="20" xfId="0" applyFont="1" applyBorder="1" applyAlignment="1">
      <alignment horizontal="center"/>
    </xf>
    <xf numFmtId="16" fontId="1" fillId="0" borderId="0" xfId="0" applyNumberFormat="1" applyFont="1" applyAlignment="1">
      <alignment horizontal="center"/>
    </xf>
    <xf numFmtId="16" fontId="1" fillId="0" borderId="0" xfId="0" applyNumberFormat="1" applyFont="1"/>
    <xf numFmtId="3" fontId="1" fillId="0" borderId="4" xfId="0" applyNumberFormat="1" applyFont="1" applyBorder="1" applyAlignment="1">
      <alignment horizontal="center"/>
    </xf>
    <xf numFmtId="164" fontId="1" fillId="0" borderId="4" xfId="0" applyNumberFormat="1" applyFont="1" applyBorder="1" applyAlignment="1">
      <alignment horizontal="center"/>
    </xf>
    <xf numFmtId="0" fontId="1" fillId="0" borderId="4" xfId="0" applyFont="1" applyBorder="1"/>
    <xf numFmtId="0" fontId="1" fillId="11" borderId="4" xfId="0" applyFont="1" applyFill="1" applyBorder="1"/>
    <xf numFmtId="0" fontId="12" fillId="12" borderId="4" xfId="0" applyFont="1" applyFill="1" applyBorder="1"/>
    <xf numFmtId="165" fontId="10" fillId="0" borderId="0" xfId="0" applyNumberFormat="1" applyFont="1" applyAlignment="1">
      <alignment horizontal="right"/>
    </xf>
    <xf numFmtId="0" fontId="1" fillId="13" borderId="37" xfId="0" applyFont="1" applyFill="1" applyBorder="1"/>
    <xf numFmtId="3" fontId="1" fillId="13" borderId="37" xfId="0" applyNumberFormat="1" applyFont="1" applyFill="1" applyBorder="1"/>
    <xf numFmtId="0" fontId="10" fillId="14" borderId="38" xfId="0" applyFont="1" applyFill="1" applyBorder="1"/>
    <xf numFmtId="0" fontId="10" fillId="14" borderId="38" xfId="0" applyFont="1" applyFill="1" applyBorder="1" applyAlignment="1">
      <alignment horizontal="center"/>
    </xf>
    <xf numFmtId="0" fontId="10" fillId="14" borderId="38" xfId="0" applyFont="1" applyFill="1" applyBorder="1" applyAlignment="1">
      <alignment horizontal="right"/>
    </xf>
    <xf numFmtId="0" fontId="1" fillId="15" borderId="42" xfId="0" applyFont="1" applyFill="1" applyBorder="1"/>
    <xf numFmtId="3" fontId="1" fillId="0" borderId="42" xfId="0" applyNumberFormat="1" applyFont="1" applyBorder="1"/>
    <xf numFmtId="165" fontId="1" fillId="0" borderId="42" xfId="0" applyNumberFormat="1" applyFont="1" applyBorder="1"/>
    <xf numFmtId="0" fontId="10" fillId="0" borderId="43" xfId="0" applyFont="1" applyBorder="1" applyAlignment="1">
      <alignment horizontal="left"/>
    </xf>
    <xf numFmtId="3" fontId="1" fillId="0" borderId="44" xfId="0" applyNumberFormat="1" applyFont="1" applyBorder="1"/>
    <xf numFmtId="0" fontId="10" fillId="0" borderId="43" xfId="0" applyFont="1" applyBorder="1"/>
    <xf numFmtId="0" fontId="1" fillId="15" borderId="4" xfId="0" applyFont="1" applyFill="1" applyBorder="1"/>
    <xf numFmtId="3" fontId="1" fillId="0" borderId="4" xfId="0" applyNumberFormat="1" applyFont="1" applyBorder="1"/>
    <xf numFmtId="165" fontId="1" fillId="0" borderId="4" xfId="0" applyNumberFormat="1" applyFont="1" applyBorder="1"/>
    <xf numFmtId="0" fontId="10" fillId="0" borderId="46" xfId="0" applyFont="1" applyBorder="1" applyAlignment="1">
      <alignment horizontal="left"/>
    </xf>
    <xf numFmtId="3" fontId="1" fillId="0" borderId="47" xfId="0" applyNumberFormat="1" applyFont="1" applyBorder="1"/>
    <xf numFmtId="0" fontId="10" fillId="0" borderId="46" xfId="0" applyFont="1" applyBorder="1"/>
    <xf numFmtId="0" fontId="1" fillId="16" borderId="4" xfId="0" applyFont="1" applyFill="1" applyBorder="1"/>
    <xf numFmtId="3" fontId="13" fillId="0" borderId="4" xfId="0" applyNumberFormat="1" applyFont="1" applyBorder="1"/>
    <xf numFmtId="0" fontId="10" fillId="17" borderId="46" xfId="0" applyFont="1" applyFill="1" applyBorder="1" applyAlignment="1">
      <alignment horizontal="left"/>
    </xf>
    <xf numFmtId="3" fontId="1" fillId="17" borderId="47" xfId="0" applyNumberFormat="1" applyFont="1" applyFill="1" applyBorder="1"/>
    <xf numFmtId="0" fontId="10" fillId="17" borderId="46" xfId="0" applyFont="1" applyFill="1" applyBorder="1"/>
    <xf numFmtId="0" fontId="1" fillId="17" borderId="4" xfId="0" applyFont="1" applyFill="1" applyBorder="1"/>
    <xf numFmtId="2" fontId="1" fillId="0" borderId="47" xfId="0" applyNumberFormat="1" applyFont="1" applyBorder="1"/>
    <xf numFmtId="0" fontId="10" fillId="0" borderId="48" xfId="0" applyFont="1" applyBorder="1" applyAlignment="1">
      <alignment horizontal="left"/>
    </xf>
    <xf numFmtId="3" fontId="1" fillId="0" borderId="49" xfId="0" applyNumberFormat="1" applyFont="1" applyBorder="1"/>
    <xf numFmtId="3" fontId="14" fillId="0" borderId="0" xfId="0" applyNumberFormat="1" applyFont="1"/>
    <xf numFmtId="165" fontId="13" fillId="0" borderId="4" xfId="0" applyNumberFormat="1" applyFont="1" applyBorder="1"/>
    <xf numFmtId="0" fontId="10" fillId="3" borderId="50" xfId="0" applyFont="1" applyFill="1" applyBorder="1" applyAlignment="1">
      <alignment horizontal="left"/>
    </xf>
    <xf numFmtId="0" fontId="1" fillId="3" borderId="51" xfId="0" applyFont="1" applyFill="1" applyBorder="1"/>
    <xf numFmtId="0" fontId="10" fillId="0" borderId="4" xfId="0" applyFont="1" applyBorder="1"/>
    <xf numFmtId="3" fontId="1" fillId="3" borderId="4" xfId="0" applyNumberFormat="1" applyFont="1" applyFill="1" applyBorder="1"/>
    <xf numFmtId="165" fontId="1" fillId="3" borderId="4" xfId="0" applyNumberFormat="1" applyFont="1" applyFill="1" applyBorder="1"/>
    <xf numFmtId="4" fontId="1" fillId="0" borderId="4" xfId="0" applyNumberFormat="1" applyFont="1" applyBorder="1"/>
    <xf numFmtId="0" fontId="1" fillId="0" borderId="8" xfId="0" applyFont="1" applyBorder="1" applyAlignment="1">
      <alignment horizontal="center" vertical="center" textRotation="255"/>
    </xf>
    <xf numFmtId="0" fontId="1" fillId="17" borderId="52" xfId="0" applyFont="1" applyFill="1" applyBorder="1"/>
    <xf numFmtId="3" fontId="1" fillId="0" borderId="53" xfId="0" applyNumberFormat="1" applyFont="1" applyBorder="1"/>
    <xf numFmtId="165" fontId="1" fillId="0" borderId="53" xfId="0" applyNumberFormat="1" applyFont="1" applyBorder="1"/>
    <xf numFmtId="0" fontId="10" fillId="0" borderId="0" xfId="0" applyFont="1"/>
    <xf numFmtId="0" fontId="1" fillId="15" borderId="54" xfId="0" applyFont="1" applyFill="1" applyBorder="1"/>
    <xf numFmtId="3" fontId="1" fillId="15" borderId="4" xfId="0" applyNumberFormat="1" applyFont="1" applyFill="1" applyBorder="1"/>
    <xf numFmtId="165" fontId="1" fillId="15" borderId="4" xfId="0" applyNumberFormat="1" applyFont="1" applyFill="1" applyBorder="1"/>
    <xf numFmtId="0" fontId="1" fillId="15" borderId="56" xfId="0" applyFont="1" applyFill="1" applyBorder="1"/>
    <xf numFmtId="0" fontId="1" fillId="16" borderId="56" xfId="0" applyFont="1" applyFill="1" applyBorder="1"/>
    <xf numFmtId="0" fontId="1" fillId="17" borderId="56" xfId="0" applyFont="1" applyFill="1" applyBorder="1"/>
    <xf numFmtId="165" fontId="13" fillId="3" borderId="4" xfId="0" applyNumberFormat="1" applyFont="1" applyFill="1" applyBorder="1"/>
    <xf numFmtId="0" fontId="1" fillId="17" borderId="57" xfId="0" applyFont="1" applyFill="1" applyBorder="1"/>
    <xf numFmtId="3" fontId="1" fillId="0" borderId="58" xfId="0" applyNumberFormat="1" applyFont="1" applyBorder="1"/>
    <xf numFmtId="165" fontId="13" fillId="0" borderId="58" xfId="0" applyNumberFormat="1" applyFont="1" applyBorder="1"/>
    <xf numFmtId="0" fontId="10" fillId="0" borderId="4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 wrapText="1"/>
    </xf>
    <xf numFmtId="0" fontId="1" fillId="17" borderId="59" xfId="0" applyFont="1" applyFill="1" applyBorder="1"/>
    <xf numFmtId="0" fontId="1" fillId="17" borderId="60" xfId="0" applyFont="1" applyFill="1" applyBorder="1"/>
    <xf numFmtId="2" fontId="1" fillId="0" borderId="0" xfId="0" applyNumberFormat="1" applyFont="1" applyAlignment="1">
      <alignment horizontal="center" vertical="center"/>
    </xf>
    <xf numFmtId="0" fontId="1" fillId="17" borderId="61" xfId="0" applyFont="1" applyFill="1" applyBorder="1"/>
    <xf numFmtId="0" fontId="1" fillId="17" borderId="62" xfId="0" applyFont="1" applyFill="1" applyBorder="1"/>
    <xf numFmtId="0" fontId="1" fillId="0" borderId="4" xfId="0" applyFont="1" applyBorder="1" applyAlignment="1">
      <alignment wrapText="1"/>
    </xf>
    <xf numFmtId="3" fontId="1" fillId="0" borderId="4" xfId="0" applyNumberFormat="1" applyFont="1" applyBorder="1" applyAlignment="1">
      <alignment horizontal="center" vertical="center"/>
    </xf>
    <xf numFmtId="0" fontId="1" fillId="0" borderId="30" xfId="0" applyFont="1" applyBorder="1"/>
    <xf numFmtId="3" fontId="1" fillId="0" borderId="30" xfId="0" applyNumberFormat="1" applyFont="1" applyBorder="1"/>
    <xf numFmtId="0" fontId="1" fillId="0" borderId="0" xfId="0" applyFont="1" applyAlignment="1">
      <alignment wrapText="1"/>
    </xf>
    <xf numFmtId="0" fontId="1" fillId="18" borderId="4" xfId="0" applyFont="1" applyFill="1" applyBorder="1" applyAlignment="1">
      <alignment vertical="center"/>
    </xf>
    <xf numFmtId="0" fontId="1" fillId="18" borderId="4" xfId="0" applyFont="1" applyFill="1" applyBorder="1"/>
    <xf numFmtId="0" fontId="1" fillId="19" borderId="37" xfId="0" applyFont="1" applyFill="1" applyBorder="1"/>
    <xf numFmtId="0" fontId="1" fillId="0" borderId="0" xfId="0" applyFont="1" applyAlignment="1">
      <alignment horizontal="center" wrapText="1"/>
    </xf>
    <xf numFmtId="0" fontId="1" fillId="16" borderId="38" xfId="0" applyFont="1" applyFill="1" applyBorder="1" applyAlignment="1">
      <alignment horizontal="center"/>
    </xf>
    <xf numFmtId="0" fontId="1" fillId="19" borderId="4" xfId="0" applyFont="1" applyFill="1" applyBorder="1" applyAlignment="1">
      <alignment horizontal="center"/>
    </xf>
    <xf numFmtId="164" fontId="10" fillId="0" borderId="0" xfId="0" applyNumberFormat="1" applyFont="1"/>
    <xf numFmtId="164" fontId="17" fillId="0" borderId="0" xfId="0" applyNumberFormat="1" applyFont="1"/>
    <xf numFmtId="164" fontId="10" fillId="0" borderId="0" xfId="0" applyNumberFormat="1" applyFont="1" applyAlignment="1">
      <alignment horizontal="center"/>
    </xf>
    <xf numFmtId="3" fontId="1" fillId="14" borderId="4" xfId="0" applyNumberFormat="1" applyFont="1" applyFill="1" applyBorder="1"/>
    <xf numFmtId="164" fontId="1" fillId="14" borderId="4" xfId="0" applyNumberFormat="1" applyFont="1" applyFill="1" applyBorder="1"/>
    <xf numFmtId="164" fontId="1" fillId="0" borderId="0" xfId="0" applyNumberFormat="1" applyFont="1" applyAlignment="1">
      <alignment horizontal="center"/>
    </xf>
    <xf numFmtId="0" fontId="1" fillId="0" borderId="1" xfId="0" applyFont="1" applyBorder="1"/>
    <xf numFmtId="0" fontId="1" fillId="19" borderId="46" xfId="0" applyFont="1" applyFill="1" applyBorder="1" applyAlignment="1">
      <alignment horizontal="center"/>
    </xf>
    <xf numFmtId="0" fontId="1" fillId="19" borderId="47" xfId="0" applyFont="1" applyFill="1" applyBorder="1" applyAlignment="1">
      <alignment horizontal="center"/>
    </xf>
    <xf numFmtId="164" fontId="1" fillId="0" borderId="4" xfId="0" applyNumberFormat="1" applyFont="1" applyBorder="1"/>
    <xf numFmtId="164" fontId="1" fillId="14" borderId="38" xfId="0" applyNumberFormat="1" applyFont="1" applyFill="1" applyBorder="1"/>
    <xf numFmtId="164" fontId="10" fillId="14" borderId="4" xfId="0" applyNumberFormat="1" applyFont="1" applyFill="1" applyBorder="1"/>
    <xf numFmtId="164" fontId="1" fillId="14" borderId="66" xfId="0" applyNumberFormat="1" applyFont="1" applyFill="1" applyBorder="1"/>
    <xf numFmtId="3" fontId="11" fillId="0" borderId="0" xfId="0" applyNumberFormat="1" applyFont="1" applyAlignment="1">
      <alignment horizontal="right"/>
    </xf>
    <xf numFmtId="164" fontId="18" fillId="0" borderId="0" xfId="0" applyNumberFormat="1" applyFont="1" applyAlignment="1">
      <alignment horizontal="right"/>
    </xf>
    <xf numFmtId="0" fontId="1" fillId="20" borderId="37" xfId="0" applyFont="1" applyFill="1" applyBorder="1"/>
    <xf numFmtId="3" fontId="19" fillId="0" borderId="0" xfId="0" applyNumberFormat="1" applyFont="1" applyAlignment="1">
      <alignment horizontal="right"/>
    </xf>
    <xf numFmtId="0" fontId="1" fillId="20" borderId="67" xfId="0" applyFont="1" applyFill="1" applyBorder="1"/>
    <xf numFmtId="3" fontId="20" fillId="0" borderId="0" xfId="0" applyNumberFormat="1" applyFont="1" applyAlignment="1">
      <alignment horizontal="left"/>
    </xf>
    <xf numFmtId="3" fontId="19" fillId="0" borderId="0" xfId="0" applyNumberFormat="1" applyFont="1" applyAlignment="1">
      <alignment horizontal="center"/>
    </xf>
    <xf numFmtId="0" fontId="16" fillId="0" borderId="0" xfId="0" applyFont="1"/>
    <xf numFmtId="3" fontId="1" fillId="0" borderId="4" xfId="0" applyNumberFormat="1" applyFont="1" applyBorder="1" applyAlignment="1">
      <alignment horizontal="right" vertical="center"/>
    </xf>
    <xf numFmtId="3" fontId="1" fillId="0" borderId="4" xfId="0" applyNumberFormat="1" applyFont="1" applyBorder="1" applyAlignment="1">
      <alignment vertical="center"/>
    </xf>
    <xf numFmtId="0" fontId="1" fillId="0" borderId="1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3" fontId="5" fillId="0" borderId="4" xfId="0" applyNumberFormat="1" applyFont="1" applyBorder="1" applyAlignment="1">
      <alignment vertical="center"/>
    </xf>
    <xf numFmtId="3" fontId="21" fillId="0" borderId="4" xfId="0" applyNumberFormat="1" applyFont="1" applyBorder="1" applyAlignment="1">
      <alignment horizontal="left" vertical="center"/>
    </xf>
    <xf numFmtId="0" fontId="16" fillId="0" borderId="1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3" fontId="2" fillId="0" borderId="4" xfId="0" applyNumberFormat="1" applyFont="1" applyBorder="1" applyAlignment="1">
      <alignment horizontal="center" vertical="center"/>
    </xf>
    <xf numFmtId="0" fontId="1" fillId="0" borderId="69" xfId="0" applyFont="1" applyBorder="1"/>
    <xf numFmtId="0" fontId="1" fillId="0" borderId="69" xfId="0" applyFont="1" applyBorder="1" applyAlignment="1">
      <alignment horizontal="center" wrapText="1"/>
    </xf>
    <xf numFmtId="164" fontId="1" fillId="20" borderId="37" xfId="0" applyNumberFormat="1" applyFont="1" applyFill="1" applyBorder="1"/>
    <xf numFmtId="164" fontId="1" fillId="0" borderId="0" xfId="0" applyNumberFormat="1" applyFont="1" applyAlignment="1">
      <alignment horizontal="left"/>
    </xf>
    <xf numFmtId="0" fontId="10" fillId="7" borderId="4" xfId="0" applyFont="1" applyFill="1" applyBorder="1"/>
    <xf numFmtId="165" fontId="11" fillId="0" borderId="4" xfId="0" applyNumberFormat="1" applyFont="1" applyBorder="1" applyAlignment="1">
      <alignment horizontal="left"/>
    </xf>
    <xf numFmtId="3" fontId="1" fillId="20" borderId="37" xfId="0" applyNumberFormat="1" applyFont="1" applyFill="1" applyBorder="1"/>
    <xf numFmtId="3" fontId="1" fillId="0" borderId="0" xfId="0" applyNumberFormat="1" applyFont="1" applyAlignment="1">
      <alignment horizontal="left"/>
    </xf>
    <xf numFmtId="3" fontId="19" fillId="0" borderId="0" xfId="0" applyNumberFormat="1" applyFont="1" applyAlignment="1">
      <alignment horizontal="left"/>
    </xf>
    <xf numFmtId="0" fontId="22" fillId="0" borderId="0" xfId="0" applyFont="1"/>
    <xf numFmtId="4" fontId="1" fillId="0" borderId="0" xfId="0" applyNumberFormat="1" applyFont="1" applyAlignment="1">
      <alignment horizontal="center"/>
    </xf>
    <xf numFmtId="0" fontId="1" fillId="21" borderId="37" xfId="0" applyFont="1" applyFill="1" applyBorder="1"/>
    <xf numFmtId="3" fontId="1" fillId="21" borderId="4" xfId="0" applyNumberFormat="1" applyFont="1" applyFill="1" applyBorder="1"/>
    <xf numFmtId="164" fontId="1" fillId="21" borderId="4" xfId="0" applyNumberFormat="1" applyFont="1" applyFill="1" applyBorder="1"/>
    <xf numFmtId="0" fontId="1" fillId="19" borderId="71" xfId="0" applyFont="1" applyFill="1" applyBorder="1" applyAlignment="1">
      <alignment horizontal="center"/>
    </xf>
    <xf numFmtId="3" fontId="1" fillId="0" borderId="1" xfId="0" applyNumberFormat="1" applyFont="1" applyBorder="1"/>
    <xf numFmtId="0" fontId="1" fillId="0" borderId="67" xfId="0" applyFont="1" applyBorder="1"/>
    <xf numFmtId="164" fontId="1" fillId="0" borderId="37" xfId="0" applyNumberFormat="1" applyFont="1" applyBorder="1" applyAlignment="1">
      <alignment horizontal="center"/>
    </xf>
    <xf numFmtId="0" fontId="23" fillId="0" borderId="16" xfId="0" applyFont="1" applyBorder="1"/>
    <xf numFmtId="3" fontId="23" fillId="0" borderId="16" xfId="0" applyNumberFormat="1" applyFont="1" applyBorder="1" applyAlignment="1">
      <alignment horizontal="center"/>
    </xf>
    <xf numFmtId="164" fontId="23" fillId="0" borderId="16" xfId="0" applyNumberFormat="1" applyFont="1" applyBorder="1" applyAlignment="1">
      <alignment horizontal="center"/>
    </xf>
    <xf numFmtId="3" fontId="5" fillId="22" borderId="4" xfId="0" applyNumberFormat="1" applyFont="1" applyFill="1" applyBorder="1"/>
    <xf numFmtId="0" fontId="26" fillId="23" borderId="72" xfId="0" applyFont="1" applyFill="1" applyBorder="1"/>
    <xf numFmtId="0" fontId="26" fillId="23" borderId="73" xfId="0" applyFont="1" applyFill="1" applyBorder="1"/>
    <xf numFmtId="0" fontId="26" fillId="0" borderId="73" xfId="0" applyFont="1" applyBorder="1"/>
    <xf numFmtId="0" fontId="26" fillId="0" borderId="74" xfId="0" applyFont="1" applyBorder="1"/>
    <xf numFmtId="0" fontId="26" fillId="23" borderId="75" xfId="0" applyFont="1" applyFill="1" applyBorder="1"/>
    <xf numFmtId="0" fontId="26" fillId="0" borderId="76" xfId="0" applyFont="1" applyBorder="1"/>
    <xf numFmtId="0" fontId="25" fillId="23" borderId="75" xfId="0" applyFont="1" applyFill="1" applyBorder="1"/>
    <xf numFmtId="0" fontId="25" fillId="0" borderId="76" xfId="0" applyFont="1" applyBorder="1"/>
    <xf numFmtId="0" fontId="26" fillId="23" borderId="37" xfId="0" applyFont="1" applyFill="1" applyBorder="1"/>
    <xf numFmtId="0" fontId="26" fillId="0" borderId="37" xfId="0" applyFont="1" applyBorder="1"/>
    <xf numFmtId="0" fontId="26" fillId="0" borderId="75" xfId="0" applyFont="1" applyBorder="1"/>
    <xf numFmtId="0" fontId="30" fillId="23" borderId="81" xfId="0" applyFont="1" applyFill="1" applyBorder="1"/>
    <xf numFmtId="0" fontId="30" fillId="23" borderId="82" xfId="0" applyFont="1" applyFill="1" applyBorder="1"/>
    <xf numFmtId="0" fontId="30" fillId="23" borderId="83" xfId="0" applyFont="1" applyFill="1" applyBorder="1"/>
    <xf numFmtId="0" fontId="30" fillId="23" borderId="80" xfId="0" applyFont="1" applyFill="1" applyBorder="1"/>
    <xf numFmtId="0" fontId="30" fillId="23" borderId="84" xfId="0" applyFont="1" applyFill="1" applyBorder="1"/>
    <xf numFmtId="3" fontId="29" fillId="0" borderId="79" xfId="0" applyNumberFormat="1" applyFont="1" applyBorder="1"/>
    <xf numFmtId="9" fontId="29" fillId="0" borderId="79" xfId="0" applyNumberFormat="1" applyFont="1" applyBorder="1"/>
    <xf numFmtId="3" fontId="29" fillId="23" borderId="79" xfId="0" applyNumberFormat="1" applyFont="1" applyFill="1" applyBorder="1"/>
    <xf numFmtId="3" fontId="29" fillId="0" borderId="88" xfId="0" applyNumberFormat="1" applyFont="1" applyBorder="1"/>
    <xf numFmtId="9" fontId="29" fillId="0" borderId="88" xfId="0" applyNumberFormat="1" applyFont="1" applyBorder="1"/>
    <xf numFmtId="0" fontId="29" fillId="26" borderId="86" xfId="0" applyFont="1" applyFill="1" applyBorder="1"/>
    <xf numFmtId="0" fontId="29" fillId="0" borderId="79" xfId="0" applyFont="1" applyBorder="1"/>
    <xf numFmtId="0" fontId="29" fillId="26" borderId="79" xfId="0" applyFont="1" applyFill="1" applyBorder="1"/>
    <xf numFmtId="3" fontId="29" fillId="27" borderId="79" xfId="0" applyNumberFormat="1" applyFont="1" applyFill="1" applyBorder="1"/>
    <xf numFmtId="9" fontId="29" fillId="26" borderId="79" xfId="0" applyNumberFormat="1" applyFont="1" applyFill="1" applyBorder="1"/>
    <xf numFmtId="3" fontId="29" fillId="26" borderId="79" xfId="0" applyNumberFormat="1" applyFont="1" applyFill="1" applyBorder="1"/>
    <xf numFmtId="0" fontId="29" fillId="0" borderId="89" xfId="0" applyFont="1" applyBorder="1"/>
    <xf numFmtId="0" fontId="29" fillId="0" borderId="90" xfId="0" applyFont="1" applyBorder="1"/>
    <xf numFmtId="3" fontId="30" fillId="26" borderId="93" xfId="0" applyNumberFormat="1" applyFont="1" applyFill="1" applyBorder="1"/>
    <xf numFmtId="9" fontId="29" fillId="0" borderId="94" xfId="0" applyNumberFormat="1" applyFont="1" applyBorder="1"/>
    <xf numFmtId="3" fontId="29" fillId="0" borderId="95" xfId="0" applyNumberFormat="1" applyFont="1" applyBorder="1"/>
    <xf numFmtId="3" fontId="32" fillId="26" borderId="97" xfId="0" applyNumberFormat="1" applyFont="1" applyFill="1" applyBorder="1"/>
    <xf numFmtId="9" fontId="32" fillId="26" borderId="79" xfId="0" applyNumberFormat="1" applyFont="1" applyFill="1" applyBorder="1"/>
    <xf numFmtId="3" fontId="29" fillId="0" borderId="97" xfId="0" applyNumberFormat="1" applyFont="1" applyBorder="1"/>
    <xf numFmtId="0" fontId="29" fillId="26" borderId="89" xfId="0" applyFont="1" applyFill="1" applyBorder="1"/>
    <xf numFmtId="0" fontId="29" fillId="26" borderId="90" xfId="0" applyFont="1" applyFill="1" applyBorder="1"/>
    <xf numFmtId="3" fontId="29" fillId="26" borderId="97" xfId="0" applyNumberFormat="1" applyFont="1" applyFill="1" applyBorder="1"/>
    <xf numFmtId="0" fontId="30" fillId="0" borderId="37" xfId="0" applyFont="1" applyBorder="1"/>
    <xf numFmtId="0" fontId="31" fillId="23" borderId="37" xfId="0" applyFont="1" applyFill="1" applyBorder="1"/>
    <xf numFmtId="0" fontId="30" fillId="0" borderId="37" xfId="0" applyFont="1" applyBorder="1" applyAlignment="1">
      <alignment wrapText="1"/>
    </xf>
    <xf numFmtId="0" fontId="29" fillId="0" borderId="84" xfId="0" applyFont="1" applyBorder="1"/>
    <xf numFmtId="0" fontId="29" fillId="0" borderId="37" xfId="0" applyFont="1" applyBorder="1"/>
    <xf numFmtId="0" fontId="33" fillId="0" borderId="37" xfId="0" applyFont="1" applyBorder="1"/>
    <xf numFmtId="3" fontId="29" fillId="0" borderId="100" xfId="0" applyNumberFormat="1" applyFont="1" applyBorder="1"/>
    <xf numFmtId="0" fontId="29" fillId="0" borderId="100" xfId="0" applyFont="1" applyBorder="1"/>
    <xf numFmtId="3" fontId="29" fillId="0" borderId="101" xfId="0" applyNumberFormat="1" applyFont="1" applyBorder="1"/>
    <xf numFmtId="0" fontId="26" fillId="0" borderId="102" xfId="0" applyFont="1" applyBorder="1"/>
    <xf numFmtId="0" fontId="26" fillId="0" borderId="103" xfId="0" applyFont="1" applyBorder="1"/>
    <xf numFmtId="0" fontId="26" fillId="0" borderId="84" xfId="0" applyFont="1" applyBorder="1"/>
    <xf numFmtId="0" fontId="29" fillId="0" borderId="87" xfId="0" applyFont="1" applyBorder="1"/>
    <xf numFmtId="0" fontId="29" fillId="26" borderId="87" xfId="0" applyFont="1" applyFill="1" applyBorder="1"/>
    <xf numFmtId="0" fontId="29" fillId="26" borderId="88" xfId="0" applyFont="1" applyFill="1" applyBorder="1"/>
    <xf numFmtId="3" fontId="29" fillId="27" borderId="97" xfId="0" applyNumberFormat="1" applyFont="1" applyFill="1" applyBorder="1"/>
    <xf numFmtId="0" fontId="29" fillId="0" borderId="97" xfId="0" applyFont="1" applyBorder="1"/>
    <xf numFmtId="3" fontId="30" fillId="26" borderId="108" xfId="0" applyNumberFormat="1" applyFont="1" applyFill="1" applyBorder="1"/>
    <xf numFmtId="0" fontId="29" fillId="0" borderId="106" xfId="0" applyFont="1" applyBorder="1"/>
    <xf numFmtId="0" fontId="29" fillId="0" borderId="77" xfId="0" applyFont="1" applyBorder="1"/>
    <xf numFmtId="3" fontId="29" fillId="27" borderId="100" xfId="0" applyNumberFormat="1" applyFont="1" applyFill="1" applyBorder="1"/>
    <xf numFmtId="3" fontId="29" fillId="0" borderId="109" xfId="0" applyNumberFormat="1" applyFont="1" applyBorder="1"/>
    <xf numFmtId="3" fontId="29" fillId="27" borderId="101" xfId="0" applyNumberFormat="1" applyFont="1" applyFill="1" applyBorder="1"/>
    <xf numFmtId="0" fontId="29" fillId="0" borderId="101" xfId="0" applyFont="1" applyBorder="1"/>
    <xf numFmtId="3" fontId="29" fillId="26" borderId="101" xfId="0" applyNumberFormat="1" applyFont="1" applyFill="1" applyBorder="1"/>
    <xf numFmtId="9" fontId="30" fillId="26" borderId="93" xfId="0" applyNumberFormat="1" applyFont="1" applyFill="1" applyBorder="1"/>
    <xf numFmtId="3" fontId="29" fillId="0" borderId="94" xfId="0" applyNumberFormat="1" applyFont="1" applyBorder="1"/>
    <xf numFmtId="3" fontId="29" fillId="0" borderId="110" xfId="0" applyNumberFormat="1" applyFont="1" applyBorder="1"/>
    <xf numFmtId="9" fontId="29" fillId="0" borderId="95" xfId="1" applyFont="1" applyBorder="1"/>
    <xf numFmtId="9" fontId="29" fillId="27" borderId="97" xfId="1" applyFont="1" applyFill="1" applyBorder="1"/>
    <xf numFmtId="9" fontId="29" fillId="0" borderId="97" xfId="1" applyFont="1" applyBorder="1"/>
    <xf numFmtId="9" fontId="29" fillId="0" borderId="79" xfId="1" applyFont="1" applyBorder="1"/>
    <xf numFmtId="9" fontId="29" fillId="0" borderId="95" xfId="1" applyFont="1" applyBorder="1" applyAlignment="1">
      <alignment horizontal="right"/>
    </xf>
    <xf numFmtId="9" fontId="29" fillId="26" borderId="79" xfId="1" applyFont="1" applyFill="1" applyBorder="1"/>
    <xf numFmtId="3" fontId="29" fillId="28" borderId="79" xfId="0" applyNumberFormat="1" applyFont="1" applyFill="1" applyBorder="1"/>
    <xf numFmtId="0" fontId="2" fillId="2" borderId="1" xfId="0" applyFont="1" applyFill="1" applyBorder="1" applyAlignment="1">
      <alignment horizontal="center"/>
    </xf>
    <xf numFmtId="0" fontId="3" fillId="0" borderId="2" xfId="0" applyFont="1" applyBorder="1"/>
    <xf numFmtId="0" fontId="3" fillId="0" borderId="3" xfId="0" applyFont="1" applyBorder="1"/>
    <xf numFmtId="0" fontId="2" fillId="3" borderId="1" xfId="0" applyFont="1" applyFill="1" applyBorder="1" applyAlignment="1">
      <alignment horizontal="center" wrapText="1"/>
    </xf>
    <xf numFmtId="0" fontId="1" fillId="0" borderId="0" xfId="0" applyFont="1" applyAlignment="1">
      <alignment horizontal="left" vertical="top" wrapText="1"/>
    </xf>
    <xf numFmtId="0" fontId="0" fillId="0" borderId="0" xfId="0"/>
    <xf numFmtId="0" fontId="24" fillId="0" borderId="13" xfId="0" applyFont="1" applyBorder="1" applyAlignment="1">
      <alignment horizontal="left"/>
    </xf>
    <xf numFmtId="0" fontId="3" fillId="0" borderId="14" xfId="0" applyFont="1" applyBorder="1"/>
    <xf numFmtId="0" fontId="3" fillId="0" borderId="15" xfId="0" applyFont="1" applyBorder="1"/>
    <xf numFmtId="0" fontId="10" fillId="0" borderId="13" xfId="0" applyFont="1" applyBorder="1" applyAlignment="1">
      <alignment horizontal="left"/>
    </xf>
    <xf numFmtId="0" fontId="9" fillId="10" borderId="13" xfId="0" applyFont="1" applyFill="1" applyBorder="1" applyAlignment="1">
      <alignment horizontal="center"/>
    </xf>
    <xf numFmtId="0" fontId="9" fillId="10" borderId="22" xfId="0" applyFont="1" applyFill="1" applyBorder="1" applyAlignment="1">
      <alignment horizontal="center"/>
    </xf>
    <xf numFmtId="0" fontId="3" fillId="0" borderId="23" xfId="0" applyFont="1" applyBorder="1"/>
    <xf numFmtId="0" fontId="3" fillId="0" borderId="24" xfId="0" applyFont="1" applyBorder="1"/>
    <xf numFmtId="0" fontId="1" fillId="0" borderId="25" xfId="0" applyFont="1" applyBorder="1" applyAlignment="1">
      <alignment horizontal="left" vertical="top" wrapText="1"/>
    </xf>
    <xf numFmtId="0" fontId="3" fillId="0" borderId="26" xfId="0" applyFont="1" applyBorder="1"/>
    <xf numFmtId="0" fontId="3" fillId="0" borderId="27" xfId="0" applyFont="1" applyBorder="1"/>
    <xf numFmtId="0" fontId="1" fillId="0" borderId="28" xfId="0" applyFont="1" applyBorder="1" applyAlignment="1">
      <alignment horizontal="left" vertical="top" wrapText="1"/>
    </xf>
    <xf numFmtId="0" fontId="3" fillId="0" borderId="29" xfId="0" applyFont="1" applyBorder="1"/>
    <xf numFmtId="0" fontId="1" fillId="0" borderId="31" xfId="0" applyFont="1" applyBorder="1" applyAlignment="1">
      <alignment horizontal="left" vertical="top" wrapText="1"/>
    </xf>
    <xf numFmtId="0" fontId="3" fillId="0" borderId="32" xfId="0" applyFont="1" applyBorder="1"/>
    <xf numFmtId="0" fontId="3" fillId="0" borderId="33" xfId="0" applyFont="1" applyBorder="1"/>
    <xf numFmtId="0" fontId="8" fillId="10" borderId="10" xfId="0" applyFont="1" applyFill="1" applyBorder="1" applyAlignment="1">
      <alignment horizontal="center"/>
    </xf>
    <xf numFmtId="0" fontId="3" fillId="0" borderId="11" xfId="0" applyFont="1" applyBorder="1"/>
    <xf numFmtId="0" fontId="3" fillId="0" borderId="12" xfId="0" applyFont="1" applyBorder="1"/>
    <xf numFmtId="14" fontId="1" fillId="0" borderId="0" xfId="0" applyNumberFormat="1" applyFont="1" applyAlignment="1">
      <alignment horizontal="center"/>
    </xf>
    <xf numFmtId="0" fontId="27" fillId="24" borderId="72" xfId="0" applyFont="1" applyFill="1" applyBorder="1" applyAlignment="1">
      <alignment horizontal="center"/>
    </xf>
    <xf numFmtId="0" fontId="27" fillId="24" borderId="74" xfId="0" applyFont="1" applyFill="1" applyBorder="1" applyAlignment="1">
      <alignment horizontal="center"/>
    </xf>
    <xf numFmtId="0" fontId="27" fillId="24" borderId="75" xfId="0" applyFont="1" applyFill="1" applyBorder="1" applyAlignment="1">
      <alignment horizontal="center"/>
    </xf>
    <xf numFmtId="0" fontId="27" fillId="24" borderId="76" xfId="0" applyFont="1" applyFill="1" applyBorder="1" applyAlignment="1">
      <alignment horizontal="center"/>
    </xf>
    <xf numFmtId="0" fontId="27" fillId="24" borderId="102" xfId="0" applyFont="1" applyFill="1" applyBorder="1" applyAlignment="1">
      <alignment horizontal="center"/>
    </xf>
    <xf numFmtId="0" fontId="27" fillId="24" borderId="84" xfId="0" applyFont="1" applyFill="1" applyBorder="1" applyAlignment="1">
      <alignment horizontal="center"/>
    </xf>
    <xf numFmtId="0" fontId="28" fillId="24" borderId="72" xfId="0" applyFont="1" applyFill="1" applyBorder="1" applyAlignment="1">
      <alignment horizontal="center" vertical="center" wrapText="1"/>
    </xf>
    <xf numFmtId="0" fontId="28" fillId="24" borderId="73" xfId="0" applyFont="1" applyFill="1" applyBorder="1" applyAlignment="1">
      <alignment horizontal="center" vertical="center" wrapText="1"/>
    </xf>
    <xf numFmtId="0" fontId="28" fillId="24" borderId="74" xfId="0" applyFont="1" applyFill="1" applyBorder="1" applyAlignment="1">
      <alignment horizontal="center" vertical="center" wrapText="1"/>
    </xf>
    <xf numFmtId="0" fontId="28" fillId="24" borderId="75" xfId="0" applyFont="1" applyFill="1" applyBorder="1" applyAlignment="1">
      <alignment horizontal="center" vertical="center" wrapText="1"/>
    </xf>
    <xf numFmtId="0" fontId="28" fillId="24" borderId="37" xfId="0" applyFont="1" applyFill="1" applyBorder="1" applyAlignment="1">
      <alignment horizontal="center" vertical="center" wrapText="1"/>
    </xf>
    <xf numFmtId="0" fontId="28" fillId="24" borderId="76" xfId="0" applyFont="1" applyFill="1" applyBorder="1" applyAlignment="1">
      <alignment horizontal="center" vertical="center" wrapText="1"/>
    </xf>
    <xf numFmtId="0" fontId="28" fillId="24" borderId="106" xfId="0" applyFont="1" applyFill="1" applyBorder="1" applyAlignment="1">
      <alignment horizontal="center" vertical="center" wrapText="1"/>
    </xf>
    <xf numFmtId="0" fontId="28" fillId="24" borderId="77" xfId="0" applyFont="1" applyFill="1" applyBorder="1" applyAlignment="1">
      <alignment horizontal="center" vertical="center" wrapText="1"/>
    </xf>
    <xf numFmtId="0" fontId="28" fillId="24" borderId="96" xfId="0" applyFont="1" applyFill="1" applyBorder="1" applyAlignment="1">
      <alignment horizontal="center" vertical="center" wrapText="1"/>
    </xf>
    <xf numFmtId="0" fontId="28" fillId="24" borderId="102" xfId="0" applyFont="1" applyFill="1" applyBorder="1" applyAlignment="1">
      <alignment horizontal="center" vertical="center" wrapText="1"/>
    </xf>
    <xf numFmtId="0" fontId="28" fillId="24" borderId="103" xfId="0" applyFont="1" applyFill="1" applyBorder="1" applyAlignment="1">
      <alignment horizontal="center" vertical="center" wrapText="1"/>
    </xf>
    <xf numFmtId="0" fontId="28" fillId="24" borderId="80" xfId="0" applyFont="1" applyFill="1" applyBorder="1" applyAlignment="1">
      <alignment horizontal="center" vertical="center" wrapText="1"/>
    </xf>
    <xf numFmtId="14" fontId="28" fillId="24" borderId="78" xfId="0" applyNumberFormat="1" applyFont="1" applyFill="1" applyBorder="1" applyAlignment="1">
      <alignment horizontal="center" vertical="center" wrapText="1"/>
    </xf>
    <xf numFmtId="14" fontId="28" fillId="24" borderId="104" xfId="0" applyNumberFormat="1" applyFont="1" applyFill="1" applyBorder="1" applyAlignment="1">
      <alignment horizontal="center" vertical="center" wrapText="1"/>
    </xf>
    <xf numFmtId="14" fontId="28" fillId="24" borderId="105" xfId="0" applyNumberFormat="1" applyFont="1" applyFill="1" applyBorder="1" applyAlignment="1">
      <alignment horizontal="center" vertical="center" wrapText="1"/>
    </xf>
    <xf numFmtId="14" fontId="28" fillId="24" borderId="84" xfId="0" applyNumberFormat="1" applyFont="1" applyFill="1" applyBorder="1" applyAlignment="1">
      <alignment horizontal="center" vertical="center" wrapText="1"/>
    </xf>
    <xf numFmtId="0" fontId="29" fillId="0" borderId="72" xfId="0" applyFont="1" applyBorder="1"/>
    <xf numFmtId="0" fontId="29" fillId="0" borderId="73" xfId="0" applyFont="1" applyBorder="1"/>
    <xf numFmtId="0" fontId="29" fillId="0" borderId="107" xfId="0" applyFont="1" applyBorder="1"/>
    <xf numFmtId="0" fontId="29" fillId="0" borderId="102" xfId="0" applyFont="1" applyBorder="1"/>
    <xf numFmtId="0" fontId="29" fillId="0" borderId="103" xfId="0" applyFont="1" applyBorder="1"/>
    <xf numFmtId="0" fontId="29" fillId="0" borderId="80" xfId="0" applyFont="1" applyBorder="1"/>
    <xf numFmtId="0" fontId="31" fillId="25" borderId="85" xfId="0" applyFont="1" applyFill="1" applyBorder="1"/>
    <xf numFmtId="0" fontId="31" fillId="25" borderId="81" xfId="0" applyFont="1" applyFill="1" applyBorder="1"/>
    <xf numFmtId="0" fontId="31" fillId="25" borderId="73" xfId="0" applyFont="1" applyFill="1" applyBorder="1"/>
    <xf numFmtId="0" fontId="31" fillId="25" borderId="74" xfId="0" applyFont="1" applyFill="1" applyBorder="1"/>
    <xf numFmtId="0" fontId="29" fillId="0" borderId="86" xfId="0" applyFont="1" applyBorder="1"/>
    <xf numFmtId="0" fontId="29" fillId="0" borderId="87" xfId="0" applyFont="1" applyBorder="1"/>
    <xf numFmtId="0" fontId="29" fillId="0" borderId="85" xfId="0" applyFont="1" applyBorder="1"/>
    <xf numFmtId="0" fontId="29" fillId="0" borderId="81" xfId="0" applyFont="1" applyBorder="1"/>
    <xf numFmtId="0" fontId="29" fillId="26" borderId="86" xfId="0" applyFont="1" applyFill="1" applyBorder="1"/>
    <xf numFmtId="0" fontId="29" fillId="26" borderId="87" xfId="0" applyFont="1" applyFill="1" applyBorder="1"/>
    <xf numFmtId="0" fontId="30" fillId="26" borderId="91" xfId="0" applyFont="1" applyFill="1" applyBorder="1" applyAlignment="1">
      <alignment wrapText="1"/>
    </xf>
    <xf numFmtId="0" fontId="30" fillId="26" borderId="92" xfId="0" applyFont="1" applyFill="1" applyBorder="1" applyAlignment="1">
      <alignment wrapText="1"/>
    </xf>
    <xf numFmtId="0" fontId="29" fillId="0" borderId="98" xfId="0" applyFont="1" applyBorder="1"/>
    <xf numFmtId="0" fontId="29" fillId="0" borderId="99" xfId="0" applyFont="1" applyBorder="1"/>
    <xf numFmtId="0" fontId="29" fillId="26" borderId="98" xfId="0" applyFont="1" applyFill="1" applyBorder="1"/>
    <xf numFmtId="0" fontId="29" fillId="26" borderId="99" xfId="0" applyFont="1" applyFill="1" applyBorder="1"/>
    <xf numFmtId="0" fontId="30" fillId="0" borderId="92" xfId="0" applyFont="1" applyBorder="1" applyAlignment="1">
      <alignment wrapText="1"/>
    </xf>
    <xf numFmtId="0" fontId="31" fillId="25" borderId="83" xfId="0" applyFont="1" applyFill="1" applyBorder="1"/>
    <xf numFmtId="0" fontId="29" fillId="0" borderId="88" xfId="0" applyFont="1" applyBorder="1"/>
    <xf numFmtId="0" fontId="29" fillId="26" borderId="88" xfId="0" applyFont="1" applyFill="1" applyBorder="1"/>
    <xf numFmtId="0" fontId="28" fillId="24" borderId="78" xfId="0" applyFont="1" applyFill="1" applyBorder="1" applyAlignment="1">
      <alignment horizontal="center" vertical="center" wrapText="1"/>
    </xf>
    <xf numFmtId="0" fontId="28" fillId="24" borderId="105" xfId="0" applyFont="1" applyFill="1" applyBorder="1" applyAlignment="1">
      <alignment horizontal="center" vertical="center" wrapText="1"/>
    </xf>
    <xf numFmtId="0" fontId="26" fillId="0" borderId="98" xfId="0" applyFont="1" applyBorder="1"/>
    <xf numFmtId="0" fontId="26" fillId="0" borderId="99" xfId="0" applyFont="1" applyBorder="1"/>
    <xf numFmtId="0" fontId="15" fillId="0" borderId="17" xfId="0" applyFont="1" applyBorder="1" applyAlignment="1">
      <alignment horizontal="center" vertical="center" textRotation="255"/>
    </xf>
    <xf numFmtId="0" fontId="3" fillId="0" borderId="55" xfId="0" applyFont="1" applyBorder="1"/>
    <xf numFmtId="0" fontId="3" fillId="0" borderId="18" xfId="0" applyFont="1" applyBorder="1"/>
    <xf numFmtId="0" fontId="1" fillId="0" borderId="34" xfId="0" applyFont="1" applyBorder="1" applyAlignment="1">
      <alignment horizontal="center"/>
    </xf>
    <xf numFmtId="0" fontId="3" fillId="0" borderId="35" xfId="0" applyFont="1" applyBorder="1"/>
    <xf numFmtId="0" fontId="3" fillId="0" borderId="36" xfId="0" applyFont="1" applyBorder="1"/>
    <xf numFmtId="0" fontId="10" fillId="3" borderId="39" xfId="0" applyFont="1" applyFill="1" applyBorder="1" applyAlignment="1">
      <alignment horizontal="center"/>
    </xf>
    <xf numFmtId="0" fontId="3" fillId="0" borderId="40" xfId="0" applyFont="1" applyBorder="1"/>
    <xf numFmtId="0" fontId="1" fillId="0" borderId="41" xfId="0" applyFont="1" applyBorder="1" applyAlignment="1">
      <alignment horizontal="center" vertical="center" textRotation="255"/>
    </xf>
    <xf numFmtId="0" fontId="3" fillId="0" borderId="45" xfId="0" applyFont="1" applyBorder="1"/>
    <xf numFmtId="0" fontId="10" fillId="3" borderId="1" xfId="0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0" fillId="16" borderId="1" xfId="0" applyFont="1" applyFill="1" applyBorder="1" applyAlignment="1">
      <alignment horizontal="center"/>
    </xf>
    <xf numFmtId="0" fontId="2" fillId="19" borderId="1" xfId="0" applyFont="1" applyFill="1" applyBorder="1" applyAlignment="1">
      <alignment horizontal="center"/>
    </xf>
    <xf numFmtId="0" fontId="16" fillId="0" borderId="0" xfId="0" applyFont="1" applyAlignment="1">
      <alignment horizontal="center" wrapText="1"/>
    </xf>
    <xf numFmtId="0" fontId="2" fillId="19" borderId="63" xfId="0" applyFont="1" applyFill="1" applyBorder="1" applyAlignment="1">
      <alignment horizontal="center"/>
    </xf>
    <xf numFmtId="0" fontId="3" fillId="0" borderId="64" xfId="0" applyFont="1" applyBorder="1"/>
    <xf numFmtId="0" fontId="3" fillId="0" borderId="65" xfId="0" applyFont="1" applyBorder="1"/>
    <xf numFmtId="0" fontId="1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2" fillId="15" borderId="1" xfId="0" applyFont="1" applyFill="1" applyBorder="1" applyAlignment="1">
      <alignment horizontal="center" vertical="center"/>
    </xf>
    <xf numFmtId="0" fontId="3" fillId="0" borderId="68" xfId="0" applyFont="1" applyBorder="1"/>
    <xf numFmtId="0" fontId="2" fillId="0" borderId="1" xfId="0" applyFont="1" applyBorder="1" applyAlignment="1">
      <alignment horizontal="left" vertical="center"/>
    </xf>
    <xf numFmtId="0" fontId="2" fillId="15" borderId="1" xfId="0" applyFont="1" applyFill="1" applyBorder="1" applyAlignment="1">
      <alignment horizontal="left" vertical="center"/>
    </xf>
    <xf numFmtId="0" fontId="16" fillId="15" borderId="1" xfId="0" applyFont="1" applyFill="1" applyBorder="1" applyAlignment="1">
      <alignment horizontal="left" vertical="center"/>
    </xf>
    <xf numFmtId="0" fontId="2" fillId="17" borderId="1" xfId="0" applyFont="1" applyFill="1" applyBorder="1" applyAlignment="1">
      <alignment horizontal="center" vertical="center"/>
    </xf>
    <xf numFmtId="0" fontId="16" fillId="17" borderId="1" xfId="0" applyFont="1" applyFill="1" applyBorder="1" applyAlignment="1">
      <alignment horizontal="left" vertical="center"/>
    </xf>
    <xf numFmtId="0" fontId="2" fillId="17" borderId="1" xfId="0" applyFont="1" applyFill="1" applyBorder="1" applyAlignment="1">
      <alignment horizontal="left" vertical="center"/>
    </xf>
    <xf numFmtId="0" fontId="3" fillId="0" borderId="70" xfId="0" applyFont="1" applyBorder="1"/>
  </cellXfs>
  <cellStyles count="2">
    <cellStyle name="Normal" xfId="0" builtinId="0"/>
    <cellStyle name="Percent" xfId="1" builtinId="5"/>
  </cellStyles>
  <dxfs count="7">
    <dxf>
      <font>
        <b/>
        <color rgb="FFFF0000"/>
      </font>
      <fill>
        <patternFill patternType="solid">
          <fgColor rgb="FFFFFFFF"/>
          <bgColor rgb="FFFFFFFF"/>
        </patternFill>
      </fill>
    </dxf>
    <dxf>
      <font>
        <b/>
        <color rgb="FFFF0000"/>
      </font>
      <fill>
        <patternFill patternType="solid">
          <fgColor rgb="FFFFFFFF"/>
          <bgColor rgb="FFFFFFFF"/>
        </patternFill>
      </fill>
    </dxf>
    <dxf>
      <font>
        <b/>
        <color rgb="FFFF0000"/>
      </font>
      <fill>
        <patternFill patternType="solid">
          <fgColor rgb="FFFFFFFF"/>
          <bgColor rgb="FFFFFFFF"/>
        </patternFill>
      </fill>
    </dxf>
    <dxf>
      <font>
        <b/>
        <color rgb="FFFF0000"/>
      </font>
      <fill>
        <patternFill patternType="solid">
          <fgColor rgb="FFFFFFFF"/>
          <bgColor rgb="FFFFFFFF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b/>
        <color rgb="FFFF0000"/>
      </font>
      <fill>
        <patternFill patternType="solid">
          <fgColor rgb="FFFFFFFF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
<Relationships xmlns="http://schemas.openxmlformats.org/package/2006/relationships"><Relationship Id="rId1" Type="http://customschemas.google.com/relationships/workbookmetadata" Target="commentsmeta1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customschemas.google.com/relationships/workbookmetadata" Target="metadata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Calibri"/>
              </a:defRPr>
            </a:pPr>
            <a:r>
              <a:rPr lang="es-CL" sz="1400" b="0" i="0">
                <a:solidFill>
                  <a:srgbClr val="757575"/>
                </a:solidFill>
                <a:latin typeface="Calibri"/>
              </a:rPr>
              <a:t>Recuperaciones en Peso Pleito (%Rp)</a:t>
            </a:r>
          </a:p>
        </c:rich>
      </c:tx>
      <c:layout>
        <c:manualLayout>
          <c:xMode val="edge"/>
          <c:yMode val="edge"/>
          <c:x val="0.26476915439351301"/>
          <c:y val="3.3090909090909101E-2"/>
        </c:manualLayout>
      </c:layout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Pre granzas</c:v>
          </c:tx>
          <c:spPr>
            <a:ln w="19050" cmpd="sng">
              <a:solidFill>
                <a:srgbClr val="4472C4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'Reporte '!$D$73:$I$73</c:f>
              <c:strCache>
                <c:ptCount val="6"/>
                <c:pt idx="0">
                  <c:v>sept. 21</c:v>
                </c:pt>
                <c:pt idx="1">
                  <c:v>oct. 21</c:v>
                </c:pt>
                <c:pt idx="2">
                  <c:v>15-Nov</c:v>
                </c:pt>
                <c:pt idx="3">
                  <c:v>30-Nov</c:v>
                </c:pt>
                <c:pt idx="4">
                  <c:v>15-Dec</c:v>
                </c:pt>
                <c:pt idx="5">
                  <c:v>30-Dec</c:v>
                </c:pt>
              </c:strCache>
            </c:strRef>
          </c:cat>
          <c:val>
            <c:numRef>
              <c:f>'Reporte '!$D$78:$I$78</c:f>
              <c:numCache>
                <c:formatCode>0.0</c:formatCode>
                <c:ptCount val="6"/>
                <c:pt idx="0">
                  <c:v>46.798148845719204</c:v>
                </c:pt>
                <c:pt idx="1">
                  <c:v>39.50013108450581</c:v>
                </c:pt>
                <c:pt idx="2">
                  <c:v>40.718653153530447</c:v>
                </c:pt>
                <c:pt idx="3">
                  <c:v>41.73</c:v>
                </c:pt>
                <c:pt idx="4">
                  <c:v>49.6</c:v>
                </c:pt>
                <c:pt idx="5" formatCode="General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AD-4F94-BF5A-FE871D2FD804}"/>
            </c:ext>
          </c:extLst>
        </c:ser>
        <c:ser>
          <c:idx val="1"/>
          <c:order val="1"/>
          <c:tx>
            <c:v>Prefinos</c:v>
          </c:tx>
          <c:spPr>
            <a:ln w="19050" cmpd="sng">
              <a:solidFill>
                <a:srgbClr val="ED7D31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'Reporte '!$D$73:$I$73</c:f>
              <c:strCache>
                <c:ptCount val="6"/>
                <c:pt idx="0">
                  <c:v>sept. 21</c:v>
                </c:pt>
                <c:pt idx="1">
                  <c:v>oct. 21</c:v>
                </c:pt>
                <c:pt idx="2">
                  <c:v>15-Nov</c:v>
                </c:pt>
                <c:pt idx="3">
                  <c:v>30-Nov</c:v>
                </c:pt>
                <c:pt idx="4">
                  <c:v>15-Dec</c:v>
                </c:pt>
                <c:pt idx="5">
                  <c:v>30-Dec</c:v>
                </c:pt>
              </c:strCache>
            </c:strRef>
          </c:cat>
          <c:val>
            <c:numRef>
              <c:f>'Reporte '!$D$79:$I$79</c:f>
              <c:numCache>
                <c:formatCode>0.0</c:formatCode>
                <c:ptCount val="6"/>
                <c:pt idx="0">
                  <c:v>17.816014637033849</c:v>
                </c:pt>
                <c:pt idx="1">
                  <c:v>22.882111334440268</c:v>
                </c:pt>
                <c:pt idx="2">
                  <c:v>20.963229751235446</c:v>
                </c:pt>
                <c:pt idx="3">
                  <c:v>19.88</c:v>
                </c:pt>
                <c:pt idx="4">
                  <c:v>24.4</c:v>
                </c:pt>
                <c:pt idx="5" formatCode="General">
                  <c:v>23.1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AD-4F94-BF5A-FE871D2FD804}"/>
            </c:ext>
          </c:extLst>
        </c:ser>
        <c:ser>
          <c:idx val="2"/>
          <c:order val="2"/>
          <c:tx>
            <c:v>Rechazos</c:v>
          </c:tx>
          <c:spPr>
            <a:ln w="19050" cmpd="sng">
              <a:solidFill>
                <a:srgbClr val="A5A5A5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'Reporte '!$D$73:$I$73</c:f>
              <c:strCache>
                <c:ptCount val="6"/>
                <c:pt idx="0">
                  <c:v>sept. 21</c:v>
                </c:pt>
                <c:pt idx="1">
                  <c:v>oct. 21</c:v>
                </c:pt>
                <c:pt idx="2">
                  <c:v>15-Nov</c:v>
                </c:pt>
                <c:pt idx="3">
                  <c:v>30-Nov</c:v>
                </c:pt>
                <c:pt idx="4">
                  <c:v>15-Dec</c:v>
                </c:pt>
                <c:pt idx="5">
                  <c:v>30-Dec</c:v>
                </c:pt>
              </c:strCache>
            </c:strRef>
          </c:cat>
          <c:val>
            <c:numRef>
              <c:f>'Reporte '!$D$80:$I$80</c:f>
              <c:numCache>
                <c:formatCode>0.0</c:formatCode>
                <c:ptCount val="6"/>
                <c:pt idx="0">
                  <c:v>35.384491201635903</c:v>
                </c:pt>
                <c:pt idx="1">
                  <c:v>37.616009787643101</c:v>
                </c:pt>
                <c:pt idx="2">
                  <c:v>38.318117095234108</c:v>
                </c:pt>
                <c:pt idx="3">
                  <c:v>38.39</c:v>
                </c:pt>
                <c:pt idx="4">
                  <c:v>26</c:v>
                </c:pt>
                <c:pt idx="5" formatCode="General">
                  <c:v>40.799999999999997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9AD-4F94-BF5A-FE871D2FD8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8824023"/>
        <c:axId val="319377421"/>
      </c:lineChart>
      <c:catAx>
        <c:axId val="15088240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CL"/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Calibri"/>
              </a:defRPr>
            </a:pPr>
            <a:endParaRPr lang="en-CL"/>
          </a:p>
        </c:txPr>
        <c:crossAx val="319377421"/>
        <c:crosses val="autoZero"/>
        <c:auto val="1"/>
        <c:lblAlgn val="ctr"/>
        <c:lblOffset val="100"/>
        <c:noMultiLvlLbl val="1"/>
      </c:catAx>
      <c:valAx>
        <c:axId val="3193774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CL"/>
              </a:p>
            </c:rich>
          </c:tx>
          <c:overlay val="0"/>
        </c:title>
        <c:numFmt formatCode="0.0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Calibri"/>
              </a:defRPr>
            </a:pPr>
            <a:endParaRPr lang="en-CL"/>
          </a:p>
        </c:txPr>
        <c:crossAx val="1508824023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Calibri"/>
            </a:defRPr>
          </a:pPr>
          <a:endParaRPr lang="en-CL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tx>
            <c:v>%Rp Granzas</c:v>
          </c:tx>
          <c:spPr>
            <a:ln w="19050" cmpd="sng">
              <a:solidFill>
                <a:srgbClr val="4472C4">
                  <a:alpha val="100000"/>
                </a:srgbClr>
              </a:solidFill>
            </a:ln>
          </c:spPr>
          <c:marker>
            <c:symbol val="none"/>
          </c:marker>
          <c:cat>
            <c:numRef>
              <c:f>'Reporte '!$W$40:$W$45</c:f>
              <c:numCache>
                <c:formatCode>m/d/yy</c:formatCode>
                <c:ptCount val="5"/>
                <c:pt idx="0">
                  <c:v>44731</c:v>
                </c:pt>
                <c:pt idx="1">
                  <c:v>44742</c:v>
                </c:pt>
                <c:pt idx="2">
                  <c:v>44755</c:v>
                </c:pt>
                <c:pt idx="3">
                  <c:v>44773</c:v>
                </c:pt>
                <c:pt idx="4">
                  <c:v>44789</c:v>
                </c:pt>
              </c:numCache>
            </c:numRef>
          </c:cat>
          <c:val>
            <c:numRef>
              <c:f>'Reporte '!$X$40:$X$45</c:f>
              <c:numCache>
                <c:formatCode>0.0</c:formatCode>
                <c:ptCount val="5"/>
                <c:pt idx="0">
                  <c:v>28.956057554603898</c:v>
                </c:pt>
                <c:pt idx="1">
                  <c:v>31.811195526012298</c:v>
                </c:pt>
                <c:pt idx="2" formatCode="General">
                  <c:v>33.090909090909101</c:v>
                </c:pt>
                <c:pt idx="3" formatCode="General">
                  <c:v>29.311530250289199</c:v>
                </c:pt>
                <c:pt idx="4" formatCode="General">
                  <c:v>36.897265505739803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AB-4CEE-A533-EAA3D3820C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2852100"/>
        <c:axId val="993063964"/>
      </c:lineChart>
      <c:dateAx>
        <c:axId val="9828521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CL"/>
              </a:p>
            </c:rich>
          </c:tx>
          <c:overlay val="0"/>
        </c:title>
        <c:numFmt formatCode="m/d/yy" sourceLinked="0"/>
        <c:majorTickMark val="out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Calibri"/>
              </a:defRPr>
            </a:pPr>
            <a:endParaRPr lang="en-CL"/>
          </a:p>
        </c:txPr>
        <c:crossAx val="993063964"/>
        <c:crosses val="autoZero"/>
        <c:auto val="1"/>
        <c:lblOffset val="100"/>
        <c:baseTimeUnit val="days"/>
      </c:dateAx>
      <c:valAx>
        <c:axId val="993063964"/>
        <c:scaling>
          <c:orientation val="minMax"/>
          <c:min val="2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CL"/>
              </a:p>
            </c:rich>
          </c:tx>
          <c:overlay val="0"/>
        </c:title>
        <c:numFmt formatCode="0.0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Calibri"/>
              </a:defRPr>
            </a:pPr>
            <a:endParaRPr lang="en-CL"/>
          </a:p>
        </c:txPr>
        <c:crossAx val="982852100"/>
        <c:crosses val="autoZero"/>
        <c:crossBetween val="between"/>
      </c:valAx>
    </c:plotArea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7" Type="http://schemas.openxmlformats.org/officeDocument/2006/relationships/image" Target="../media/image9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6" Type="http://schemas.openxmlformats.org/officeDocument/2006/relationships/image" Target="../media/image8.png"/><Relationship Id="rId5" Type="http://schemas.openxmlformats.org/officeDocument/2006/relationships/image" Target="../media/image7.png"/><Relationship Id="rId4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742950</xdr:colOff>
      <xdr:row>81</xdr:row>
      <xdr:rowOff>0</xdr:rowOff>
    </xdr:from>
    <xdr:ext cx="4067175" cy="2962275"/>
    <xdr:graphicFrame macro="">
      <xdr:nvGraphicFramePr>
        <xdr:cNvPr id="1344094330" name="Chart 1">
          <a:extLst>
            <a:ext uri="{FF2B5EF4-FFF2-40B4-BE49-F238E27FC236}">
              <a16:creationId xmlns:a16="http://schemas.microsoft.com/office/drawing/2014/main" id="{00000000-0008-0000-0100-00007A401D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21</xdr:col>
      <xdr:colOff>352425</xdr:colOff>
      <xdr:row>47</xdr:row>
      <xdr:rowOff>95250</xdr:rowOff>
    </xdr:from>
    <xdr:ext cx="4905375" cy="2867025"/>
    <xdr:graphicFrame macro="">
      <xdr:nvGraphicFramePr>
        <xdr:cNvPr id="1780832520" name="Chart 2">
          <a:extLst>
            <a:ext uri="{FF2B5EF4-FFF2-40B4-BE49-F238E27FC236}">
              <a16:creationId xmlns:a16="http://schemas.microsoft.com/office/drawing/2014/main" id="{00000000-0008-0000-0100-0000085925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</xdr:col>
      <xdr:colOff>704850</xdr:colOff>
      <xdr:row>1</xdr:row>
      <xdr:rowOff>180975</xdr:rowOff>
    </xdr:from>
    <xdr:ext cx="1190625" cy="59055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381000</xdr:colOff>
      <xdr:row>4</xdr:row>
      <xdr:rowOff>19050</xdr:rowOff>
    </xdr:from>
    <xdr:to>
      <xdr:col>3</xdr:col>
      <xdr:colOff>409576</xdr:colOff>
      <xdr:row>6</xdr:row>
      <xdr:rowOff>80396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73CD9E9-577D-3111-6852-0C91FB1657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3975" y="800100"/>
          <a:ext cx="790576" cy="4423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95250</xdr:colOff>
      <xdr:row>14</xdr:row>
      <xdr:rowOff>161925</xdr:rowOff>
    </xdr:from>
    <xdr:ext cx="3886200" cy="3343275"/>
    <xdr:pic>
      <xdr:nvPicPr>
        <xdr:cNvPr id="2" name="image4.png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161925</xdr:colOff>
      <xdr:row>0</xdr:row>
      <xdr:rowOff>95250</xdr:rowOff>
    </xdr:from>
    <xdr:ext cx="4867275" cy="3619500"/>
    <xdr:pic>
      <xdr:nvPicPr>
        <xdr:cNvPr id="3" name="image3.png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18</xdr:col>
      <xdr:colOff>19050</xdr:colOff>
      <xdr:row>18</xdr:row>
      <xdr:rowOff>57150</xdr:rowOff>
    </xdr:from>
    <xdr:ext cx="4419600" cy="3448050"/>
    <xdr:pic>
      <xdr:nvPicPr>
        <xdr:cNvPr id="4" name="image2.png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676275</xdr:colOff>
      <xdr:row>18</xdr:row>
      <xdr:rowOff>161925</xdr:rowOff>
    </xdr:from>
    <xdr:ext cx="3619500" cy="4029075"/>
    <xdr:pic>
      <xdr:nvPicPr>
        <xdr:cNvPr id="5" name="image5.png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12</xdr:col>
      <xdr:colOff>371475</xdr:colOff>
      <xdr:row>0</xdr:row>
      <xdr:rowOff>76200</xdr:rowOff>
    </xdr:from>
    <xdr:ext cx="3705225" cy="3895725"/>
    <xdr:pic>
      <xdr:nvPicPr>
        <xdr:cNvPr id="6" name="image6.png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762000</xdr:colOff>
      <xdr:row>22</xdr:row>
      <xdr:rowOff>76200</xdr:rowOff>
    </xdr:from>
    <xdr:ext cx="5391150" cy="1019175"/>
    <xdr:pic>
      <xdr:nvPicPr>
        <xdr:cNvPr id="7" name="image7.png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828675</xdr:colOff>
      <xdr:row>27</xdr:row>
      <xdr:rowOff>161925</xdr:rowOff>
    </xdr:from>
    <xdr:ext cx="3667125" cy="1295400"/>
    <xdr:pic>
      <xdr:nvPicPr>
        <xdr:cNvPr id="8" name="image8.png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200025</xdr:colOff>
      <xdr:row>6</xdr:row>
      <xdr:rowOff>9525</xdr:rowOff>
    </xdr:from>
    <xdr:ext cx="1200150" cy="65722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SpPr/>
      </xdr:nvSpPr>
      <xdr:spPr>
        <a:xfrm>
          <a:off x="4750688" y="3456150"/>
          <a:ext cx="1190625" cy="647700"/>
        </a:xfrm>
        <a:prstGeom prst="rect">
          <a:avLst/>
        </a:prstGeom>
        <a:solidFill>
          <a:srgbClr val="FFFFFF"/>
        </a:solidFill>
        <a:ln w="12700" cap="flat" cmpd="sng">
          <a:solidFill>
            <a:srgbClr val="31538F"/>
          </a:solidFill>
          <a:prstDash val="solid"/>
          <a:miter lim="8000"/>
          <a:headEnd type="none" w="sm" len="sm"/>
          <a:tailEnd type="none" w="sm" len="sm"/>
        </a:ln>
      </xdr:spPr>
      <xdr:txBody>
        <a:bodyPr spcFirstLastPara="1" wrap="square" lIns="90000" tIns="45000" rIns="90000" bIns="45000" anchor="ctr" anchorCtr="0">
          <a:noAutofit/>
        </a:bodyPr>
        <a:lstStyle/>
        <a:p>
          <a:pPr marL="0" lvl="0" indent="0" algn="ctr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</a:pPr>
          <a:r>
            <a:rPr lang="en-US" sz="1100" b="0" strike="noStrike">
              <a:latin typeface="Calibri"/>
              <a:ea typeface="Calibri"/>
              <a:cs typeface="Calibri"/>
              <a:sym typeface="Calibri"/>
            </a:rPr>
            <a:t>Planta Pleito</a:t>
          </a:r>
          <a:endParaRPr sz="1100" b="0" strike="noStrike">
            <a:latin typeface="Times New Roman"/>
            <a:ea typeface="Times New Roman"/>
            <a:cs typeface="Times New Roman"/>
            <a:sym typeface="Times New Roman"/>
          </a:endParaRPr>
        </a:p>
        <a:p>
          <a:pPr marL="0" lvl="0" indent="0" algn="ctr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</a:pPr>
          <a:r>
            <a:rPr lang="en-US" sz="1100" b="0" strike="noStrike">
              <a:latin typeface="Calibri"/>
              <a:ea typeface="Calibri"/>
              <a:cs typeface="Calibri"/>
              <a:sym typeface="Calibri"/>
            </a:rPr>
            <a:t>T2</a:t>
          </a:r>
          <a:endParaRPr sz="1100" b="0" strike="noStrike">
            <a:latin typeface="Times New Roman"/>
            <a:ea typeface="Times New Roman"/>
            <a:cs typeface="Times New Roman"/>
            <a:sym typeface="Times New Roman"/>
          </a:endParaRPr>
        </a:p>
        <a:p>
          <a:pPr marL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</a:pPr>
          <a:endParaRPr sz="1100" b="0" strike="noStrike">
            <a:latin typeface="Times New Roman"/>
            <a:ea typeface="Times New Roman"/>
            <a:cs typeface="Times New Roman"/>
            <a:sym typeface="Times New Roman"/>
          </a:endParaRPr>
        </a:p>
      </xdr:txBody>
    </xdr:sp>
    <xdr:clientData fLocksWithSheet="0"/>
  </xdr:oneCellAnchor>
  <xdr:oneCellAnchor>
    <xdr:from>
      <xdr:col>1</xdr:col>
      <xdr:colOff>704850</xdr:colOff>
      <xdr:row>7</xdr:row>
      <xdr:rowOff>104775</xdr:rowOff>
    </xdr:from>
    <xdr:ext cx="933450" cy="428625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pSpPr/>
      </xdr:nvGrpSpPr>
      <xdr:grpSpPr>
        <a:xfrm>
          <a:off x="1581150" y="1438275"/>
          <a:ext cx="933450" cy="428625"/>
          <a:chOff x="4879275" y="3565688"/>
          <a:chExt cx="933776" cy="429000"/>
        </a:xfrm>
      </xdr:grpSpPr>
      <xdr:grpSp>
        <xdr:nvGrpSpPr>
          <xdr:cNvPr id="4" name="Shape 4">
            <a:extLst>
              <a:ext uri="{FF2B5EF4-FFF2-40B4-BE49-F238E27FC236}">
                <a16:creationId xmlns:a16="http://schemas.microsoft.com/office/drawing/2014/main" id="{00000000-0008-0000-0800-000004000000}"/>
              </a:ext>
            </a:extLst>
          </xdr:cNvPr>
          <xdr:cNvGrpSpPr/>
        </xdr:nvGrpSpPr>
        <xdr:grpSpPr>
          <a:xfrm>
            <a:off x="4879275" y="3565688"/>
            <a:ext cx="933776" cy="429000"/>
            <a:chOff x="1524960" y="1417320"/>
            <a:chExt cx="1030680" cy="411840"/>
          </a:xfrm>
        </xdr:grpSpPr>
        <xdr:sp macro="" textlink="">
          <xdr:nvSpPr>
            <xdr:cNvPr id="5" name="Shape 5">
              <a:extLst>
                <a:ext uri="{FF2B5EF4-FFF2-40B4-BE49-F238E27FC236}">
                  <a16:creationId xmlns:a16="http://schemas.microsoft.com/office/drawing/2014/main" id="{00000000-0008-0000-0800-000005000000}"/>
                </a:ext>
              </a:extLst>
            </xdr:cNvPr>
            <xdr:cNvSpPr/>
          </xdr:nvSpPr>
          <xdr:spPr>
            <a:xfrm>
              <a:off x="1524960" y="1417320"/>
              <a:ext cx="1030300" cy="41147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cxnSp macro="">
          <xdr:nvCxnSpPr>
            <xdr:cNvPr id="6" name="Shape 6">
              <a:extLst>
                <a:ext uri="{FF2B5EF4-FFF2-40B4-BE49-F238E27FC236}">
                  <a16:creationId xmlns:a16="http://schemas.microsoft.com/office/drawing/2014/main" id="{00000000-0008-0000-0800-000006000000}"/>
                </a:ext>
              </a:extLst>
            </xdr:cNvPr>
            <xdr:cNvCxnSpPr/>
          </xdr:nvCxnSpPr>
          <xdr:spPr>
            <a:xfrm rot="10800000" flipH="1">
              <a:off x="1524960" y="1417320"/>
              <a:ext cx="1030680" cy="411840"/>
            </a:xfrm>
            <a:prstGeom prst="bentConnector3">
              <a:avLst>
                <a:gd name="adj1" fmla="val 55189"/>
              </a:avLst>
            </a:prstGeom>
            <a:noFill/>
            <a:ln w="9525" cap="flat" cmpd="sng">
              <a:solidFill>
                <a:srgbClr val="4472C4"/>
              </a:solidFill>
              <a:prstDash val="solid"/>
              <a:miter lim="8000"/>
              <a:headEnd type="none" w="sm" len="sm"/>
              <a:tailEnd type="triangle" w="med" len="med"/>
            </a:ln>
          </xdr:spPr>
        </xdr:cxnSp>
      </xdr:grpSp>
    </xdr:grpSp>
    <xdr:clientData fLocksWithSheet="0"/>
  </xdr:oneCellAnchor>
  <xdr:oneCellAnchor>
    <xdr:from>
      <xdr:col>0</xdr:col>
      <xdr:colOff>114300</xdr:colOff>
      <xdr:row>3</xdr:row>
      <xdr:rowOff>76200</xdr:rowOff>
    </xdr:from>
    <xdr:ext cx="790575" cy="495300"/>
    <xdr:sp macro="" textlink="">
      <xdr:nvSpPr>
        <xdr:cNvPr id="7" name="Shape 7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SpPr/>
      </xdr:nvSpPr>
      <xdr:spPr>
        <a:xfrm>
          <a:off x="4955475" y="3537113"/>
          <a:ext cx="781050" cy="485775"/>
        </a:xfrm>
        <a:prstGeom prst="rect">
          <a:avLst/>
        </a:prstGeom>
        <a:noFill/>
        <a:ln>
          <a:noFill/>
        </a:ln>
      </xdr:spPr>
      <xdr:txBody>
        <a:bodyPr spcFirstLastPara="1" wrap="square" lIns="90000" tIns="45000" rIns="90000" bIns="45000" anchor="t" anchorCtr="0">
          <a:noAutofit/>
        </a:bodyPr>
        <a:lstStyle/>
        <a:p>
          <a:pPr marL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</a:pPr>
          <a:r>
            <a:rPr lang="en-US" sz="1100" b="0" strike="noStrike">
              <a:latin typeface="Calibri"/>
              <a:ea typeface="Calibri"/>
              <a:cs typeface="Calibri"/>
              <a:sym typeface="Calibri"/>
            </a:rPr>
            <a:t>Alta Ley 1 </a:t>
          </a:r>
          <a:endParaRPr sz="1100" b="0" strike="noStrike">
            <a:latin typeface="Times New Roman"/>
            <a:ea typeface="Times New Roman"/>
            <a:cs typeface="Times New Roman"/>
            <a:sym typeface="Times New Roman"/>
          </a:endParaRPr>
        </a:p>
      </xdr:txBody>
    </xdr:sp>
    <xdr:clientData fLocksWithSheet="0"/>
  </xdr:oneCellAnchor>
  <xdr:oneCellAnchor>
    <xdr:from>
      <xdr:col>5</xdr:col>
      <xdr:colOff>447675</xdr:colOff>
      <xdr:row>25</xdr:row>
      <xdr:rowOff>76200</xdr:rowOff>
    </xdr:from>
    <xdr:ext cx="371475" cy="428625"/>
    <xdr:sp macro="" textlink="">
      <xdr:nvSpPr>
        <xdr:cNvPr id="8" name="Shape 8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SpPr/>
      </xdr:nvSpPr>
      <xdr:spPr>
        <a:xfrm>
          <a:off x="5165025" y="3575213"/>
          <a:ext cx="361950" cy="409575"/>
        </a:xfrm>
        <a:prstGeom prst="triangle">
          <a:avLst>
            <a:gd name="adj" fmla="val 50000"/>
          </a:avLst>
        </a:prstGeom>
        <a:solidFill>
          <a:srgbClr val="FFFFFF"/>
        </a:solidFill>
        <a:ln w="12700" cap="flat" cmpd="sng">
          <a:solidFill>
            <a:srgbClr val="31538F"/>
          </a:solidFill>
          <a:prstDash val="solid"/>
          <a:miter lim="8000"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6</xdr:col>
      <xdr:colOff>676275</xdr:colOff>
      <xdr:row>4</xdr:row>
      <xdr:rowOff>104775</xdr:rowOff>
    </xdr:from>
    <xdr:ext cx="381000" cy="457200"/>
    <xdr:sp macro="" textlink="">
      <xdr:nvSpPr>
        <xdr:cNvPr id="9" name="Shape 9">
          <a:extLst>
            <a:ext uri="{FF2B5EF4-FFF2-40B4-BE49-F238E27FC236}">
              <a16:creationId xmlns:a16="http://schemas.microsoft.com/office/drawing/2014/main" id="{00000000-0008-0000-0800-000009000000}"/>
            </a:ext>
          </a:extLst>
        </xdr:cNvPr>
        <xdr:cNvSpPr/>
      </xdr:nvSpPr>
      <xdr:spPr>
        <a:xfrm>
          <a:off x="5165025" y="3556163"/>
          <a:ext cx="361950" cy="447675"/>
        </a:xfrm>
        <a:prstGeom prst="triangle">
          <a:avLst>
            <a:gd name="adj" fmla="val 50000"/>
          </a:avLst>
        </a:prstGeom>
        <a:solidFill>
          <a:srgbClr val="FFFFFF"/>
        </a:solidFill>
        <a:ln w="12700" cap="flat" cmpd="sng">
          <a:solidFill>
            <a:srgbClr val="31538F"/>
          </a:solidFill>
          <a:prstDash val="solid"/>
          <a:miter lim="8000"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7</xdr:col>
      <xdr:colOff>19050</xdr:colOff>
      <xdr:row>15</xdr:row>
      <xdr:rowOff>19050</xdr:rowOff>
    </xdr:from>
    <xdr:ext cx="409575" cy="428625"/>
    <xdr:sp macro="" textlink="">
      <xdr:nvSpPr>
        <xdr:cNvPr id="10" name="Shape 10">
          <a:extLst>
            <a:ext uri="{FF2B5EF4-FFF2-40B4-BE49-F238E27FC236}">
              <a16:creationId xmlns:a16="http://schemas.microsoft.com/office/drawing/2014/main" id="{00000000-0008-0000-0800-00000A000000}"/>
            </a:ext>
          </a:extLst>
        </xdr:cNvPr>
        <xdr:cNvSpPr/>
      </xdr:nvSpPr>
      <xdr:spPr>
        <a:xfrm>
          <a:off x="5150738" y="3575213"/>
          <a:ext cx="390525" cy="409575"/>
        </a:xfrm>
        <a:prstGeom prst="triangle">
          <a:avLst>
            <a:gd name="adj" fmla="val 50000"/>
          </a:avLst>
        </a:prstGeom>
        <a:solidFill>
          <a:srgbClr val="FFFFFF"/>
        </a:solidFill>
        <a:ln w="12700" cap="flat" cmpd="sng">
          <a:solidFill>
            <a:srgbClr val="31538F"/>
          </a:solidFill>
          <a:prstDash val="solid"/>
          <a:miter lim="8000"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6</xdr:col>
      <xdr:colOff>76200</xdr:colOff>
      <xdr:row>6</xdr:row>
      <xdr:rowOff>76200</xdr:rowOff>
    </xdr:from>
    <xdr:ext cx="647700" cy="657225"/>
    <xdr:sp macro="" textlink="">
      <xdr:nvSpPr>
        <xdr:cNvPr id="11" name="Shape 11">
          <a:extLst>
            <a:ext uri="{FF2B5EF4-FFF2-40B4-BE49-F238E27FC236}">
              <a16:creationId xmlns:a16="http://schemas.microsoft.com/office/drawing/2014/main" id="{00000000-0008-0000-0800-00000B000000}"/>
            </a:ext>
          </a:extLst>
        </xdr:cNvPr>
        <xdr:cNvSpPr/>
      </xdr:nvSpPr>
      <xdr:spPr>
        <a:xfrm>
          <a:off x="5026913" y="3456150"/>
          <a:ext cx="638175" cy="647700"/>
        </a:xfrm>
        <a:prstGeom prst="rect">
          <a:avLst/>
        </a:prstGeom>
        <a:noFill/>
        <a:ln>
          <a:noFill/>
        </a:ln>
      </xdr:spPr>
      <xdr:txBody>
        <a:bodyPr spcFirstLastPara="1" wrap="square" lIns="90000" tIns="45000" rIns="90000" bIns="45000" anchor="ctr" anchorCtr="0">
          <a:noAutofit/>
        </a:bodyPr>
        <a:lstStyle/>
        <a:p>
          <a:pPr marL="0" lvl="0" indent="0" algn="ctr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</a:pPr>
          <a:r>
            <a:rPr lang="en-US" sz="1100" b="0" strike="noStrike">
              <a:latin typeface="Calibri"/>
              <a:ea typeface="Calibri"/>
              <a:cs typeface="Calibri"/>
              <a:sym typeface="Calibri"/>
            </a:rPr>
            <a:t>Stock Granzas</a:t>
          </a:r>
          <a:endParaRPr sz="1100" b="0" strike="noStrike">
            <a:latin typeface="Times New Roman"/>
            <a:ea typeface="Times New Roman"/>
            <a:cs typeface="Times New Roman"/>
            <a:sym typeface="Times New Roman"/>
          </a:endParaRPr>
        </a:p>
      </xdr:txBody>
    </xdr:sp>
    <xdr:clientData fLocksWithSheet="0"/>
  </xdr:oneCellAnchor>
  <xdr:oneCellAnchor>
    <xdr:from>
      <xdr:col>5</xdr:col>
      <xdr:colOff>714375</xdr:colOff>
      <xdr:row>13</xdr:row>
      <xdr:rowOff>0</xdr:rowOff>
    </xdr:from>
    <xdr:ext cx="942975" cy="495300"/>
    <xdr:sp macro="" textlink="">
      <xdr:nvSpPr>
        <xdr:cNvPr id="12" name="Shape 12">
          <a:extLst>
            <a:ext uri="{FF2B5EF4-FFF2-40B4-BE49-F238E27FC236}">
              <a16:creationId xmlns:a16="http://schemas.microsoft.com/office/drawing/2014/main" id="{00000000-0008-0000-0800-00000C000000}"/>
            </a:ext>
          </a:extLst>
        </xdr:cNvPr>
        <xdr:cNvSpPr/>
      </xdr:nvSpPr>
      <xdr:spPr>
        <a:xfrm>
          <a:off x="4879275" y="3537113"/>
          <a:ext cx="933450" cy="485775"/>
        </a:xfrm>
        <a:prstGeom prst="rect">
          <a:avLst/>
        </a:prstGeom>
        <a:noFill/>
        <a:ln>
          <a:noFill/>
        </a:ln>
      </xdr:spPr>
      <xdr:txBody>
        <a:bodyPr spcFirstLastPara="1" wrap="square" lIns="90000" tIns="45000" rIns="90000" bIns="45000" anchor="t" anchorCtr="0">
          <a:noAutofit/>
        </a:bodyPr>
        <a:lstStyle/>
        <a:p>
          <a:pPr marL="0" lvl="0" indent="0" algn="ctr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</a:pPr>
          <a:r>
            <a:rPr lang="en-US" sz="1100" b="0" strike="noStrike">
              <a:latin typeface="Calibri"/>
              <a:ea typeface="Calibri"/>
              <a:cs typeface="Calibri"/>
              <a:sym typeface="Calibri"/>
            </a:rPr>
            <a:t>Stock Finos</a:t>
          </a:r>
          <a:endParaRPr sz="1100" b="0" strike="noStrike">
            <a:latin typeface="Times New Roman"/>
            <a:ea typeface="Times New Roman"/>
            <a:cs typeface="Times New Roman"/>
            <a:sym typeface="Times New Roman"/>
          </a:endParaRPr>
        </a:p>
        <a:p>
          <a:pPr marL="0" lvl="0" indent="0" algn="ctr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</a:pPr>
          <a:r>
            <a:rPr lang="en-US" sz="1100" b="0" strike="noStrike">
              <a:latin typeface="Calibri"/>
              <a:ea typeface="Calibri"/>
              <a:cs typeface="Calibri"/>
              <a:sym typeface="Calibri"/>
            </a:rPr>
            <a:t> o Sinter Feed</a:t>
          </a:r>
          <a:endParaRPr sz="1100" b="0" strike="noStrike">
            <a:latin typeface="Times New Roman"/>
            <a:ea typeface="Times New Roman"/>
            <a:cs typeface="Times New Roman"/>
            <a:sym typeface="Times New Roman"/>
          </a:endParaRPr>
        </a:p>
      </xdr:txBody>
    </xdr:sp>
    <xdr:clientData fLocksWithSheet="0"/>
  </xdr:oneCellAnchor>
  <xdr:oneCellAnchor>
    <xdr:from>
      <xdr:col>4</xdr:col>
      <xdr:colOff>19050</xdr:colOff>
      <xdr:row>35</xdr:row>
      <xdr:rowOff>95250</xdr:rowOff>
    </xdr:from>
    <xdr:ext cx="1371600" cy="314325"/>
    <xdr:sp macro="" textlink="">
      <xdr:nvSpPr>
        <xdr:cNvPr id="13" name="Shape 13">
          <a:extLst>
            <a:ext uri="{FF2B5EF4-FFF2-40B4-BE49-F238E27FC236}">
              <a16:creationId xmlns:a16="http://schemas.microsoft.com/office/drawing/2014/main" id="{00000000-0008-0000-0800-00000D000000}"/>
            </a:ext>
          </a:extLst>
        </xdr:cNvPr>
        <xdr:cNvSpPr/>
      </xdr:nvSpPr>
      <xdr:spPr>
        <a:xfrm>
          <a:off x="4664963" y="3627600"/>
          <a:ext cx="1362075" cy="3048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spcFirstLastPara="1" wrap="square" lIns="90000" tIns="45000" rIns="90000" bIns="45000" anchor="t" anchorCtr="0">
          <a:noAutofit/>
        </a:bodyPr>
        <a:lstStyle/>
        <a:p>
          <a:pPr marL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</a:pPr>
          <a:r>
            <a:rPr lang="en-US" sz="1100" b="0" strike="noStrike">
              <a:latin typeface="Calibri"/>
              <a:ea typeface="Calibri"/>
              <a:cs typeface="Calibri"/>
              <a:sym typeface="Calibri"/>
            </a:rPr>
            <a:t>Stock Prec. Mixto 2</a:t>
          </a:r>
          <a:endParaRPr sz="1100" b="0" strike="noStrike">
            <a:latin typeface="Times New Roman"/>
            <a:ea typeface="Times New Roman"/>
            <a:cs typeface="Times New Roman"/>
            <a:sym typeface="Times New Roman"/>
          </a:endParaRPr>
        </a:p>
        <a:p>
          <a:pPr marL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</a:pPr>
          <a:endParaRPr sz="1100" b="0" strike="noStrike">
            <a:latin typeface="Times New Roman"/>
            <a:ea typeface="Times New Roman"/>
            <a:cs typeface="Times New Roman"/>
            <a:sym typeface="Times New Roman"/>
          </a:endParaRPr>
        </a:p>
      </xdr:txBody>
    </xdr:sp>
    <xdr:clientData fLocksWithSheet="0"/>
  </xdr:oneCellAnchor>
  <xdr:oneCellAnchor>
    <xdr:from>
      <xdr:col>4</xdr:col>
      <xdr:colOff>619125</xdr:colOff>
      <xdr:row>7</xdr:row>
      <xdr:rowOff>171450</xdr:rowOff>
    </xdr:from>
    <xdr:ext cx="1657350" cy="1685925"/>
    <xdr:grpSp>
      <xdr:nvGrpSpPr>
        <xdr:cNvPr id="14" name="Shape 2">
          <a:extLst>
            <a:ext uri="{FF2B5EF4-FFF2-40B4-BE49-F238E27FC236}">
              <a16:creationId xmlns:a16="http://schemas.microsoft.com/office/drawing/2014/main" id="{00000000-0008-0000-0800-00000E000000}"/>
            </a:ext>
          </a:extLst>
        </xdr:cNvPr>
        <xdr:cNvGrpSpPr/>
      </xdr:nvGrpSpPr>
      <xdr:grpSpPr>
        <a:xfrm>
          <a:off x="4124325" y="1504950"/>
          <a:ext cx="1657350" cy="1685925"/>
          <a:chOff x="4517325" y="2937038"/>
          <a:chExt cx="1657688" cy="1686295"/>
        </a:xfrm>
      </xdr:grpSpPr>
      <xdr:grpSp>
        <xdr:nvGrpSpPr>
          <xdr:cNvPr id="15" name="Shape 14">
            <a:extLst>
              <a:ext uri="{FF2B5EF4-FFF2-40B4-BE49-F238E27FC236}">
                <a16:creationId xmlns:a16="http://schemas.microsoft.com/office/drawing/2014/main" id="{00000000-0008-0000-0800-00000F000000}"/>
              </a:ext>
            </a:extLst>
          </xdr:cNvPr>
          <xdr:cNvGrpSpPr/>
        </xdr:nvGrpSpPr>
        <xdr:grpSpPr>
          <a:xfrm>
            <a:off x="4517325" y="2937038"/>
            <a:ext cx="1657688" cy="1686295"/>
            <a:chOff x="3867480" y="1479240"/>
            <a:chExt cx="1764000" cy="1640520"/>
          </a:xfrm>
        </xdr:grpSpPr>
        <xdr:sp macro="" textlink="">
          <xdr:nvSpPr>
            <xdr:cNvPr id="16" name="Shape 5">
              <a:extLst>
                <a:ext uri="{FF2B5EF4-FFF2-40B4-BE49-F238E27FC236}">
                  <a16:creationId xmlns:a16="http://schemas.microsoft.com/office/drawing/2014/main" id="{00000000-0008-0000-0800-000010000000}"/>
                </a:ext>
              </a:extLst>
            </xdr:cNvPr>
            <xdr:cNvSpPr/>
          </xdr:nvSpPr>
          <xdr:spPr>
            <a:xfrm>
              <a:off x="3867480" y="1479240"/>
              <a:ext cx="1763625" cy="16401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cxnSp macro="">
          <xdr:nvCxnSpPr>
            <xdr:cNvPr id="17" name="Shape 15">
              <a:extLst>
                <a:ext uri="{FF2B5EF4-FFF2-40B4-BE49-F238E27FC236}">
                  <a16:creationId xmlns:a16="http://schemas.microsoft.com/office/drawing/2014/main" id="{00000000-0008-0000-0800-000011000000}"/>
                </a:ext>
              </a:extLst>
            </xdr:cNvPr>
            <xdr:cNvCxnSpPr/>
          </xdr:nvCxnSpPr>
          <xdr:spPr>
            <a:xfrm>
              <a:off x="3867480" y="1479240"/>
              <a:ext cx="1764000" cy="1640520"/>
            </a:xfrm>
            <a:prstGeom prst="bentConnector3">
              <a:avLst>
                <a:gd name="adj1" fmla="val 53217"/>
              </a:avLst>
            </a:prstGeom>
            <a:noFill/>
            <a:ln w="9525" cap="flat" cmpd="sng">
              <a:solidFill>
                <a:srgbClr val="4472C4"/>
              </a:solidFill>
              <a:prstDash val="solid"/>
              <a:miter lim="8000"/>
              <a:headEnd type="none" w="sm" len="sm"/>
              <a:tailEnd type="triangle" w="med" len="med"/>
            </a:ln>
          </xdr:spPr>
        </xdr:cxnSp>
      </xdr:grpSp>
    </xdr:grpSp>
    <xdr:clientData fLocksWithSheet="0"/>
  </xdr:oneCellAnchor>
  <xdr:oneCellAnchor>
    <xdr:from>
      <xdr:col>4</xdr:col>
      <xdr:colOff>685800</xdr:colOff>
      <xdr:row>5</xdr:row>
      <xdr:rowOff>104775</xdr:rowOff>
    </xdr:from>
    <xdr:ext cx="1533525" cy="428625"/>
    <xdr:grpSp>
      <xdr:nvGrpSpPr>
        <xdr:cNvPr id="18" name="Shape 2">
          <a:extLst>
            <a:ext uri="{FF2B5EF4-FFF2-40B4-BE49-F238E27FC236}">
              <a16:creationId xmlns:a16="http://schemas.microsoft.com/office/drawing/2014/main" id="{00000000-0008-0000-0800-000012000000}"/>
            </a:ext>
          </a:extLst>
        </xdr:cNvPr>
        <xdr:cNvGrpSpPr/>
      </xdr:nvGrpSpPr>
      <xdr:grpSpPr>
        <a:xfrm>
          <a:off x="4191000" y="1057275"/>
          <a:ext cx="1533525" cy="428625"/>
          <a:chOff x="4579238" y="3565688"/>
          <a:chExt cx="1533862" cy="429009"/>
        </a:xfrm>
      </xdr:grpSpPr>
      <xdr:grpSp>
        <xdr:nvGrpSpPr>
          <xdr:cNvPr id="19" name="Shape 16">
            <a:extLst>
              <a:ext uri="{FF2B5EF4-FFF2-40B4-BE49-F238E27FC236}">
                <a16:creationId xmlns:a16="http://schemas.microsoft.com/office/drawing/2014/main" id="{00000000-0008-0000-0800-000013000000}"/>
              </a:ext>
            </a:extLst>
          </xdr:cNvPr>
          <xdr:cNvGrpSpPr/>
        </xdr:nvGrpSpPr>
        <xdr:grpSpPr>
          <a:xfrm>
            <a:off x="4579238" y="3565688"/>
            <a:ext cx="1533862" cy="429009"/>
            <a:chOff x="3929400" y="1051200"/>
            <a:chExt cx="1640160" cy="402480"/>
          </a:xfrm>
        </xdr:grpSpPr>
        <xdr:sp macro="" textlink="">
          <xdr:nvSpPr>
            <xdr:cNvPr id="20" name="Shape 5">
              <a:extLst>
                <a:ext uri="{FF2B5EF4-FFF2-40B4-BE49-F238E27FC236}">
                  <a16:creationId xmlns:a16="http://schemas.microsoft.com/office/drawing/2014/main" id="{00000000-0008-0000-0800-000014000000}"/>
                </a:ext>
              </a:extLst>
            </xdr:cNvPr>
            <xdr:cNvSpPr/>
          </xdr:nvSpPr>
          <xdr:spPr>
            <a:xfrm>
              <a:off x="3929400" y="1051200"/>
              <a:ext cx="1639800" cy="40210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cxnSp macro="">
          <xdr:nvCxnSpPr>
            <xdr:cNvPr id="21" name="Shape 17">
              <a:extLst>
                <a:ext uri="{FF2B5EF4-FFF2-40B4-BE49-F238E27FC236}">
                  <a16:creationId xmlns:a16="http://schemas.microsoft.com/office/drawing/2014/main" id="{00000000-0008-0000-0800-000015000000}"/>
                </a:ext>
              </a:extLst>
            </xdr:cNvPr>
            <xdr:cNvCxnSpPr/>
          </xdr:nvCxnSpPr>
          <xdr:spPr>
            <a:xfrm rot="10800000" flipH="1">
              <a:off x="3929400" y="1051200"/>
              <a:ext cx="1640160" cy="402480"/>
            </a:xfrm>
            <a:prstGeom prst="bentConnector3">
              <a:avLst>
                <a:gd name="adj1" fmla="val 53476"/>
              </a:avLst>
            </a:prstGeom>
            <a:noFill/>
            <a:ln w="9525" cap="flat" cmpd="sng">
              <a:solidFill>
                <a:srgbClr val="4472C4"/>
              </a:solidFill>
              <a:prstDash val="solid"/>
              <a:miter lim="8000"/>
              <a:headEnd type="none" w="sm" len="sm"/>
              <a:tailEnd type="triangle" w="med" len="med"/>
            </a:ln>
          </xdr:spPr>
        </xdr:cxnSp>
      </xdr:grpSp>
    </xdr:grpSp>
    <xdr:clientData fLocksWithSheet="0"/>
  </xdr:oneCellAnchor>
  <xdr:oneCellAnchor>
    <xdr:from>
      <xdr:col>2</xdr:col>
      <xdr:colOff>581025</xdr:colOff>
      <xdr:row>14</xdr:row>
      <xdr:rowOff>114300</xdr:rowOff>
    </xdr:from>
    <xdr:ext cx="3238500" cy="1333500"/>
    <xdr:grpSp>
      <xdr:nvGrpSpPr>
        <xdr:cNvPr id="22" name="Shape 2">
          <a:extLst>
            <a:ext uri="{FF2B5EF4-FFF2-40B4-BE49-F238E27FC236}">
              <a16:creationId xmlns:a16="http://schemas.microsoft.com/office/drawing/2014/main" id="{00000000-0008-0000-0800-000016000000}"/>
            </a:ext>
          </a:extLst>
        </xdr:cNvPr>
        <xdr:cNvGrpSpPr/>
      </xdr:nvGrpSpPr>
      <xdr:grpSpPr>
        <a:xfrm>
          <a:off x="2333625" y="2844800"/>
          <a:ext cx="3238500" cy="1333500"/>
          <a:chOff x="3726750" y="3113250"/>
          <a:chExt cx="3238835" cy="1333878"/>
        </a:xfrm>
      </xdr:grpSpPr>
      <xdr:grpSp>
        <xdr:nvGrpSpPr>
          <xdr:cNvPr id="23" name="Shape 18">
            <a:extLst>
              <a:ext uri="{FF2B5EF4-FFF2-40B4-BE49-F238E27FC236}">
                <a16:creationId xmlns:a16="http://schemas.microsoft.com/office/drawing/2014/main" id="{00000000-0008-0000-0800-000017000000}"/>
              </a:ext>
            </a:extLst>
          </xdr:cNvPr>
          <xdr:cNvGrpSpPr/>
        </xdr:nvGrpSpPr>
        <xdr:grpSpPr>
          <a:xfrm>
            <a:off x="3726750" y="3113250"/>
            <a:ext cx="3238835" cy="1333878"/>
            <a:chOff x="2205360" y="2777760"/>
            <a:chExt cx="3478680" cy="1269000"/>
          </a:xfrm>
        </xdr:grpSpPr>
        <xdr:sp macro="" textlink="">
          <xdr:nvSpPr>
            <xdr:cNvPr id="24" name="Shape 5">
              <a:extLst>
                <a:ext uri="{FF2B5EF4-FFF2-40B4-BE49-F238E27FC236}">
                  <a16:creationId xmlns:a16="http://schemas.microsoft.com/office/drawing/2014/main" id="{00000000-0008-0000-0800-000018000000}"/>
                </a:ext>
              </a:extLst>
            </xdr:cNvPr>
            <xdr:cNvSpPr/>
          </xdr:nvSpPr>
          <xdr:spPr>
            <a:xfrm>
              <a:off x="2205360" y="2777760"/>
              <a:ext cx="3478300" cy="12686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cxnSp macro="">
          <xdr:nvCxnSpPr>
            <xdr:cNvPr id="25" name="Shape 19">
              <a:extLst>
                <a:ext uri="{FF2B5EF4-FFF2-40B4-BE49-F238E27FC236}">
                  <a16:creationId xmlns:a16="http://schemas.microsoft.com/office/drawing/2014/main" id="{00000000-0008-0000-0800-000019000000}"/>
                </a:ext>
              </a:extLst>
            </xdr:cNvPr>
            <xdr:cNvCxnSpPr/>
          </xdr:nvCxnSpPr>
          <xdr:spPr>
            <a:xfrm>
              <a:off x="2205360" y="2777760"/>
              <a:ext cx="3478680" cy="1269000"/>
            </a:xfrm>
            <a:prstGeom prst="bentConnector3">
              <a:avLst>
                <a:gd name="adj1" fmla="val 53703"/>
              </a:avLst>
            </a:prstGeom>
            <a:noFill/>
            <a:ln w="9525" cap="flat" cmpd="sng">
              <a:solidFill>
                <a:srgbClr val="4472C4"/>
              </a:solidFill>
              <a:prstDash val="solid"/>
              <a:miter lim="8000"/>
              <a:headEnd type="none" w="sm" len="sm"/>
              <a:tailEnd type="triangle" w="med" len="med"/>
            </a:ln>
          </xdr:spPr>
        </xdr:cxnSp>
      </xdr:grpSp>
    </xdr:grpSp>
    <xdr:clientData fLocksWithSheet="0"/>
  </xdr:oneCellAnchor>
  <xdr:oneCellAnchor>
    <xdr:from>
      <xdr:col>7</xdr:col>
      <xdr:colOff>228600</xdr:colOff>
      <xdr:row>5</xdr:row>
      <xdr:rowOff>95250</xdr:rowOff>
    </xdr:from>
    <xdr:ext cx="990600" cy="38100"/>
    <xdr:grpSp>
      <xdr:nvGrpSpPr>
        <xdr:cNvPr id="26" name="Shape 2">
          <a:extLst>
            <a:ext uri="{FF2B5EF4-FFF2-40B4-BE49-F238E27FC236}">
              <a16:creationId xmlns:a16="http://schemas.microsoft.com/office/drawing/2014/main" id="{00000000-0008-0000-0800-00001A000000}"/>
            </a:ext>
          </a:extLst>
        </xdr:cNvPr>
        <xdr:cNvGrpSpPr/>
      </xdr:nvGrpSpPr>
      <xdr:grpSpPr>
        <a:xfrm>
          <a:off x="6362700" y="1047750"/>
          <a:ext cx="990600" cy="38100"/>
          <a:chOff x="4850700" y="3760950"/>
          <a:chExt cx="990943" cy="38446"/>
        </a:xfrm>
      </xdr:grpSpPr>
      <xdr:grpSp>
        <xdr:nvGrpSpPr>
          <xdr:cNvPr id="27" name="Shape 20">
            <a:extLst>
              <a:ext uri="{FF2B5EF4-FFF2-40B4-BE49-F238E27FC236}">
                <a16:creationId xmlns:a16="http://schemas.microsoft.com/office/drawing/2014/main" id="{00000000-0008-0000-0800-00001B000000}"/>
              </a:ext>
            </a:extLst>
          </xdr:cNvPr>
          <xdr:cNvGrpSpPr/>
        </xdr:nvGrpSpPr>
        <xdr:grpSpPr>
          <a:xfrm>
            <a:off x="4850700" y="3760950"/>
            <a:ext cx="990943" cy="38446"/>
            <a:chOff x="5904720" y="1042200"/>
            <a:chExt cx="1040040" cy="39960"/>
          </a:xfrm>
        </xdr:grpSpPr>
        <xdr:sp macro="" textlink="">
          <xdr:nvSpPr>
            <xdr:cNvPr id="28" name="Shape 5">
              <a:extLst>
                <a:ext uri="{FF2B5EF4-FFF2-40B4-BE49-F238E27FC236}">
                  <a16:creationId xmlns:a16="http://schemas.microsoft.com/office/drawing/2014/main" id="{00000000-0008-0000-0800-00001C000000}"/>
                </a:ext>
              </a:extLst>
            </xdr:cNvPr>
            <xdr:cNvSpPr/>
          </xdr:nvSpPr>
          <xdr:spPr>
            <a:xfrm>
              <a:off x="5904720" y="1042200"/>
              <a:ext cx="1039675" cy="3960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cxnSp macro="">
          <xdr:nvCxnSpPr>
            <xdr:cNvPr id="29" name="Shape 21">
              <a:extLst>
                <a:ext uri="{FF2B5EF4-FFF2-40B4-BE49-F238E27FC236}">
                  <a16:creationId xmlns:a16="http://schemas.microsoft.com/office/drawing/2014/main" id="{00000000-0008-0000-0800-00001D000000}"/>
                </a:ext>
              </a:extLst>
            </xdr:cNvPr>
            <xdr:cNvCxnSpPr/>
          </xdr:nvCxnSpPr>
          <xdr:spPr>
            <a:xfrm>
              <a:off x="5904720" y="1042200"/>
              <a:ext cx="1040040" cy="39960"/>
            </a:xfrm>
            <a:prstGeom prst="bentConnector3">
              <a:avLst>
                <a:gd name="adj1" fmla="val 52477"/>
              </a:avLst>
            </a:prstGeom>
            <a:noFill/>
            <a:ln w="9525" cap="flat" cmpd="sng">
              <a:solidFill>
                <a:srgbClr val="4472C4"/>
              </a:solidFill>
              <a:prstDash val="solid"/>
              <a:miter lim="8000"/>
              <a:headEnd type="none" w="sm" len="sm"/>
              <a:tailEnd type="triangle" w="med" len="med"/>
            </a:ln>
          </xdr:spPr>
        </xdr:cxnSp>
      </xdr:grpSp>
    </xdr:grpSp>
    <xdr:clientData fLocksWithSheet="0"/>
  </xdr:oneCellAnchor>
  <xdr:oneCellAnchor>
    <xdr:from>
      <xdr:col>7</xdr:col>
      <xdr:colOff>323850</xdr:colOff>
      <xdr:row>15</xdr:row>
      <xdr:rowOff>19050</xdr:rowOff>
    </xdr:from>
    <xdr:ext cx="1352550" cy="209550"/>
    <xdr:grpSp>
      <xdr:nvGrpSpPr>
        <xdr:cNvPr id="30" name="Shape 2">
          <a:extLst>
            <a:ext uri="{FF2B5EF4-FFF2-40B4-BE49-F238E27FC236}">
              <a16:creationId xmlns:a16="http://schemas.microsoft.com/office/drawing/2014/main" id="{00000000-0008-0000-0800-00001E000000}"/>
            </a:ext>
          </a:extLst>
        </xdr:cNvPr>
        <xdr:cNvGrpSpPr/>
      </xdr:nvGrpSpPr>
      <xdr:grpSpPr>
        <a:xfrm>
          <a:off x="6457950" y="2940050"/>
          <a:ext cx="1352550" cy="209550"/>
          <a:chOff x="4669725" y="3675225"/>
          <a:chExt cx="1352886" cy="209906"/>
        </a:xfrm>
      </xdr:grpSpPr>
      <xdr:grpSp>
        <xdr:nvGrpSpPr>
          <xdr:cNvPr id="31" name="Shape 22">
            <a:extLst>
              <a:ext uri="{FF2B5EF4-FFF2-40B4-BE49-F238E27FC236}">
                <a16:creationId xmlns:a16="http://schemas.microsoft.com/office/drawing/2014/main" id="{00000000-0008-0000-0800-00001F000000}"/>
              </a:ext>
            </a:extLst>
          </xdr:cNvPr>
          <xdr:cNvGrpSpPr/>
        </xdr:nvGrpSpPr>
        <xdr:grpSpPr>
          <a:xfrm>
            <a:off x="4669725" y="3675225"/>
            <a:ext cx="1352886" cy="209906"/>
            <a:chOff x="6009480" y="2881800"/>
            <a:chExt cx="1449720" cy="212040"/>
          </a:xfrm>
        </xdr:grpSpPr>
        <xdr:sp macro="" textlink="">
          <xdr:nvSpPr>
            <xdr:cNvPr id="32" name="Shape 5">
              <a:extLst>
                <a:ext uri="{FF2B5EF4-FFF2-40B4-BE49-F238E27FC236}">
                  <a16:creationId xmlns:a16="http://schemas.microsoft.com/office/drawing/2014/main" id="{00000000-0008-0000-0800-000020000000}"/>
                </a:ext>
              </a:extLst>
            </xdr:cNvPr>
            <xdr:cNvSpPr/>
          </xdr:nvSpPr>
          <xdr:spPr>
            <a:xfrm>
              <a:off x="6009480" y="2881800"/>
              <a:ext cx="1449350" cy="21167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cxnSp macro="">
          <xdr:nvCxnSpPr>
            <xdr:cNvPr id="33" name="Shape 23">
              <a:extLst>
                <a:ext uri="{FF2B5EF4-FFF2-40B4-BE49-F238E27FC236}">
                  <a16:creationId xmlns:a16="http://schemas.microsoft.com/office/drawing/2014/main" id="{00000000-0008-0000-0800-000021000000}"/>
                </a:ext>
              </a:extLst>
            </xdr:cNvPr>
            <xdr:cNvCxnSpPr/>
          </xdr:nvCxnSpPr>
          <xdr:spPr>
            <a:xfrm rot="10800000" flipH="1">
              <a:off x="6009480" y="2881800"/>
              <a:ext cx="1449720" cy="212040"/>
            </a:xfrm>
            <a:prstGeom prst="bentConnector3">
              <a:avLst>
                <a:gd name="adj1" fmla="val 53579"/>
              </a:avLst>
            </a:prstGeom>
            <a:noFill/>
            <a:ln w="9525" cap="flat" cmpd="sng">
              <a:solidFill>
                <a:srgbClr val="4472C4"/>
              </a:solidFill>
              <a:prstDash val="solid"/>
              <a:miter lim="8000"/>
              <a:headEnd type="none" w="sm" len="sm"/>
              <a:tailEnd type="triangle" w="med" len="med"/>
            </a:ln>
          </xdr:spPr>
        </xdr:cxnSp>
      </xdr:grpSp>
    </xdr:grpSp>
    <xdr:clientData fLocksWithSheet="0"/>
  </xdr:oneCellAnchor>
  <xdr:oneCellAnchor>
    <xdr:from>
      <xdr:col>6</xdr:col>
      <xdr:colOff>0</xdr:colOff>
      <xdr:row>26</xdr:row>
      <xdr:rowOff>66675</xdr:rowOff>
    </xdr:from>
    <xdr:ext cx="1190625" cy="38100"/>
    <xdr:grpSp>
      <xdr:nvGrpSpPr>
        <xdr:cNvPr id="34" name="Shape 2">
          <a:extLst>
            <a:ext uri="{FF2B5EF4-FFF2-40B4-BE49-F238E27FC236}">
              <a16:creationId xmlns:a16="http://schemas.microsoft.com/office/drawing/2014/main" id="{00000000-0008-0000-0800-000022000000}"/>
            </a:ext>
          </a:extLst>
        </xdr:cNvPr>
        <xdr:cNvGrpSpPr/>
      </xdr:nvGrpSpPr>
      <xdr:grpSpPr>
        <a:xfrm>
          <a:off x="5257800" y="5083175"/>
          <a:ext cx="1190625" cy="38100"/>
          <a:chOff x="4750688" y="3760950"/>
          <a:chExt cx="1190971" cy="38443"/>
        </a:xfrm>
      </xdr:grpSpPr>
      <xdr:grpSp>
        <xdr:nvGrpSpPr>
          <xdr:cNvPr id="35" name="Shape 24">
            <a:extLst>
              <a:ext uri="{FF2B5EF4-FFF2-40B4-BE49-F238E27FC236}">
                <a16:creationId xmlns:a16="http://schemas.microsoft.com/office/drawing/2014/main" id="{00000000-0008-0000-0800-000023000000}"/>
              </a:ext>
            </a:extLst>
          </xdr:cNvPr>
          <xdr:cNvGrpSpPr/>
        </xdr:nvGrpSpPr>
        <xdr:grpSpPr>
          <a:xfrm>
            <a:off x="4750688" y="3760950"/>
            <a:ext cx="1190971" cy="38443"/>
            <a:chOff x="4865400" y="5051880"/>
            <a:chExt cx="1240200" cy="40320"/>
          </a:xfrm>
        </xdr:grpSpPr>
        <xdr:sp macro="" textlink="">
          <xdr:nvSpPr>
            <xdr:cNvPr id="36" name="Shape 5">
              <a:extLst>
                <a:ext uri="{FF2B5EF4-FFF2-40B4-BE49-F238E27FC236}">
                  <a16:creationId xmlns:a16="http://schemas.microsoft.com/office/drawing/2014/main" id="{00000000-0008-0000-0800-000024000000}"/>
                </a:ext>
              </a:extLst>
            </xdr:cNvPr>
            <xdr:cNvSpPr/>
          </xdr:nvSpPr>
          <xdr:spPr>
            <a:xfrm>
              <a:off x="4865400" y="5051880"/>
              <a:ext cx="1239825" cy="399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cxnSp macro="">
          <xdr:nvCxnSpPr>
            <xdr:cNvPr id="37" name="Shape 25">
              <a:extLst>
                <a:ext uri="{FF2B5EF4-FFF2-40B4-BE49-F238E27FC236}">
                  <a16:creationId xmlns:a16="http://schemas.microsoft.com/office/drawing/2014/main" id="{00000000-0008-0000-0800-000025000000}"/>
                </a:ext>
              </a:extLst>
            </xdr:cNvPr>
            <xdr:cNvCxnSpPr/>
          </xdr:nvCxnSpPr>
          <xdr:spPr>
            <a:xfrm>
              <a:off x="4865400" y="5051880"/>
              <a:ext cx="1240200" cy="40320"/>
            </a:xfrm>
            <a:prstGeom prst="bentConnector3">
              <a:avLst>
                <a:gd name="adj1" fmla="val 52067"/>
              </a:avLst>
            </a:prstGeom>
            <a:noFill/>
            <a:ln w="9525" cap="flat" cmpd="sng">
              <a:solidFill>
                <a:srgbClr val="4472C4"/>
              </a:solidFill>
              <a:prstDash val="solid"/>
              <a:miter lim="8000"/>
              <a:headEnd type="none" w="sm" len="sm"/>
              <a:tailEnd type="triangle" w="med" len="med"/>
            </a:ln>
          </xdr:spPr>
        </xdr:cxnSp>
      </xdr:grpSp>
    </xdr:grpSp>
    <xdr:clientData fLocksWithSheet="0"/>
  </xdr:oneCellAnchor>
  <xdr:oneCellAnchor>
    <xdr:from>
      <xdr:col>6</xdr:col>
      <xdr:colOff>47625</xdr:colOff>
      <xdr:row>23</xdr:row>
      <xdr:rowOff>19050</xdr:rowOff>
    </xdr:from>
    <xdr:ext cx="1181100" cy="733425"/>
    <xdr:sp macro="" textlink="">
      <xdr:nvSpPr>
        <xdr:cNvPr id="38" name="Shape 26">
          <a:extLst>
            <a:ext uri="{FF2B5EF4-FFF2-40B4-BE49-F238E27FC236}">
              <a16:creationId xmlns:a16="http://schemas.microsoft.com/office/drawing/2014/main" id="{00000000-0008-0000-0800-000026000000}"/>
            </a:ext>
          </a:extLst>
        </xdr:cNvPr>
        <xdr:cNvSpPr/>
      </xdr:nvSpPr>
      <xdr:spPr>
        <a:xfrm>
          <a:off x="4760213" y="3418050"/>
          <a:ext cx="1171575" cy="723900"/>
        </a:xfrm>
        <a:prstGeom prst="rect">
          <a:avLst/>
        </a:prstGeom>
        <a:noFill/>
        <a:ln>
          <a:noFill/>
        </a:ln>
      </xdr:spPr>
      <xdr:txBody>
        <a:bodyPr spcFirstLastPara="1" wrap="square" lIns="90000" tIns="45000" rIns="90000" bIns="45000" anchor="t" anchorCtr="0">
          <a:noAutofit/>
        </a:bodyPr>
        <a:lstStyle/>
        <a:p>
          <a:pPr marL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</a:pPr>
          <a:r>
            <a:rPr lang="en-US" sz="1100" b="0" strike="noStrike">
              <a:latin typeface="Calibri"/>
              <a:ea typeface="Calibri"/>
              <a:cs typeface="Calibri"/>
              <a:sym typeface="Calibri"/>
            </a:rPr>
            <a:t>Transporte a Rechazo</a:t>
          </a:r>
          <a:endParaRPr sz="1100" b="0" strike="noStrike">
            <a:latin typeface="Times New Roman"/>
            <a:ea typeface="Times New Roman"/>
            <a:cs typeface="Times New Roman"/>
            <a:sym typeface="Times New Roman"/>
          </a:endParaRPr>
        </a:p>
        <a:p>
          <a:pPr marL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</a:pPr>
          <a:endParaRPr sz="1100" b="0" strike="noStrike">
            <a:latin typeface="Times New Roman"/>
            <a:ea typeface="Times New Roman"/>
            <a:cs typeface="Times New Roman"/>
            <a:sym typeface="Times New Roman"/>
          </a:endParaRPr>
        </a:p>
      </xdr:txBody>
    </xdr:sp>
    <xdr:clientData fLocksWithSheet="0"/>
  </xdr:oneCellAnchor>
  <xdr:oneCellAnchor>
    <xdr:from>
      <xdr:col>10</xdr:col>
      <xdr:colOff>161925</xdr:colOff>
      <xdr:row>3</xdr:row>
      <xdr:rowOff>152400</xdr:rowOff>
    </xdr:from>
    <xdr:ext cx="1047750" cy="771525"/>
    <xdr:sp macro="" textlink="">
      <xdr:nvSpPr>
        <xdr:cNvPr id="39" name="Shape 27">
          <a:extLst>
            <a:ext uri="{FF2B5EF4-FFF2-40B4-BE49-F238E27FC236}">
              <a16:creationId xmlns:a16="http://schemas.microsoft.com/office/drawing/2014/main" id="{00000000-0008-0000-0800-000027000000}"/>
            </a:ext>
          </a:extLst>
        </xdr:cNvPr>
        <xdr:cNvSpPr/>
      </xdr:nvSpPr>
      <xdr:spPr>
        <a:xfrm>
          <a:off x="4826888" y="3399000"/>
          <a:ext cx="1038225" cy="76200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spcFirstLastPara="1" wrap="square" lIns="90000" tIns="45000" rIns="90000" bIns="45000" anchor="t" anchorCtr="0">
          <a:noAutofit/>
        </a:bodyPr>
        <a:lstStyle/>
        <a:p>
          <a:pPr marL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</a:pPr>
          <a:r>
            <a:rPr lang="en-US" sz="1100" b="0" strike="noStrike">
              <a:latin typeface="Calibri"/>
              <a:ea typeface="Calibri"/>
              <a:cs typeface="Calibri"/>
              <a:sym typeface="Calibri"/>
            </a:rPr>
            <a:t>Transporte a Romeral</a:t>
          </a:r>
          <a:endParaRPr sz="1100" b="0" strike="noStrike">
            <a:latin typeface="Times New Roman"/>
            <a:ea typeface="Times New Roman"/>
            <a:cs typeface="Times New Roman"/>
            <a:sym typeface="Times New Roman"/>
          </a:endParaRPr>
        </a:p>
      </xdr:txBody>
    </xdr:sp>
    <xdr:clientData fLocksWithSheet="0"/>
  </xdr:oneCellAnchor>
  <xdr:oneCellAnchor>
    <xdr:from>
      <xdr:col>7</xdr:col>
      <xdr:colOff>209550</xdr:colOff>
      <xdr:row>5</xdr:row>
      <xdr:rowOff>104775</xdr:rowOff>
    </xdr:from>
    <xdr:ext cx="981075" cy="771525"/>
    <xdr:grpSp>
      <xdr:nvGrpSpPr>
        <xdr:cNvPr id="40" name="Shape 2">
          <a:extLst>
            <a:ext uri="{FF2B5EF4-FFF2-40B4-BE49-F238E27FC236}">
              <a16:creationId xmlns:a16="http://schemas.microsoft.com/office/drawing/2014/main" id="{00000000-0008-0000-0800-000028000000}"/>
            </a:ext>
          </a:extLst>
        </xdr:cNvPr>
        <xdr:cNvGrpSpPr/>
      </xdr:nvGrpSpPr>
      <xdr:grpSpPr>
        <a:xfrm>
          <a:off x="6343650" y="1057275"/>
          <a:ext cx="981075" cy="771525"/>
          <a:chOff x="4855463" y="3394238"/>
          <a:chExt cx="981418" cy="771913"/>
        </a:xfrm>
      </xdr:grpSpPr>
      <xdr:grpSp>
        <xdr:nvGrpSpPr>
          <xdr:cNvPr id="41" name="Shape 28">
            <a:extLst>
              <a:ext uri="{FF2B5EF4-FFF2-40B4-BE49-F238E27FC236}">
                <a16:creationId xmlns:a16="http://schemas.microsoft.com/office/drawing/2014/main" id="{00000000-0008-0000-0800-000029000000}"/>
              </a:ext>
            </a:extLst>
          </xdr:cNvPr>
          <xdr:cNvGrpSpPr/>
        </xdr:nvGrpSpPr>
        <xdr:grpSpPr>
          <a:xfrm>
            <a:off x="4855463" y="3394238"/>
            <a:ext cx="981418" cy="771913"/>
            <a:chOff x="5895000" y="1051560"/>
            <a:chExt cx="1031040" cy="716400"/>
          </a:xfrm>
        </xdr:grpSpPr>
        <xdr:sp macro="" textlink="">
          <xdr:nvSpPr>
            <xdr:cNvPr id="42" name="Shape 5">
              <a:extLst>
                <a:ext uri="{FF2B5EF4-FFF2-40B4-BE49-F238E27FC236}">
                  <a16:creationId xmlns:a16="http://schemas.microsoft.com/office/drawing/2014/main" id="{00000000-0008-0000-0800-00002A000000}"/>
                </a:ext>
              </a:extLst>
            </xdr:cNvPr>
            <xdr:cNvSpPr/>
          </xdr:nvSpPr>
          <xdr:spPr>
            <a:xfrm>
              <a:off x="5895000" y="1051560"/>
              <a:ext cx="1030675" cy="7160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cxnSp macro="">
          <xdr:nvCxnSpPr>
            <xdr:cNvPr id="43" name="Shape 29">
              <a:extLst>
                <a:ext uri="{FF2B5EF4-FFF2-40B4-BE49-F238E27FC236}">
                  <a16:creationId xmlns:a16="http://schemas.microsoft.com/office/drawing/2014/main" id="{00000000-0008-0000-0800-00002B000000}"/>
                </a:ext>
              </a:extLst>
            </xdr:cNvPr>
            <xdr:cNvCxnSpPr/>
          </xdr:nvCxnSpPr>
          <xdr:spPr>
            <a:xfrm>
              <a:off x="5895000" y="1051560"/>
              <a:ext cx="1031040" cy="716400"/>
            </a:xfrm>
            <a:prstGeom prst="bentConnector3">
              <a:avLst>
                <a:gd name="adj1" fmla="val 52546"/>
              </a:avLst>
            </a:prstGeom>
            <a:noFill/>
            <a:ln w="9525" cap="flat" cmpd="sng">
              <a:solidFill>
                <a:srgbClr val="4472C4"/>
              </a:solidFill>
              <a:prstDash val="solid"/>
              <a:miter lim="8000"/>
              <a:headEnd type="none" w="sm" len="sm"/>
              <a:tailEnd type="triangle" w="med" len="med"/>
            </a:ln>
          </xdr:spPr>
        </xdr:cxnSp>
      </xdr:grpSp>
    </xdr:grpSp>
    <xdr:clientData fLocksWithSheet="0"/>
  </xdr:oneCellAnchor>
  <xdr:oneCellAnchor>
    <xdr:from>
      <xdr:col>10</xdr:col>
      <xdr:colOff>295275</xdr:colOff>
      <xdr:row>7</xdr:row>
      <xdr:rowOff>152400</xdr:rowOff>
    </xdr:from>
    <xdr:ext cx="1038225" cy="561975"/>
    <xdr:sp macro="" textlink="">
      <xdr:nvSpPr>
        <xdr:cNvPr id="44" name="Shape 30">
          <a:extLst>
            <a:ext uri="{FF2B5EF4-FFF2-40B4-BE49-F238E27FC236}">
              <a16:creationId xmlns:a16="http://schemas.microsoft.com/office/drawing/2014/main" id="{00000000-0008-0000-0800-00002C000000}"/>
            </a:ext>
          </a:extLst>
        </xdr:cNvPr>
        <xdr:cNvSpPr/>
      </xdr:nvSpPr>
      <xdr:spPr>
        <a:xfrm>
          <a:off x="4831650" y="3503775"/>
          <a:ext cx="1028700" cy="55245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spcFirstLastPara="1" wrap="square" lIns="90000" tIns="45000" rIns="90000" bIns="45000" anchor="t" anchorCtr="0">
          <a:noAutofit/>
        </a:bodyPr>
        <a:lstStyle/>
        <a:p>
          <a:pPr marL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</a:pPr>
          <a:r>
            <a:rPr lang="en-US" sz="1100" b="0" strike="noStrike">
              <a:latin typeface="Calibri"/>
              <a:ea typeface="Calibri"/>
              <a:cs typeface="Calibri"/>
              <a:sym typeface="Calibri"/>
            </a:rPr>
            <a:t>Transporte a Puerto</a:t>
          </a:r>
          <a:endParaRPr sz="1100" b="0" strike="noStrike">
            <a:latin typeface="Times New Roman"/>
            <a:ea typeface="Times New Roman"/>
            <a:cs typeface="Times New Roman"/>
            <a:sym typeface="Times New Roman"/>
          </a:endParaRPr>
        </a:p>
      </xdr:txBody>
    </xdr:sp>
    <xdr:clientData fLocksWithSheet="0"/>
  </xdr:oneCellAnchor>
  <xdr:oneCellAnchor>
    <xdr:from>
      <xdr:col>7</xdr:col>
      <xdr:colOff>457200</xdr:colOff>
      <xdr:row>16</xdr:row>
      <xdr:rowOff>133350</xdr:rowOff>
    </xdr:from>
    <xdr:ext cx="1133475" cy="666750"/>
    <xdr:grpSp>
      <xdr:nvGrpSpPr>
        <xdr:cNvPr id="45" name="Shape 2">
          <a:extLst>
            <a:ext uri="{FF2B5EF4-FFF2-40B4-BE49-F238E27FC236}">
              <a16:creationId xmlns:a16="http://schemas.microsoft.com/office/drawing/2014/main" id="{00000000-0008-0000-0800-00002D000000}"/>
            </a:ext>
          </a:extLst>
        </xdr:cNvPr>
        <xdr:cNvGrpSpPr/>
      </xdr:nvGrpSpPr>
      <xdr:grpSpPr>
        <a:xfrm>
          <a:off x="6591300" y="3244850"/>
          <a:ext cx="1133475" cy="666750"/>
          <a:chOff x="4779263" y="3446625"/>
          <a:chExt cx="1133807" cy="667149"/>
        </a:xfrm>
      </xdr:grpSpPr>
      <xdr:grpSp>
        <xdr:nvGrpSpPr>
          <xdr:cNvPr id="46" name="Shape 31">
            <a:extLst>
              <a:ext uri="{FF2B5EF4-FFF2-40B4-BE49-F238E27FC236}">
                <a16:creationId xmlns:a16="http://schemas.microsoft.com/office/drawing/2014/main" id="{00000000-0008-0000-0800-00002E000000}"/>
              </a:ext>
            </a:extLst>
          </xdr:cNvPr>
          <xdr:cNvGrpSpPr/>
        </xdr:nvGrpSpPr>
        <xdr:grpSpPr>
          <a:xfrm>
            <a:off x="4779263" y="3446625"/>
            <a:ext cx="1133807" cy="667149"/>
            <a:chOff x="6133320" y="3186720"/>
            <a:chExt cx="1230840" cy="602280"/>
          </a:xfrm>
        </xdr:grpSpPr>
        <xdr:sp macro="" textlink="">
          <xdr:nvSpPr>
            <xdr:cNvPr id="47" name="Shape 5">
              <a:extLst>
                <a:ext uri="{FF2B5EF4-FFF2-40B4-BE49-F238E27FC236}">
                  <a16:creationId xmlns:a16="http://schemas.microsoft.com/office/drawing/2014/main" id="{00000000-0008-0000-0800-00002F000000}"/>
                </a:ext>
              </a:extLst>
            </xdr:cNvPr>
            <xdr:cNvSpPr/>
          </xdr:nvSpPr>
          <xdr:spPr>
            <a:xfrm>
              <a:off x="6133320" y="3186720"/>
              <a:ext cx="1230475" cy="60190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cxnSp macro="">
          <xdr:nvCxnSpPr>
            <xdr:cNvPr id="48" name="Shape 32">
              <a:extLst>
                <a:ext uri="{FF2B5EF4-FFF2-40B4-BE49-F238E27FC236}">
                  <a16:creationId xmlns:a16="http://schemas.microsoft.com/office/drawing/2014/main" id="{00000000-0008-0000-0800-000030000000}"/>
                </a:ext>
              </a:extLst>
            </xdr:cNvPr>
            <xdr:cNvCxnSpPr/>
          </xdr:nvCxnSpPr>
          <xdr:spPr>
            <a:xfrm>
              <a:off x="6133320" y="3186720"/>
              <a:ext cx="1230840" cy="602280"/>
            </a:xfrm>
            <a:prstGeom prst="bentConnector3">
              <a:avLst>
                <a:gd name="adj1" fmla="val 54279"/>
              </a:avLst>
            </a:prstGeom>
            <a:noFill/>
            <a:ln w="9525" cap="flat" cmpd="sng">
              <a:solidFill>
                <a:srgbClr val="4472C4"/>
              </a:solidFill>
              <a:prstDash val="solid"/>
              <a:miter lim="8000"/>
              <a:headEnd type="none" w="sm" len="sm"/>
              <a:tailEnd type="triangle" w="med" len="med"/>
            </a:ln>
          </xdr:spPr>
        </xdr:cxnSp>
      </xdr:grpSp>
    </xdr:grpSp>
    <xdr:clientData fLocksWithSheet="0"/>
  </xdr:oneCellAnchor>
  <xdr:oneCellAnchor>
    <xdr:from>
      <xdr:col>7</xdr:col>
      <xdr:colOff>742950</xdr:colOff>
      <xdr:row>19</xdr:row>
      <xdr:rowOff>76200</xdr:rowOff>
    </xdr:from>
    <xdr:ext cx="866775" cy="542925"/>
    <xdr:sp macro="" textlink="">
      <xdr:nvSpPr>
        <xdr:cNvPr id="49" name="Shape 33">
          <a:extLst>
            <a:ext uri="{FF2B5EF4-FFF2-40B4-BE49-F238E27FC236}">
              <a16:creationId xmlns:a16="http://schemas.microsoft.com/office/drawing/2014/main" id="{00000000-0008-0000-0800-000031000000}"/>
            </a:ext>
          </a:extLst>
        </xdr:cNvPr>
        <xdr:cNvSpPr/>
      </xdr:nvSpPr>
      <xdr:spPr>
        <a:xfrm>
          <a:off x="4917375" y="3513300"/>
          <a:ext cx="857250" cy="533400"/>
        </a:xfrm>
        <a:prstGeom prst="rect">
          <a:avLst/>
        </a:prstGeom>
        <a:noFill/>
        <a:ln>
          <a:noFill/>
        </a:ln>
      </xdr:spPr>
      <xdr:txBody>
        <a:bodyPr spcFirstLastPara="1" wrap="square" lIns="90000" tIns="45000" rIns="90000" bIns="45000" anchor="t" anchorCtr="0">
          <a:noAutofit/>
        </a:bodyPr>
        <a:lstStyle/>
        <a:p>
          <a:pPr marL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</a:pPr>
          <a:r>
            <a:rPr lang="en-US" sz="1100" b="0" strike="noStrike">
              <a:latin typeface="Calibri"/>
              <a:ea typeface="Calibri"/>
              <a:cs typeface="Calibri"/>
              <a:sym typeface="Calibri"/>
            </a:rPr>
            <a:t>Transporte a Puerto</a:t>
          </a:r>
          <a:endParaRPr sz="1100" b="0" strike="noStrike">
            <a:latin typeface="Times New Roman"/>
            <a:ea typeface="Times New Roman"/>
            <a:cs typeface="Times New Roman"/>
            <a:sym typeface="Times New Roman"/>
          </a:endParaRPr>
        </a:p>
      </xdr:txBody>
    </xdr:sp>
    <xdr:clientData fLocksWithSheet="0"/>
  </xdr:oneCellAnchor>
  <xdr:oneCellAnchor>
    <xdr:from>
      <xdr:col>7</xdr:col>
      <xdr:colOff>295275</xdr:colOff>
      <xdr:row>13</xdr:row>
      <xdr:rowOff>0</xdr:rowOff>
    </xdr:from>
    <xdr:ext cx="1428750" cy="285750"/>
    <xdr:sp macro="" textlink="">
      <xdr:nvSpPr>
        <xdr:cNvPr id="50" name="Shape 34">
          <a:extLst>
            <a:ext uri="{FF2B5EF4-FFF2-40B4-BE49-F238E27FC236}">
              <a16:creationId xmlns:a16="http://schemas.microsoft.com/office/drawing/2014/main" id="{00000000-0008-0000-0800-000032000000}"/>
            </a:ext>
          </a:extLst>
        </xdr:cNvPr>
        <xdr:cNvSpPr/>
      </xdr:nvSpPr>
      <xdr:spPr>
        <a:xfrm>
          <a:off x="4636388" y="3641888"/>
          <a:ext cx="1419225" cy="276225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spcFirstLastPara="1" wrap="square" lIns="90000" tIns="45000" rIns="90000" bIns="45000" anchor="t" anchorCtr="0">
          <a:noAutofit/>
        </a:bodyPr>
        <a:lstStyle/>
        <a:p>
          <a:pPr marL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</a:pPr>
          <a:r>
            <a:rPr lang="en-US" sz="1100" b="0" strike="noStrike">
              <a:latin typeface="Calibri"/>
              <a:ea typeface="Calibri"/>
              <a:cs typeface="Calibri"/>
              <a:sym typeface="Calibri"/>
            </a:rPr>
            <a:t>Transporte a Romeral</a:t>
          </a:r>
          <a:endParaRPr sz="1100" b="0" strike="noStrike">
            <a:latin typeface="Times New Roman"/>
            <a:ea typeface="Times New Roman"/>
            <a:cs typeface="Times New Roman"/>
            <a:sym typeface="Times New Roman"/>
          </a:endParaRPr>
        </a:p>
      </xdr:txBody>
    </xdr:sp>
    <xdr:clientData fLocksWithSheet="0"/>
  </xdr:oneCellAnchor>
  <xdr:oneCellAnchor>
    <xdr:from>
      <xdr:col>1</xdr:col>
      <xdr:colOff>390525</xdr:colOff>
      <xdr:row>19</xdr:row>
      <xdr:rowOff>161925</xdr:rowOff>
    </xdr:from>
    <xdr:ext cx="5181600" cy="1323975"/>
    <xdr:grpSp>
      <xdr:nvGrpSpPr>
        <xdr:cNvPr id="51" name="Shape 2">
          <a:extLst>
            <a:ext uri="{FF2B5EF4-FFF2-40B4-BE49-F238E27FC236}">
              <a16:creationId xmlns:a16="http://schemas.microsoft.com/office/drawing/2014/main" id="{00000000-0008-0000-0800-000033000000}"/>
            </a:ext>
          </a:extLst>
        </xdr:cNvPr>
        <xdr:cNvGrpSpPr/>
      </xdr:nvGrpSpPr>
      <xdr:grpSpPr>
        <a:xfrm>
          <a:off x="1266825" y="3844925"/>
          <a:ext cx="5181600" cy="1323975"/>
          <a:chOff x="2755200" y="3118013"/>
          <a:chExt cx="5181938" cy="1324340"/>
        </a:xfrm>
      </xdr:grpSpPr>
      <xdr:grpSp>
        <xdr:nvGrpSpPr>
          <xdr:cNvPr id="52" name="Shape 35">
            <a:extLst>
              <a:ext uri="{FF2B5EF4-FFF2-40B4-BE49-F238E27FC236}">
                <a16:creationId xmlns:a16="http://schemas.microsoft.com/office/drawing/2014/main" id="{00000000-0008-0000-0800-000034000000}"/>
              </a:ext>
            </a:extLst>
          </xdr:cNvPr>
          <xdr:cNvGrpSpPr/>
        </xdr:nvGrpSpPr>
        <xdr:grpSpPr>
          <a:xfrm>
            <a:off x="2755200" y="3118013"/>
            <a:ext cx="5181938" cy="1324340"/>
            <a:chOff x="1204920" y="3747240"/>
            <a:chExt cx="5517360" cy="1307160"/>
          </a:xfrm>
        </xdr:grpSpPr>
        <xdr:sp macro="" textlink="">
          <xdr:nvSpPr>
            <xdr:cNvPr id="53" name="Shape 5">
              <a:extLst>
                <a:ext uri="{FF2B5EF4-FFF2-40B4-BE49-F238E27FC236}">
                  <a16:creationId xmlns:a16="http://schemas.microsoft.com/office/drawing/2014/main" id="{00000000-0008-0000-0800-000035000000}"/>
                </a:ext>
              </a:extLst>
            </xdr:cNvPr>
            <xdr:cNvSpPr/>
          </xdr:nvSpPr>
          <xdr:spPr>
            <a:xfrm>
              <a:off x="1204920" y="3747240"/>
              <a:ext cx="5517000" cy="130680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cxnSp macro="">
          <xdr:nvCxnSpPr>
            <xdr:cNvPr id="54" name="Shape 36">
              <a:extLst>
                <a:ext uri="{FF2B5EF4-FFF2-40B4-BE49-F238E27FC236}">
                  <a16:creationId xmlns:a16="http://schemas.microsoft.com/office/drawing/2014/main" id="{00000000-0008-0000-0800-000036000000}"/>
                </a:ext>
              </a:extLst>
            </xdr:cNvPr>
            <xdr:cNvCxnSpPr/>
          </xdr:nvCxnSpPr>
          <xdr:spPr>
            <a:xfrm>
              <a:off x="1204920" y="3747240"/>
              <a:ext cx="5517360" cy="1307160"/>
            </a:xfrm>
            <a:prstGeom prst="bentConnector3">
              <a:avLst>
                <a:gd name="adj1" fmla="val 53240"/>
              </a:avLst>
            </a:prstGeom>
            <a:noFill/>
            <a:ln w="9525" cap="flat" cmpd="sng">
              <a:solidFill>
                <a:srgbClr val="4472C4"/>
              </a:solidFill>
              <a:prstDash val="solid"/>
              <a:miter lim="8000"/>
              <a:headEnd type="none" w="sm" len="sm"/>
              <a:tailEnd type="triangle" w="med" len="med"/>
            </a:ln>
          </xdr:spPr>
        </xdr:cxnSp>
      </xdr:grpSp>
    </xdr:grpSp>
    <xdr:clientData fLocksWithSheet="0"/>
  </xdr:oneCellAnchor>
  <xdr:oneCellAnchor>
    <xdr:from>
      <xdr:col>5</xdr:col>
      <xdr:colOff>485775</xdr:colOff>
      <xdr:row>35</xdr:row>
      <xdr:rowOff>114300</xdr:rowOff>
    </xdr:from>
    <xdr:ext cx="371475" cy="428625"/>
    <xdr:sp macro="" textlink="">
      <xdr:nvSpPr>
        <xdr:cNvPr id="55" name="Shape 8">
          <a:extLst>
            <a:ext uri="{FF2B5EF4-FFF2-40B4-BE49-F238E27FC236}">
              <a16:creationId xmlns:a16="http://schemas.microsoft.com/office/drawing/2014/main" id="{00000000-0008-0000-0800-000037000000}"/>
            </a:ext>
          </a:extLst>
        </xdr:cNvPr>
        <xdr:cNvSpPr/>
      </xdr:nvSpPr>
      <xdr:spPr>
        <a:xfrm>
          <a:off x="5165025" y="3575213"/>
          <a:ext cx="361950" cy="409575"/>
        </a:xfrm>
        <a:prstGeom prst="triangle">
          <a:avLst>
            <a:gd name="adj" fmla="val 50000"/>
          </a:avLst>
        </a:prstGeom>
        <a:solidFill>
          <a:srgbClr val="FFFFFF"/>
        </a:solidFill>
        <a:ln w="12700" cap="flat" cmpd="sng">
          <a:solidFill>
            <a:srgbClr val="31538F"/>
          </a:solidFill>
          <a:prstDash val="solid"/>
          <a:miter lim="8000"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47625</xdr:colOff>
      <xdr:row>24</xdr:row>
      <xdr:rowOff>123825</xdr:rowOff>
    </xdr:from>
    <xdr:ext cx="1371600" cy="323850"/>
    <xdr:sp macro="" textlink="">
      <xdr:nvSpPr>
        <xdr:cNvPr id="56" name="Shape 37">
          <a:extLst>
            <a:ext uri="{FF2B5EF4-FFF2-40B4-BE49-F238E27FC236}">
              <a16:creationId xmlns:a16="http://schemas.microsoft.com/office/drawing/2014/main" id="{00000000-0008-0000-0800-000038000000}"/>
            </a:ext>
          </a:extLst>
        </xdr:cNvPr>
        <xdr:cNvSpPr/>
      </xdr:nvSpPr>
      <xdr:spPr>
        <a:xfrm>
          <a:off x="4664963" y="3622838"/>
          <a:ext cx="1362075" cy="314325"/>
        </a:xfrm>
        <a:prstGeom prst="rect">
          <a:avLst/>
        </a:prstGeom>
        <a:noFill/>
        <a:ln>
          <a:noFill/>
        </a:ln>
      </xdr:spPr>
      <xdr:txBody>
        <a:bodyPr spcFirstLastPara="1" wrap="square" lIns="90000" tIns="45000" rIns="90000" bIns="45000" anchor="t" anchorCtr="0">
          <a:noAutofit/>
        </a:bodyPr>
        <a:lstStyle/>
        <a:p>
          <a:pPr marL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</a:pPr>
          <a:r>
            <a:rPr lang="en-US" sz="1100" b="0" strike="noStrike">
              <a:latin typeface="Calibri"/>
              <a:ea typeface="Calibri"/>
              <a:cs typeface="Calibri"/>
              <a:sym typeface="Calibri"/>
            </a:rPr>
            <a:t>Stock Prec. Mixto 1</a:t>
          </a:r>
          <a:endParaRPr sz="1100" b="0" strike="noStrike">
            <a:latin typeface="Times New Roman"/>
            <a:ea typeface="Times New Roman"/>
            <a:cs typeface="Times New Roman"/>
            <a:sym typeface="Times New Roman"/>
          </a:endParaRPr>
        </a:p>
        <a:p>
          <a:pPr marL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</a:pPr>
          <a:endParaRPr sz="1100" b="0" strike="noStrike">
            <a:latin typeface="Times New Roman"/>
            <a:ea typeface="Times New Roman"/>
            <a:cs typeface="Times New Roman"/>
            <a:sym typeface="Times New Roman"/>
          </a:endParaRPr>
        </a:p>
      </xdr:txBody>
    </xdr:sp>
    <xdr:clientData fLocksWithSheet="0"/>
  </xdr:oneCellAnchor>
  <xdr:oneCellAnchor>
    <xdr:from>
      <xdr:col>6</xdr:col>
      <xdr:colOff>28575</xdr:colOff>
      <xdr:row>36</xdr:row>
      <xdr:rowOff>104775</xdr:rowOff>
    </xdr:from>
    <xdr:ext cx="1076325" cy="38100"/>
    <xdr:grpSp>
      <xdr:nvGrpSpPr>
        <xdr:cNvPr id="57" name="Shape 2">
          <a:extLst>
            <a:ext uri="{FF2B5EF4-FFF2-40B4-BE49-F238E27FC236}">
              <a16:creationId xmlns:a16="http://schemas.microsoft.com/office/drawing/2014/main" id="{00000000-0008-0000-0800-000039000000}"/>
            </a:ext>
          </a:extLst>
        </xdr:cNvPr>
        <xdr:cNvGrpSpPr/>
      </xdr:nvGrpSpPr>
      <xdr:grpSpPr>
        <a:xfrm>
          <a:off x="5286375" y="7026275"/>
          <a:ext cx="1076325" cy="38100"/>
          <a:chOff x="4807838" y="3760950"/>
          <a:chExt cx="1076669" cy="38443"/>
        </a:xfrm>
      </xdr:grpSpPr>
      <xdr:grpSp>
        <xdr:nvGrpSpPr>
          <xdr:cNvPr id="58" name="Shape 38">
            <a:extLst>
              <a:ext uri="{FF2B5EF4-FFF2-40B4-BE49-F238E27FC236}">
                <a16:creationId xmlns:a16="http://schemas.microsoft.com/office/drawing/2014/main" id="{00000000-0008-0000-0800-00003A000000}"/>
              </a:ext>
            </a:extLst>
          </xdr:cNvPr>
          <xdr:cNvGrpSpPr/>
        </xdr:nvGrpSpPr>
        <xdr:grpSpPr>
          <a:xfrm>
            <a:off x="4807838" y="3760950"/>
            <a:ext cx="1076669" cy="38443"/>
            <a:chOff x="4903200" y="7090200"/>
            <a:chExt cx="1126080" cy="40320"/>
          </a:xfrm>
        </xdr:grpSpPr>
        <xdr:sp macro="" textlink="">
          <xdr:nvSpPr>
            <xdr:cNvPr id="59" name="Shape 5">
              <a:extLst>
                <a:ext uri="{FF2B5EF4-FFF2-40B4-BE49-F238E27FC236}">
                  <a16:creationId xmlns:a16="http://schemas.microsoft.com/office/drawing/2014/main" id="{00000000-0008-0000-0800-00003B000000}"/>
                </a:ext>
              </a:extLst>
            </xdr:cNvPr>
            <xdr:cNvSpPr/>
          </xdr:nvSpPr>
          <xdr:spPr>
            <a:xfrm>
              <a:off x="4903200" y="7090200"/>
              <a:ext cx="1125700" cy="3995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cxnSp macro="">
          <xdr:nvCxnSpPr>
            <xdr:cNvPr id="60" name="Shape 39">
              <a:extLst>
                <a:ext uri="{FF2B5EF4-FFF2-40B4-BE49-F238E27FC236}">
                  <a16:creationId xmlns:a16="http://schemas.microsoft.com/office/drawing/2014/main" id="{00000000-0008-0000-0800-00003C000000}"/>
                </a:ext>
              </a:extLst>
            </xdr:cNvPr>
            <xdr:cNvCxnSpPr/>
          </xdr:nvCxnSpPr>
          <xdr:spPr>
            <a:xfrm>
              <a:off x="4903200" y="7090200"/>
              <a:ext cx="1126080" cy="40320"/>
            </a:xfrm>
            <a:prstGeom prst="bentConnector3">
              <a:avLst>
                <a:gd name="adj1" fmla="val 52310"/>
              </a:avLst>
            </a:prstGeom>
            <a:noFill/>
            <a:ln w="9525" cap="flat" cmpd="sng">
              <a:solidFill>
                <a:srgbClr val="4472C4"/>
              </a:solidFill>
              <a:prstDash val="solid"/>
              <a:miter lim="8000"/>
              <a:headEnd type="none" w="sm" len="sm"/>
              <a:tailEnd type="triangle" w="med" len="med"/>
            </a:ln>
          </xdr:spPr>
        </xdr:cxnSp>
      </xdr:grpSp>
    </xdr:grpSp>
    <xdr:clientData fLocksWithSheet="0"/>
  </xdr:oneCellAnchor>
  <xdr:oneCellAnchor>
    <xdr:from>
      <xdr:col>6</xdr:col>
      <xdr:colOff>428625</xdr:colOff>
      <xdr:row>34</xdr:row>
      <xdr:rowOff>47625</xdr:rowOff>
    </xdr:from>
    <xdr:ext cx="1704975" cy="514350"/>
    <xdr:sp macro="" textlink="">
      <xdr:nvSpPr>
        <xdr:cNvPr id="61" name="Shape 40">
          <a:extLst>
            <a:ext uri="{FF2B5EF4-FFF2-40B4-BE49-F238E27FC236}">
              <a16:creationId xmlns:a16="http://schemas.microsoft.com/office/drawing/2014/main" id="{00000000-0008-0000-0800-00003D000000}"/>
            </a:ext>
          </a:extLst>
        </xdr:cNvPr>
        <xdr:cNvSpPr/>
      </xdr:nvSpPr>
      <xdr:spPr>
        <a:xfrm>
          <a:off x="4498275" y="3527588"/>
          <a:ext cx="1695450" cy="504825"/>
        </a:xfrm>
        <a:prstGeom prst="rect">
          <a:avLst/>
        </a:prstGeom>
        <a:noFill/>
        <a:ln>
          <a:noFill/>
        </a:ln>
      </xdr:spPr>
      <xdr:txBody>
        <a:bodyPr spcFirstLastPara="1" wrap="square" lIns="90000" tIns="45000" rIns="90000" bIns="45000" anchor="t" anchorCtr="0">
          <a:noAutofit/>
        </a:bodyPr>
        <a:lstStyle/>
        <a:p>
          <a:pPr marL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</a:pPr>
          <a:r>
            <a:rPr lang="en-US" sz="1100" b="0" strike="noStrike">
              <a:latin typeface="Calibri"/>
              <a:ea typeface="Calibri"/>
              <a:cs typeface="Calibri"/>
              <a:sym typeface="Calibri"/>
            </a:rPr>
            <a:t>Transporte a Romeral (molienda)</a:t>
          </a:r>
          <a:endParaRPr sz="1100" b="0" strike="noStrike">
            <a:latin typeface="Times New Roman"/>
            <a:ea typeface="Times New Roman"/>
            <a:cs typeface="Times New Roman"/>
            <a:sym typeface="Times New Roman"/>
          </a:endParaRPr>
        </a:p>
      </xdr:txBody>
    </xdr:sp>
    <xdr:clientData fLocksWithSheet="0"/>
  </xdr:oneCellAnchor>
  <xdr:oneCellAnchor>
    <xdr:from>
      <xdr:col>1</xdr:col>
      <xdr:colOff>66675</xdr:colOff>
      <xdr:row>7</xdr:row>
      <xdr:rowOff>133350</xdr:rowOff>
    </xdr:from>
    <xdr:ext cx="1581150" cy="1676400"/>
    <xdr:grpSp>
      <xdr:nvGrpSpPr>
        <xdr:cNvPr id="62" name="Shape 2">
          <a:extLst>
            <a:ext uri="{FF2B5EF4-FFF2-40B4-BE49-F238E27FC236}">
              <a16:creationId xmlns:a16="http://schemas.microsoft.com/office/drawing/2014/main" id="{00000000-0008-0000-0800-00003E000000}"/>
            </a:ext>
          </a:extLst>
        </xdr:cNvPr>
        <xdr:cNvGrpSpPr/>
      </xdr:nvGrpSpPr>
      <xdr:grpSpPr>
        <a:xfrm>
          <a:off x="942975" y="1466850"/>
          <a:ext cx="1581150" cy="1676400"/>
          <a:chOff x="4555425" y="2941800"/>
          <a:chExt cx="1581487" cy="1676770"/>
        </a:xfrm>
      </xdr:grpSpPr>
      <xdr:grpSp>
        <xdr:nvGrpSpPr>
          <xdr:cNvPr id="63" name="Shape 41">
            <a:extLst>
              <a:ext uri="{FF2B5EF4-FFF2-40B4-BE49-F238E27FC236}">
                <a16:creationId xmlns:a16="http://schemas.microsoft.com/office/drawing/2014/main" id="{00000000-0008-0000-0800-00003F000000}"/>
              </a:ext>
            </a:extLst>
          </xdr:cNvPr>
          <xdr:cNvGrpSpPr/>
        </xdr:nvGrpSpPr>
        <xdr:grpSpPr>
          <a:xfrm>
            <a:off x="4555425" y="2941800"/>
            <a:ext cx="1581487" cy="1676770"/>
            <a:chOff x="886680" y="1445040"/>
            <a:chExt cx="1688040" cy="1631880"/>
          </a:xfrm>
        </xdr:grpSpPr>
        <xdr:sp macro="" textlink="">
          <xdr:nvSpPr>
            <xdr:cNvPr id="64" name="Shape 5">
              <a:extLst>
                <a:ext uri="{FF2B5EF4-FFF2-40B4-BE49-F238E27FC236}">
                  <a16:creationId xmlns:a16="http://schemas.microsoft.com/office/drawing/2014/main" id="{00000000-0008-0000-0800-000040000000}"/>
                </a:ext>
              </a:extLst>
            </xdr:cNvPr>
            <xdr:cNvSpPr/>
          </xdr:nvSpPr>
          <xdr:spPr>
            <a:xfrm>
              <a:off x="886680" y="1445040"/>
              <a:ext cx="1687675" cy="163150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cxnSp macro="">
          <xdr:nvCxnSpPr>
            <xdr:cNvPr id="65" name="Shape 42">
              <a:extLst>
                <a:ext uri="{FF2B5EF4-FFF2-40B4-BE49-F238E27FC236}">
                  <a16:creationId xmlns:a16="http://schemas.microsoft.com/office/drawing/2014/main" id="{00000000-0008-0000-0800-000041000000}"/>
                </a:ext>
              </a:extLst>
            </xdr:cNvPr>
            <xdr:cNvCxnSpPr/>
          </xdr:nvCxnSpPr>
          <xdr:spPr>
            <a:xfrm rot="10800000" flipH="1">
              <a:off x="886680" y="1445040"/>
              <a:ext cx="1688040" cy="1631880"/>
            </a:xfrm>
            <a:prstGeom prst="bentConnector3">
              <a:avLst>
                <a:gd name="adj1" fmla="val 53369"/>
              </a:avLst>
            </a:prstGeom>
            <a:noFill/>
            <a:ln w="9525" cap="flat" cmpd="sng">
              <a:solidFill>
                <a:srgbClr val="4472C4"/>
              </a:solidFill>
              <a:prstDash val="solid"/>
              <a:miter lim="8000"/>
              <a:headEnd type="none" w="sm" len="sm"/>
              <a:tailEnd type="triangle" w="med" len="med"/>
            </a:ln>
          </xdr:spPr>
        </xdr:cxnSp>
      </xdr:grpSp>
    </xdr:grpSp>
    <xdr:clientData fLocksWithSheet="0"/>
  </xdr:oneCellAnchor>
  <xdr:oneCellAnchor>
    <xdr:from>
      <xdr:col>2</xdr:col>
      <xdr:colOff>247650</xdr:colOff>
      <xdr:row>4</xdr:row>
      <xdr:rowOff>76200</xdr:rowOff>
    </xdr:from>
    <xdr:ext cx="685800" cy="695325"/>
    <xdr:grpSp>
      <xdr:nvGrpSpPr>
        <xdr:cNvPr id="66" name="Shape 2">
          <a:extLst>
            <a:ext uri="{FF2B5EF4-FFF2-40B4-BE49-F238E27FC236}">
              <a16:creationId xmlns:a16="http://schemas.microsoft.com/office/drawing/2014/main" id="{00000000-0008-0000-0800-000042000000}"/>
            </a:ext>
          </a:extLst>
        </xdr:cNvPr>
        <xdr:cNvGrpSpPr/>
      </xdr:nvGrpSpPr>
      <xdr:grpSpPr>
        <a:xfrm>
          <a:off x="2000250" y="838200"/>
          <a:ext cx="685800" cy="695325"/>
          <a:chOff x="5003100" y="3432338"/>
          <a:chExt cx="686140" cy="695716"/>
        </a:xfrm>
      </xdr:grpSpPr>
      <xdr:grpSp>
        <xdr:nvGrpSpPr>
          <xdr:cNvPr id="67" name="Shape 43">
            <a:extLst>
              <a:ext uri="{FF2B5EF4-FFF2-40B4-BE49-F238E27FC236}">
                <a16:creationId xmlns:a16="http://schemas.microsoft.com/office/drawing/2014/main" id="{00000000-0008-0000-0800-000043000000}"/>
              </a:ext>
            </a:extLst>
          </xdr:cNvPr>
          <xdr:cNvGrpSpPr/>
        </xdr:nvGrpSpPr>
        <xdr:grpSpPr>
          <a:xfrm>
            <a:off x="5003100" y="3432338"/>
            <a:ext cx="686140" cy="695716"/>
            <a:chOff x="1878840" y="847800"/>
            <a:chExt cx="726120" cy="640080"/>
          </a:xfrm>
        </xdr:grpSpPr>
        <xdr:sp macro="" textlink="">
          <xdr:nvSpPr>
            <xdr:cNvPr id="68" name="Shape 5">
              <a:extLst>
                <a:ext uri="{FF2B5EF4-FFF2-40B4-BE49-F238E27FC236}">
                  <a16:creationId xmlns:a16="http://schemas.microsoft.com/office/drawing/2014/main" id="{00000000-0008-0000-0800-000044000000}"/>
                </a:ext>
              </a:extLst>
            </xdr:cNvPr>
            <xdr:cNvSpPr/>
          </xdr:nvSpPr>
          <xdr:spPr>
            <a:xfrm>
              <a:off x="1878840" y="847800"/>
              <a:ext cx="725750" cy="63970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cxnSp macro="">
          <xdr:nvCxnSpPr>
            <xdr:cNvPr id="69" name="Shape 44">
              <a:extLst>
                <a:ext uri="{FF2B5EF4-FFF2-40B4-BE49-F238E27FC236}">
                  <a16:creationId xmlns:a16="http://schemas.microsoft.com/office/drawing/2014/main" id="{00000000-0008-0000-0800-000045000000}"/>
                </a:ext>
              </a:extLst>
            </xdr:cNvPr>
            <xdr:cNvCxnSpPr/>
          </xdr:nvCxnSpPr>
          <xdr:spPr>
            <a:xfrm>
              <a:off x="1878840" y="847800"/>
              <a:ext cx="726120" cy="640080"/>
            </a:xfrm>
            <a:prstGeom prst="bentConnector3">
              <a:avLst>
                <a:gd name="adj1" fmla="val 52913"/>
              </a:avLst>
            </a:prstGeom>
            <a:noFill/>
            <a:ln w="9525" cap="flat" cmpd="sng">
              <a:solidFill>
                <a:srgbClr val="4472C4"/>
              </a:solidFill>
              <a:prstDash val="solid"/>
              <a:miter lim="8000"/>
              <a:headEnd type="none" w="sm" len="sm"/>
              <a:tailEnd type="triangle" w="med" len="med"/>
            </a:ln>
          </xdr:spPr>
        </xdr:cxnSp>
      </xdr:grpSp>
    </xdr:grpSp>
    <xdr:clientData fLocksWithSheet="0"/>
  </xdr:oneCellAnchor>
  <xdr:oneCellAnchor>
    <xdr:from>
      <xdr:col>0</xdr:col>
      <xdr:colOff>114300</xdr:colOff>
      <xdr:row>14</xdr:row>
      <xdr:rowOff>142875</xdr:rowOff>
    </xdr:from>
    <xdr:ext cx="647700" cy="647700"/>
    <xdr:sp macro="" textlink="">
      <xdr:nvSpPr>
        <xdr:cNvPr id="70" name="Shape 45">
          <a:extLst>
            <a:ext uri="{FF2B5EF4-FFF2-40B4-BE49-F238E27FC236}">
              <a16:creationId xmlns:a16="http://schemas.microsoft.com/office/drawing/2014/main" id="{00000000-0008-0000-0800-000046000000}"/>
            </a:ext>
          </a:extLst>
        </xdr:cNvPr>
        <xdr:cNvSpPr/>
      </xdr:nvSpPr>
      <xdr:spPr>
        <a:xfrm>
          <a:off x="5026913" y="3460913"/>
          <a:ext cx="638175" cy="638175"/>
        </a:xfrm>
        <a:prstGeom prst="rect">
          <a:avLst/>
        </a:prstGeom>
        <a:noFill/>
        <a:ln>
          <a:noFill/>
        </a:ln>
      </xdr:spPr>
      <xdr:txBody>
        <a:bodyPr spcFirstLastPara="1" wrap="square" lIns="90000" tIns="45000" rIns="90000" bIns="45000" anchor="t" anchorCtr="0">
          <a:noAutofit/>
        </a:bodyPr>
        <a:lstStyle/>
        <a:p>
          <a:pPr marL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</a:pPr>
          <a:r>
            <a:rPr lang="en-US" sz="1100" b="0" strike="noStrike">
              <a:latin typeface="Calibri"/>
              <a:ea typeface="Calibri"/>
              <a:cs typeface="Calibri"/>
              <a:sym typeface="Calibri"/>
            </a:rPr>
            <a:t>Alta Ley Bronces</a:t>
          </a:r>
          <a:endParaRPr sz="1100" b="0" strike="noStrike">
            <a:latin typeface="Times New Roman"/>
            <a:ea typeface="Times New Roman"/>
            <a:cs typeface="Times New Roman"/>
            <a:sym typeface="Times New Roman"/>
          </a:endParaRPr>
        </a:p>
      </xdr:txBody>
    </xdr:sp>
    <xdr:clientData fLocksWithSheet="0"/>
  </xdr:oneCellAnchor>
  <xdr:oneCellAnchor>
    <xdr:from>
      <xdr:col>0</xdr:col>
      <xdr:colOff>190500</xdr:colOff>
      <xdr:row>8</xdr:row>
      <xdr:rowOff>66675</xdr:rowOff>
    </xdr:from>
    <xdr:ext cx="771525" cy="361950"/>
    <xdr:sp macro="" textlink="">
      <xdr:nvSpPr>
        <xdr:cNvPr id="71" name="Shape 46">
          <a:extLst>
            <a:ext uri="{FF2B5EF4-FFF2-40B4-BE49-F238E27FC236}">
              <a16:creationId xmlns:a16="http://schemas.microsoft.com/office/drawing/2014/main" id="{00000000-0008-0000-0800-000047000000}"/>
            </a:ext>
          </a:extLst>
        </xdr:cNvPr>
        <xdr:cNvSpPr/>
      </xdr:nvSpPr>
      <xdr:spPr>
        <a:xfrm>
          <a:off x="4965000" y="3603788"/>
          <a:ext cx="762000" cy="352425"/>
        </a:xfrm>
        <a:prstGeom prst="rect">
          <a:avLst/>
        </a:prstGeom>
        <a:noFill/>
        <a:ln>
          <a:noFill/>
        </a:ln>
      </xdr:spPr>
      <xdr:txBody>
        <a:bodyPr spcFirstLastPara="1" wrap="square" lIns="90000" tIns="45000" rIns="90000" bIns="45000" anchor="t" anchorCtr="0">
          <a:noAutofit/>
        </a:bodyPr>
        <a:lstStyle/>
        <a:p>
          <a:pPr marL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</a:pPr>
          <a:r>
            <a:rPr lang="en-US" sz="1100" b="0" strike="noStrike">
              <a:latin typeface="Calibri"/>
              <a:ea typeface="Calibri"/>
              <a:cs typeface="Calibri"/>
              <a:sym typeface="Calibri"/>
            </a:rPr>
            <a:t>Alta Ley 2 </a:t>
          </a:r>
          <a:endParaRPr sz="1100" b="0" strike="noStrike">
            <a:latin typeface="Times New Roman"/>
            <a:ea typeface="Times New Roman"/>
            <a:cs typeface="Times New Roman"/>
            <a:sym typeface="Times New Roman"/>
          </a:endParaRPr>
        </a:p>
      </xdr:txBody>
    </xdr:sp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276225</xdr:colOff>
      <xdr:row>3</xdr:row>
      <xdr:rowOff>0</xdr:rowOff>
    </xdr:from>
    <xdr:ext cx="923925" cy="304800"/>
    <xdr:sp macro="" textlink="">
      <xdr:nvSpPr>
        <xdr:cNvPr id="47" name="Shape 47">
          <a:extLst>
            <a:ext uri="{FF2B5EF4-FFF2-40B4-BE49-F238E27FC236}">
              <a16:creationId xmlns:a16="http://schemas.microsoft.com/office/drawing/2014/main" id="{00000000-0008-0000-0900-00002F000000}"/>
            </a:ext>
          </a:extLst>
        </xdr:cNvPr>
        <xdr:cNvSpPr/>
      </xdr:nvSpPr>
      <xdr:spPr>
        <a:xfrm>
          <a:off x="4888800" y="3632363"/>
          <a:ext cx="9144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0000" tIns="45000" rIns="90000" bIns="45000" anchor="t" anchorCtr="0">
          <a:noAutofit/>
        </a:bodyPr>
        <a:lstStyle/>
        <a:p>
          <a:pPr marL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</a:pPr>
          <a:r>
            <a:rPr lang="en-US" sz="1100" b="0" strike="noStrike">
              <a:latin typeface="Calibri"/>
              <a:ea typeface="Calibri"/>
              <a:cs typeface="Calibri"/>
              <a:sym typeface="Calibri"/>
            </a:rPr>
            <a:t>ML Pleito</a:t>
          </a:r>
          <a:endParaRPr sz="1100" b="0" strike="noStrike">
            <a:latin typeface="Times New Roman"/>
            <a:ea typeface="Times New Roman"/>
            <a:cs typeface="Times New Roman"/>
            <a:sym typeface="Times New Roman"/>
          </a:endParaRPr>
        </a:p>
      </xdr:txBody>
    </xdr:sp>
    <xdr:clientData fLocksWithSheet="0"/>
  </xdr:oneCellAnchor>
  <xdr:oneCellAnchor>
    <xdr:from>
      <xdr:col>2</xdr:col>
      <xdr:colOff>238125</xdr:colOff>
      <xdr:row>11</xdr:row>
      <xdr:rowOff>152400</xdr:rowOff>
    </xdr:from>
    <xdr:ext cx="923925" cy="381000"/>
    <xdr:sp macro="" textlink="">
      <xdr:nvSpPr>
        <xdr:cNvPr id="48" name="Shape 48">
          <a:extLst>
            <a:ext uri="{FF2B5EF4-FFF2-40B4-BE49-F238E27FC236}">
              <a16:creationId xmlns:a16="http://schemas.microsoft.com/office/drawing/2014/main" id="{00000000-0008-0000-0900-000030000000}"/>
            </a:ext>
          </a:extLst>
        </xdr:cNvPr>
        <xdr:cNvSpPr/>
      </xdr:nvSpPr>
      <xdr:spPr>
        <a:xfrm>
          <a:off x="4888800" y="3594263"/>
          <a:ext cx="914400" cy="371475"/>
        </a:xfrm>
        <a:prstGeom prst="rect">
          <a:avLst/>
        </a:prstGeom>
        <a:noFill/>
        <a:ln>
          <a:noFill/>
        </a:ln>
      </xdr:spPr>
      <xdr:txBody>
        <a:bodyPr spcFirstLastPara="1" wrap="square" lIns="90000" tIns="45000" rIns="90000" bIns="45000" anchor="t" anchorCtr="0">
          <a:noAutofit/>
        </a:bodyPr>
        <a:lstStyle/>
        <a:p>
          <a:pPr marL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</a:pPr>
          <a:r>
            <a:rPr lang="en-US" sz="1100" b="0" strike="noStrike">
              <a:latin typeface="Calibri"/>
              <a:ea typeface="Calibri"/>
              <a:cs typeface="Calibri"/>
              <a:sym typeface="Calibri"/>
            </a:rPr>
            <a:t>ML Bronces</a:t>
          </a:r>
          <a:endParaRPr sz="1100" b="0" strike="noStrike">
            <a:latin typeface="Times New Roman"/>
            <a:ea typeface="Times New Roman"/>
            <a:cs typeface="Times New Roman"/>
            <a:sym typeface="Times New Roman"/>
          </a:endParaRPr>
        </a:p>
      </xdr:txBody>
    </xdr:sp>
    <xdr:clientData fLocksWithSheet="0"/>
  </xdr:oneCellAnchor>
  <xdr:oneCellAnchor>
    <xdr:from>
      <xdr:col>5</xdr:col>
      <xdr:colOff>628650</xdr:colOff>
      <xdr:row>4</xdr:row>
      <xdr:rowOff>104775</xdr:rowOff>
    </xdr:from>
    <xdr:ext cx="2247900" cy="1200150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pSpPr/>
      </xdr:nvGrpSpPr>
      <xdr:grpSpPr>
        <a:xfrm>
          <a:off x="5010150" y="866775"/>
          <a:ext cx="2247900" cy="1200150"/>
          <a:chOff x="4222050" y="3179925"/>
          <a:chExt cx="2248238" cy="1200557"/>
        </a:xfrm>
      </xdr:grpSpPr>
      <xdr:grpSp>
        <xdr:nvGrpSpPr>
          <xdr:cNvPr id="49" name="Shape 49">
            <a:extLst>
              <a:ext uri="{FF2B5EF4-FFF2-40B4-BE49-F238E27FC236}">
                <a16:creationId xmlns:a16="http://schemas.microsoft.com/office/drawing/2014/main" id="{00000000-0008-0000-0900-000031000000}"/>
              </a:ext>
            </a:extLst>
          </xdr:cNvPr>
          <xdr:cNvGrpSpPr/>
        </xdr:nvGrpSpPr>
        <xdr:grpSpPr>
          <a:xfrm>
            <a:off x="4222050" y="3179925"/>
            <a:ext cx="2248238" cy="1200557"/>
            <a:chOff x="4691880" y="873000"/>
            <a:chExt cx="2392920" cy="1061640"/>
          </a:xfrm>
        </xdr:grpSpPr>
        <xdr:sp macro="" textlink="">
          <xdr:nvSpPr>
            <xdr:cNvPr id="5" name="Shape 5">
              <a:extLst>
                <a:ext uri="{FF2B5EF4-FFF2-40B4-BE49-F238E27FC236}">
                  <a16:creationId xmlns:a16="http://schemas.microsoft.com/office/drawing/2014/main" id="{00000000-0008-0000-0900-000005000000}"/>
                </a:ext>
              </a:extLst>
            </xdr:cNvPr>
            <xdr:cNvSpPr/>
          </xdr:nvSpPr>
          <xdr:spPr>
            <a:xfrm>
              <a:off x="4691880" y="873000"/>
              <a:ext cx="2392550" cy="106127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cxnSp macro="">
          <xdr:nvCxnSpPr>
            <xdr:cNvPr id="50" name="Shape 50">
              <a:extLst>
                <a:ext uri="{FF2B5EF4-FFF2-40B4-BE49-F238E27FC236}">
                  <a16:creationId xmlns:a16="http://schemas.microsoft.com/office/drawing/2014/main" id="{00000000-0008-0000-0900-000032000000}"/>
                </a:ext>
              </a:extLst>
            </xdr:cNvPr>
            <xdr:cNvCxnSpPr/>
          </xdr:nvCxnSpPr>
          <xdr:spPr>
            <a:xfrm rot="10800000" flipH="1">
              <a:off x="4691880" y="873000"/>
              <a:ext cx="2392920" cy="1061640"/>
            </a:xfrm>
            <a:prstGeom prst="bentConnector3">
              <a:avLst>
                <a:gd name="adj1" fmla="val 53218"/>
              </a:avLst>
            </a:prstGeom>
            <a:noFill/>
            <a:ln w="9525" cap="flat" cmpd="sng">
              <a:solidFill>
                <a:srgbClr val="4472C4"/>
              </a:solidFill>
              <a:prstDash val="solid"/>
              <a:miter lim="8000"/>
              <a:headEnd type="none" w="sm" len="sm"/>
              <a:tailEnd type="triangle" w="med" len="med"/>
            </a:ln>
          </xdr:spPr>
        </xdr:cxnSp>
      </xdr:grpSp>
    </xdr:grpSp>
    <xdr:clientData fLocksWithSheet="0"/>
  </xdr:oneCellAnchor>
  <xdr:oneCellAnchor>
    <xdr:from>
      <xdr:col>3</xdr:col>
      <xdr:colOff>123825</xdr:colOff>
      <xdr:row>10</xdr:row>
      <xdr:rowOff>85725</xdr:rowOff>
    </xdr:from>
    <xdr:ext cx="752475" cy="781050"/>
    <xdr:grpSp>
      <xdr:nvGrpSpPr>
        <xdr:cNvPr id="3" name="Shape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pSpPr/>
      </xdr:nvGrpSpPr>
      <xdr:grpSpPr>
        <a:xfrm>
          <a:off x="2752725" y="1990725"/>
          <a:ext cx="752475" cy="781050"/>
          <a:chOff x="4969763" y="3389475"/>
          <a:chExt cx="752817" cy="781457"/>
        </a:xfrm>
      </xdr:grpSpPr>
      <xdr:grpSp>
        <xdr:nvGrpSpPr>
          <xdr:cNvPr id="51" name="Shape 51">
            <a:extLst>
              <a:ext uri="{FF2B5EF4-FFF2-40B4-BE49-F238E27FC236}">
                <a16:creationId xmlns:a16="http://schemas.microsoft.com/office/drawing/2014/main" id="{00000000-0008-0000-0900-000033000000}"/>
              </a:ext>
            </a:extLst>
          </xdr:cNvPr>
          <xdr:cNvGrpSpPr/>
        </xdr:nvGrpSpPr>
        <xdr:grpSpPr>
          <a:xfrm>
            <a:off x="4969763" y="3389475"/>
            <a:ext cx="752817" cy="781457"/>
            <a:chOff x="2565720" y="1922400"/>
            <a:chExt cx="792720" cy="690840"/>
          </a:xfrm>
        </xdr:grpSpPr>
        <xdr:sp macro="" textlink="">
          <xdr:nvSpPr>
            <xdr:cNvPr id="4" name="Shape 5">
              <a:extLst>
                <a:ext uri="{FF2B5EF4-FFF2-40B4-BE49-F238E27FC236}">
                  <a16:creationId xmlns:a16="http://schemas.microsoft.com/office/drawing/2014/main" id="{00000000-0008-0000-0900-000004000000}"/>
                </a:ext>
              </a:extLst>
            </xdr:cNvPr>
            <xdr:cNvSpPr/>
          </xdr:nvSpPr>
          <xdr:spPr>
            <a:xfrm>
              <a:off x="2565720" y="1922400"/>
              <a:ext cx="792350" cy="69047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cxnSp macro="">
          <xdr:nvCxnSpPr>
            <xdr:cNvPr id="52" name="Shape 52">
              <a:extLst>
                <a:ext uri="{FF2B5EF4-FFF2-40B4-BE49-F238E27FC236}">
                  <a16:creationId xmlns:a16="http://schemas.microsoft.com/office/drawing/2014/main" id="{00000000-0008-0000-0900-000034000000}"/>
                </a:ext>
              </a:extLst>
            </xdr:cNvPr>
            <xdr:cNvCxnSpPr/>
          </xdr:nvCxnSpPr>
          <xdr:spPr>
            <a:xfrm rot="10800000" flipH="1">
              <a:off x="2565720" y="1922400"/>
              <a:ext cx="792720" cy="690840"/>
            </a:xfrm>
            <a:prstGeom prst="bentConnector3">
              <a:avLst>
                <a:gd name="adj1" fmla="val 52673"/>
              </a:avLst>
            </a:prstGeom>
            <a:noFill/>
            <a:ln w="9525" cap="flat" cmpd="sng">
              <a:solidFill>
                <a:srgbClr val="4472C4"/>
              </a:solidFill>
              <a:prstDash val="solid"/>
              <a:miter lim="8000"/>
              <a:headEnd type="none" w="sm" len="sm"/>
              <a:tailEnd type="triangle" w="med" len="med"/>
            </a:ln>
          </xdr:spPr>
        </xdr:cxnSp>
      </xdr:grpSp>
    </xdr:grpSp>
    <xdr:clientData fLocksWithSheet="0"/>
  </xdr:oneCellAnchor>
  <xdr:oneCellAnchor>
    <xdr:from>
      <xdr:col>8</xdr:col>
      <xdr:colOff>619125</xdr:colOff>
      <xdr:row>3</xdr:row>
      <xdr:rowOff>95250</xdr:rowOff>
    </xdr:from>
    <xdr:ext cx="381000" cy="438150"/>
    <xdr:sp macro="" textlink="">
      <xdr:nvSpPr>
        <xdr:cNvPr id="53" name="Shape 53">
          <a:extLst>
            <a:ext uri="{FF2B5EF4-FFF2-40B4-BE49-F238E27FC236}">
              <a16:creationId xmlns:a16="http://schemas.microsoft.com/office/drawing/2014/main" id="{00000000-0008-0000-0900-000035000000}"/>
            </a:ext>
          </a:extLst>
        </xdr:cNvPr>
        <xdr:cNvSpPr/>
      </xdr:nvSpPr>
      <xdr:spPr>
        <a:xfrm>
          <a:off x="5165025" y="3570450"/>
          <a:ext cx="361950" cy="419100"/>
        </a:xfrm>
        <a:prstGeom prst="triangle">
          <a:avLst>
            <a:gd name="adj" fmla="val 50000"/>
          </a:avLst>
        </a:prstGeom>
        <a:solidFill>
          <a:srgbClr val="FFFFFF"/>
        </a:solidFill>
        <a:ln w="12700" cap="flat" cmpd="sng">
          <a:solidFill>
            <a:srgbClr val="31538F"/>
          </a:solidFill>
          <a:prstDash val="solid"/>
          <a:miter lim="8000"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95250</xdr:colOff>
      <xdr:row>5</xdr:row>
      <xdr:rowOff>161925</xdr:rowOff>
    </xdr:from>
    <xdr:ext cx="771525" cy="733425"/>
    <xdr:grpSp>
      <xdr:nvGrpSpPr>
        <xdr:cNvPr id="6" name="Shape 2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GrpSpPr/>
      </xdr:nvGrpSpPr>
      <xdr:grpSpPr>
        <a:xfrm>
          <a:off x="2724150" y="1114425"/>
          <a:ext cx="771525" cy="733425"/>
          <a:chOff x="4960238" y="3413288"/>
          <a:chExt cx="771863" cy="733842"/>
        </a:xfrm>
      </xdr:grpSpPr>
      <xdr:grpSp>
        <xdr:nvGrpSpPr>
          <xdr:cNvPr id="54" name="Shape 54">
            <a:extLst>
              <a:ext uri="{FF2B5EF4-FFF2-40B4-BE49-F238E27FC236}">
                <a16:creationId xmlns:a16="http://schemas.microsoft.com/office/drawing/2014/main" id="{00000000-0008-0000-0900-000036000000}"/>
              </a:ext>
            </a:extLst>
          </xdr:cNvPr>
          <xdr:cNvGrpSpPr/>
        </xdr:nvGrpSpPr>
        <xdr:grpSpPr>
          <a:xfrm>
            <a:off x="4960238" y="3413288"/>
            <a:ext cx="771863" cy="733842"/>
            <a:chOff x="2537280" y="1114920"/>
            <a:chExt cx="821160" cy="633960"/>
          </a:xfrm>
        </xdr:grpSpPr>
        <xdr:sp macro="" textlink="">
          <xdr:nvSpPr>
            <xdr:cNvPr id="7" name="Shape 5">
              <a:extLst>
                <a:ext uri="{FF2B5EF4-FFF2-40B4-BE49-F238E27FC236}">
                  <a16:creationId xmlns:a16="http://schemas.microsoft.com/office/drawing/2014/main" id="{00000000-0008-0000-0900-000007000000}"/>
                </a:ext>
              </a:extLst>
            </xdr:cNvPr>
            <xdr:cNvSpPr/>
          </xdr:nvSpPr>
          <xdr:spPr>
            <a:xfrm>
              <a:off x="2537280" y="1114920"/>
              <a:ext cx="820800" cy="63360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cxnSp macro="">
          <xdr:nvCxnSpPr>
            <xdr:cNvPr id="55" name="Shape 55">
              <a:extLst>
                <a:ext uri="{FF2B5EF4-FFF2-40B4-BE49-F238E27FC236}">
                  <a16:creationId xmlns:a16="http://schemas.microsoft.com/office/drawing/2014/main" id="{00000000-0008-0000-0900-000037000000}"/>
                </a:ext>
              </a:extLst>
            </xdr:cNvPr>
            <xdr:cNvCxnSpPr/>
          </xdr:nvCxnSpPr>
          <xdr:spPr>
            <a:xfrm>
              <a:off x="2537280" y="1114920"/>
              <a:ext cx="821160" cy="633960"/>
            </a:xfrm>
            <a:prstGeom prst="bentConnector3">
              <a:avLst>
                <a:gd name="adj1" fmla="val 53193"/>
              </a:avLst>
            </a:prstGeom>
            <a:noFill/>
            <a:ln w="9525" cap="flat" cmpd="sng">
              <a:solidFill>
                <a:srgbClr val="4472C4"/>
              </a:solidFill>
              <a:prstDash val="solid"/>
              <a:miter lim="8000"/>
              <a:headEnd type="none" w="sm" len="sm"/>
              <a:tailEnd type="triangle" w="med" len="med"/>
            </a:ln>
          </xdr:spPr>
        </xdr:cxnSp>
      </xdr:grpSp>
    </xdr:grpSp>
    <xdr:clientData fLocksWithSheet="0"/>
  </xdr:oneCellAnchor>
  <xdr:oneCellAnchor>
    <xdr:from>
      <xdr:col>8</xdr:col>
      <xdr:colOff>723900</xdr:colOff>
      <xdr:row>14</xdr:row>
      <xdr:rowOff>114300</xdr:rowOff>
    </xdr:from>
    <xdr:ext cx="371475" cy="390525"/>
    <xdr:sp macro="" textlink="">
      <xdr:nvSpPr>
        <xdr:cNvPr id="56" name="Shape 56">
          <a:extLst>
            <a:ext uri="{FF2B5EF4-FFF2-40B4-BE49-F238E27FC236}">
              <a16:creationId xmlns:a16="http://schemas.microsoft.com/office/drawing/2014/main" id="{00000000-0008-0000-0900-000038000000}"/>
            </a:ext>
          </a:extLst>
        </xdr:cNvPr>
        <xdr:cNvSpPr/>
      </xdr:nvSpPr>
      <xdr:spPr>
        <a:xfrm>
          <a:off x="5165025" y="3589500"/>
          <a:ext cx="361950" cy="381000"/>
        </a:xfrm>
        <a:prstGeom prst="triangle">
          <a:avLst>
            <a:gd name="adj" fmla="val 50000"/>
          </a:avLst>
        </a:prstGeom>
        <a:solidFill>
          <a:srgbClr val="FFFFFF"/>
        </a:solidFill>
        <a:ln w="12700" cap="flat" cmpd="sng">
          <a:solidFill>
            <a:srgbClr val="31538F"/>
          </a:solidFill>
          <a:prstDash val="solid"/>
          <a:miter lim="8000"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3</xdr:col>
      <xdr:colOff>361950</xdr:colOff>
      <xdr:row>18</xdr:row>
      <xdr:rowOff>0</xdr:rowOff>
    </xdr:from>
    <xdr:ext cx="2390775" cy="38100"/>
    <xdr:grpSp>
      <xdr:nvGrpSpPr>
        <xdr:cNvPr id="8" name="Shape 2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GrpSpPr/>
      </xdr:nvGrpSpPr>
      <xdr:grpSpPr>
        <a:xfrm>
          <a:off x="2990850" y="3416300"/>
          <a:ext cx="2390775" cy="38100"/>
          <a:chOff x="4150613" y="3760950"/>
          <a:chExt cx="2391113" cy="38453"/>
        </a:xfrm>
      </xdr:grpSpPr>
      <xdr:grpSp>
        <xdr:nvGrpSpPr>
          <xdr:cNvPr id="57" name="Shape 57">
            <a:extLst>
              <a:ext uri="{FF2B5EF4-FFF2-40B4-BE49-F238E27FC236}">
                <a16:creationId xmlns:a16="http://schemas.microsoft.com/office/drawing/2014/main" id="{00000000-0008-0000-0900-000039000000}"/>
              </a:ext>
            </a:extLst>
          </xdr:cNvPr>
          <xdr:cNvGrpSpPr/>
        </xdr:nvGrpSpPr>
        <xdr:grpSpPr>
          <a:xfrm>
            <a:off x="4150613" y="3760950"/>
            <a:ext cx="2391113" cy="38453"/>
            <a:chOff x="2801520" y="3294000"/>
            <a:chExt cx="2545200" cy="39240"/>
          </a:xfrm>
        </xdr:grpSpPr>
        <xdr:sp macro="" textlink="">
          <xdr:nvSpPr>
            <xdr:cNvPr id="9" name="Shape 5">
              <a:extLst>
                <a:ext uri="{FF2B5EF4-FFF2-40B4-BE49-F238E27FC236}">
                  <a16:creationId xmlns:a16="http://schemas.microsoft.com/office/drawing/2014/main" id="{00000000-0008-0000-0900-000009000000}"/>
                </a:ext>
              </a:extLst>
            </xdr:cNvPr>
            <xdr:cNvSpPr/>
          </xdr:nvSpPr>
          <xdr:spPr>
            <a:xfrm>
              <a:off x="2801520" y="3294000"/>
              <a:ext cx="2544825" cy="3887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cxnSp macro="">
          <xdr:nvCxnSpPr>
            <xdr:cNvPr id="58" name="Shape 58">
              <a:extLst>
                <a:ext uri="{FF2B5EF4-FFF2-40B4-BE49-F238E27FC236}">
                  <a16:creationId xmlns:a16="http://schemas.microsoft.com/office/drawing/2014/main" id="{00000000-0008-0000-0900-00003A000000}"/>
                </a:ext>
              </a:extLst>
            </xdr:cNvPr>
            <xdr:cNvCxnSpPr/>
          </xdr:nvCxnSpPr>
          <xdr:spPr>
            <a:xfrm>
              <a:off x="2801520" y="3294000"/>
              <a:ext cx="2545200" cy="39240"/>
            </a:xfrm>
            <a:prstGeom prst="bentConnector3">
              <a:avLst>
                <a:gd name="adj1" fmla="val 53230"/>
              </a:avLst>
            </a:prstGeom>
            <a:noFill/>
            <a:ln w="9525" cap="flat" cmpd="sng">
              <a:solidFill>
                <a:srgbClr val="4472C4"/>
              </a:solidFill>
              <a:prstDash val="solid"/>
              <a:miter lim="8000"/>
              <a:headEnd type="none" w="sm" len="sm"/>
              <a:tailEnd type="triangle" w="med" len="med"/>
            </a:ln>
          </xdr:spPr>
        </xdr:cxnSp>
      </xdr:grpSp>
    </xdr:grpSp>
    <xdr:clientData fLocksWithSheet="0"/>
  </xdr:oneCellAnchor>
  <xdr:oneCellAnchor>
    <xdr:from>
      <xdr:col>7</xdr:col>
      <xdr:colOff>723900</xdr:colOff>
      <xdr:row>12</xdr:row>
      <xdr:rowOff>114300</xdr:rowOff>
    </xdr:from>
    <xdr:ext cx="942975" cy="609600"/>
    <xdr:sp macro="" textlink="">
      <xdr:nvSpPr>
        <xdr:cNvPr id="59" name="Shape 59">
          <a:extLst>
            <a:ext uri="{FF2B5EF4-FFF2-40B4-BE49-F238E27FC236}">
              <a16:creationId xmlns:a16="http://schemas.microsoft.com/office/drawing/2014/main" id="{00000000-0008-0000-0900-00003B000000}"/>
            </a:ext>
          </a:extLst>
        </xdr:cNvPr>
        <xdr:cNvSpPr/>
      </xdr:nvSpPr>
      <xdr:spPr>
        <a:xfrm>
          <a:off x="4879275" y="3479963"/>
          <a:ext cx="933450" cy="600075"/>
        </a:xfrm>
        <a:prstGeom prst="rect">
          <a:avLst/>
        </a:prstGeom>
        <a:noFill/>
        <a:ln>
          <a:noFill/>
        </a:ln>
      </xdr:spPr>
      <xdr:txBody>
        <a:bodyPr spcFirstLastPara="1" wrap="square" lIns="90000" tIns="45000" rIns="90000" bIns="45000" anchor="t" anchorCtr="0">
          <a:noAutofit/>
        </a:bodyPr>
        <a:lstStyle/>
        <a:p>
          <a:pPr marL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</a:pPr>
          <a:r>
            <a:rPr lang="en-US" sz="1100" b="0" strike="noStrike">
              <a:latin typeface="Calibri"/>
              <a:ea typeface="Calibri"/>
              <a:cs typeface="Calibri"/>
              <a:sym typeface="Calibri"/>
            </a:rPr>
            <a:t>Stock Prec. Finos (40%Fem)</a:t>
          </a:r>
          <a:endParaRPr sz="1100" b="0" strike="noStrike">
            <a:latin typeface="Times New Roman"/>
            <a:ea typeface="Times New Roman"/>
            <a:cs typeface="Times New Roman"/>
            <a:sym typeface="Times New Roman"/>
          </a:endParaRPr>
        </a:p>
      </xdr:txBody>
    </xdr:sp>
    <xdr:clientData fLocksWithSheet="0"/>
  </xdr:oneCellAnchor>
  <xdr:oneCellAnchor>
    <xdr:from>
      <xdr:col>5</xdr:col>
      <xdr:colOff>628650</xdr:colOff>
      <xdr:row>10</xdr:row>
      <xdr:rowOff>28575</xdr:rowOff>
    </xdr:from>
    <xdr:ext cx="2343150" cy="1104900"/>
    <xdr:grpSp>
      <xdr:nvGrpSpPr>
        <xdr:cNvPr id="10" name="Shape 2">
          <a:extLst>
            <a:ext uri="{FF2B5EF4-FFF2-40B4-BE49-F238E27FC236}">
              <a16:creationId xmlns:a16="http://schemas.microsoft.com/office/drawing/2014/main" id="{00000000-0008-0000-0900-00000A000000}"/>
            </a:ext>
          </a:extLst>
        </xdr:cNvPr>
        <xdr:cNvGrpSpPr/>
      </xdr:nvGrpSpPr>
      <xdr:grpSpPr>
        <a:xfrm>
          <a:off x="5010150" y="1933575"/>
          <a:ext cx="2343150" cy="1104900"/>
          <a:chOff x="4174425" y="3227550"/>
          <a:chExt cx="2343488" cy="1105282"/>
        </a:xfrm>
      </xdr:grpSpPr>
      <xdr:grpSp>
        <xdr:nvGrpSpPr>
          <xdr:cNvPr id="60" name="Shape 60">
            <a:extLst>
              <a:ext uri="{FF2B5EF4-FFF2-40B4-BE49-F238E27FC236}">
                <a16:creationId xmlns:a16="http://schemas.microsoft.com/office/drawing/2014/main" id="{00000000-0008-0000-0900-00003C000000}"/>
              </a:ext>
            </a:extLst>
          </xdr:cNvPr>
          <xdr:cNvGrpSpPr/>
        </xdr:nvGrpSpPr>
        <xdr:grpSpPr>
          <a:xfrm>
            <a:off x="4174425" y="3227550"/>
            <a:ext cx="2343488" cy="1105282"/>
            <a:chOff x="4691880" y="1858680"/>
            <a:chExt cx="2497680" cy="1042560"/>
          </a:xfrm>
        </xdr:grpSpPr>
        <xdr:sp macro="" textlink="">
          <xdr:nvSpPr>
            <xdr:cNvPr id="11" name="Shape 5">
              <a:extLst>
                <a:ext uri="{FF2B5EF4-FFF2-40B4-BE49-F238E27FC236}">
                  <a16:creationId xmlns:a16="http://schemas.microsoft.com/office/drawing/2014/main" id="{00000000-0008-0000-0900-00000B000000}"/>
                </a:ext>
              </a:extLst>
            </xdr:cNvPr>
            <xdr:cNvSpPr/>
          </xdr:nvSpPr>
          <xdr:spPr>
            <a:xfrm>
              <a:off x="4691880" y="1858680"/>
              <a:ext cx="2497300" cy="104220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cxnSp macro="">
          <xdr:nvCxnSpPr>
            <xdr:cNvPr id="61" name="Shape 61">
              <a:extLst>
                <a:ext uri="{FF2B5EF4-FFF2-40B4-BE49-F238E27FC236}">
                  <a16:creationId xmlns:a16="http://schemas.microsoft.com/office/drawing/2014/main" id="{00000000-0008-0000-0900-00003D000000}"/>
                </a:ext>
              </a:extLst>
            </xdr:cNvPr>
            <xdr:cNvCxnSpPr/>
          </xdr:nvCxnSpPr>
          <xdr:spPr>
            <a:xfrm>
              <a:off x="4691880" y="1858680"/>
              <a:ext cx="2497680" cy="1042560"/>
            </a:xfrm>
            <a:prstGeom prst="bentConnector3">
              <a:avLst>
                <a:gd name="adj1" fmla="val 53297"/>
              </a:avLst>
            </a:prstGeom>
            <a:noFill/>
            <a:ln w="9525" cap="flat" cmpd="sng">
              <a:solidFill>
                <a:srgbClr val="4472C4"/>
              </a:solidFill>
              <a:prstDash val="solid"/>
              <a:miter lim="8000"/>
              <a:headEnd type="none" w="sm" len="sm"/>
              <a:tailEnd type="triangle" w="med" len="med"/>
            </a:ln>
          </xdr:spPr>
        </xdr:cxnSp>
      </xdr:grpSp>
    </xdr:grpSp>
    <xdr:clientData fLocksWithSheet="0"/>
  </xdr:oneCellAnchor>
  <xdr:oneCellAnchor>
    <xdr:from>
      <xdr:col>8</xdr:col>
      <xdr:colOff>66675</xdr:colOff>
      <xdr:row>1</xdr:row>
      <xdr:rowOff>19050</xdr:rowOff>
    </xdr:from>
    <xdr:ext cx="723900" cy="790575"/>
    <xdr:sp macro="" textlink="">
      <xdr:nvSpPr>
        <xdr:cNvPr id="62" name="Shape 62">
          <a:extLst>
            <a:ext uri="{FF2B5EF4-FFF2-40B4-BE49-F238E27FC236}">
              <a16:creationId xmlns:a16="http://schemas.microsoft.com/office/drawing/2014/main" id="{00000000-0008-0000-0900-00003E000000}"/>
            </a:ext>
          </a:extLst>
        </xdr:cNvPr>
        <xdr:cNvSpPr/>
      </xdr:nvSpPr>
      <xdr:spPr>
        <a:xfrm>
          <a:off x="4988813" y="3389475"/>
          <a:ext cx="714375" cy="781050"/>
        </a:xfrm>
        <a:prstGeom prst="rect">
          <a:avLst/>
        </a:prstGeom>
        <a:noFill/>
        <a:ln>
          <a:noFill/>
        </a:ln>
      </xdr:spPr>
      <xdr:txBody>
        <a:bodyPr spcFirstLastPara="1" wrap="square" lIns="90000" tIns="45000" rIns="90000" bIns="45000" anchor="t" anchorCtr="0">
          <a:noAutofit/>
        </a:bodyPr>
        <a:lstStyle/>
        <a:p>
          <a:pPr marL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</a:pPr>
          <a:r>
            <a:rPr lang="en-US" sz="1100" b="0" strike="noStrike">
              <a:latin typeface="Calibri"/>
              <a:ea typeface="Calibri"/>
              <a:cs typeface="Calibri"/>
              <a:sym typeface="Calibri"/>
            </a:rPr>
            <a:t>Stock Prec. Granza</a:t>
          </a:r>
          <a:endParaRPr sz="1100" b="0" strike="noStrike">
            <a:latin typeface="Times New Roman"/>
            <a:ea typeface="Times New Roman"/>
            <a:cs typeface="Times New Roman"/>
            <a:sym typeface="Times New Roman"/>
          </a:endParaRPr>
        </a:p>
      </xdr:txBody>
    </xdr:sp>
    <xdr:clientData fLocksWithSheet="0"/>
  </xdr:oneCellAnchor>
  <xdr:oneCellAnchor>
    <xdr:from>
      <xdr:col>9</xdr:col>
      <xdr:colOff>276225</xdr:colOff>
      <xdr:row>24</xdr:row>
      <xdr:rowOff>9525</xdr:rowOff>
    </xdr:from>
    <xdr:ext cx="1314450" cy="523875"/>
    <xdr:sp macro="" textlink="">
      <xdr:nvSpPr>
        <xdr:cNvPr id="63" name="Shape 63">
          <a:extLst>
            <a:ext uri="{FF2B5EF4-FFF2-40B4-BE49-F238E27FC236}">
              <a16:creationId xmlns:a16="http://schemas.microsoft.com/office/drawing/2014/main" id="{00000000-0008-0000-0900-00003F000000}"/>
            </a:ext>
          </a:extLst>
        </xdr:cNvPr>
        <xdr:cNvSpPr/>
      </xdr:nvSpPr>
      <xdr:spPr>
        <a:xfrm>
          <a:off x="4693538" y="3522825"/>
          <a:ext cx="1304925" cy="51435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spcFirstLastPara="1" wrap="square" lIns="90000" tIns="45000" rIns="90000" bIns="45000" anchor="t" anchorCtr="0">
          <a:noAutofit/>
        </a:bodyPr>
        <a:lstStyle/>
        <a:p>
          <a:pPr marL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</a:pPr>
          <a:r>
            <a:rPr lang="en-US" sz="1100" b="0" strike="noStrike">
              <a:latin typeface="Calibri"/>
              <a:ea typeface="Calibri"/>
              <a:cs typeface="Calibri"/>
              <a:sym typeface="Calibri"/>
            </a:rPr>
            <a:t>Transporte a Botadero</a:t>
          </a:r>
          <a:endParaRPr sz="1100" b="0" strike="noStrike">
            <a:latin typeface="Times New Roman"/>
            <a:ea typeface="Times New Roman"/>
            <a:cs typeface="Times New Roman"/>
            <a:sym typeface="Times New Roman"/>
          </a:endParaRPr>
        </a:p>
      </xdr:txBody>
    </xdr:sp>
    <xdr:clientData fLocksWithSheet="0"/>
  </xdr:oneCellAnchor>
  <xdr:oneCellAnchor>
    <xdr:from>
      <xdr:col>9</xdr:col>
      <xdr:colOff>161925</xdr:colOff>
      <xdr:row>4</xdr:row>
      <xdr:rowOff>85725</xdr:rowOff>
    </xdr:from>
    <xdr:ext cx="2066925" cy="38100"/>
    <xdr:grpSp>
      <xdr:nvGrpSpPr>
        <xdr:cNvPr id="12" name="Shape 2">
          <a:extLst>
            <a:ext uri="{FF2B5EF4-FFF2-40B4-BE49-F238E27FC236}">
              <a16:creationId xmlns:a16="http://schemas.microsoft.com/office/drawing/2014/main" id="{00000000-0008-0000-0900-00000C000000}"/>
            </a:ext>
          </a:extLst>
        </xdr:cNvPr>
        <xdr:cNvGrpSpPr/>
      </xdr:nvGrpSpPr>
      <xdr:grpSpPr>
        <a:xfrm>
          <a:off x="8048625" y="847725"/>
          <a:ext cx="2066925" cy="38100"/>
          <a:chOff x="4312538" y="3760950"/>
          <a:chExt cx="2067267" cy="38450"/>
        </a:xfrm>
      </xdr:grpSpPr>
      <xdr:grpSp>
        <xdr:nvGrpSpPr>
          <xdr:cNvPr id="64" name="Shape 64">
            <a:extLst>
              <a:ext uri="{FF2B5EF4-FFF2-40B4-BE49-F238E27FC236}">
                <a16:creationId xmlns:a16="http://schemas.microsoft.com/office/drawing/2014/main" id="{00000000-0008-0000-0900-000040000000}"/>
              </a:ext>
            </a:extLst>
          </xdr:cNvPr>
          <xdr:cNvGrpSpPr/>
        </xdr:nvGrpSpPr>
        <xdr:grpSpPr>
          <a:xfrm>
            <a:off x="4312538" y="3760950"/>
            <a:ext cx="2067267" cy="38450"/>
            <a:chOff x="7468560" y="854640"/>
            <a:chExt cx="2173680" cy="39600"/>
          </a:xfrm>
        </xdr:grpSpPr>
        <xdr:sp macro="" textlink="">
          <xdr:nvSpPr>
            <xdr:cNvPr id="13" name="Shape 5">
              <a:extLst>
                <a:ext uri="{FF2B5EF4-FFF2-40B4-BE49-F238E27FC236}">
                  <a16:creationId xmlns:a16="http://schemas.microsoft.com/office/drawing/2014/main" id="{00000000-0008-0000-0900-00000D000000}"/>
                </a:ext>
              </a:extLst>
            </xdr:cNvPr>
            <xdr:cNvSpPr/>
          </xdr:nvSpPr>
          <xdr:spPr>
            <a:xfrm>
              <a:off x="7468560" y="854640"/>
              <a:ext cx="2173300" cy="392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cxnSp macro="">
          <xdr:nvCxnSpPr>
            <xdr:cNvPr id="65" name="Shape 65">
              <a:extLst>
                <a:ext uri="{FF2B5EF4-FFF2-40B4-BE49-F238E27FC236}">
                  <a16:creationId xmlns:a16="http://schemas.microsoft.com/office/drawing/2014/main" id="{00000000-0008-0000-0900-000041000000}"/>
                </a:ext>
              </a:extLst>
            </xdr:cNvPr>
            <xdr:cNvCxnSpPr/>
          </xdr:nvCxnSpPr>
          <xdr:spPr>
            <a:xfrm>
              <a:off x="7468560" y="854640"/>
              <a:ext cx="2173680" cy="39600"/>
            </a:xfrm>
            <a:prstGeom prst="bentConnector3">
              <a:avLst>
                <a:gd name="adj1" fmla="val 52582"/>
              </a:avLst>
            </a:prstGeom>
            <a:noFill/>
            <a:ln w="9525" cap="flat" cmpd="sng">
              <a:solidFill>
                <a:srgbClr val="4472C4"/>
              </a:solidFill>
              <a:prstDash val="solid"/>
              <a:miter lim="8000"/>
              <a:headEnd type="none" w="sm" len="sm"/>
              <a:tailEnd type="triangle" w="med" len="med"/>
            </a:ln>
          </xdr:spPr>
        </xdr:cxnSp>
      </xdr:grpSp>
    </xdr:grpSp>
    <xdr:clientData fLocksWithSheet="0"/>
  </xdr:oneCellAnchor>
  <xdr:oneCellAnchor>
    <xdr:from>
      <xdr:col>5</xdr:col>
      <xdr:colOff>95250</xdr:colOff>
      <xdr:row>25</xdr:row>
      <xdr:rowOff>57150</xdr:rowOff>
    </xdr:from>
    <xdr:ext cx="3048000" cy="47625"/>
    <xdr:grpSp>
      <xdr:nvGrpSpPr>
        <xdr:cNvPr id="14" name="Shape 2">
          <a:extLst>
            <a:ext uri="{FF2B5EF4-FFF2-40B4-BE49-F238E27FC236}">
              <a16:creationId xmlns:a16="http://schemas.microsoft.com/office/drawing/2014/main" id="{00000000-0008-0000-0900-00000E000000}"/>
            </a:ext>
          </a:extLst>
        </xdr:cNvPr>
        <xdr:cNvGrpSpPr/>
      </xdr:nvGrpSpPr>
      <xdr:grpSpPr>
        <a:xfrm>
          <a:off x="4476750" y="4857750"/>
          <a:ext cx="3048000" cy="47625"/>
          <a:chOff x="3822000" y="3756188"/>
          <a:chExt cx="3048339" cy="47980"/>
        </a:xfrm>
      </xdr:grpSpPr>
      <xdr:grpSp>
        <xdr:nvGrpSpPr>
          <xdr:cNvPr id="66" name="Shape 66">
            <a:extLst>
              <a:ext uri="{FF2B5EF4-FFF2-40B4-BE49-F238E27FC236}">
                <a16:creationId xmlns:a16="http://schemas.microsoft.com/office/drawing/2014/main" id="{00000000-0008-0000-0900-000042000000}"/>
              </a:ext>
            </a:extLst>
          </xdr:cNvPr>
          <xdr:cNvGrpSpPr/>
        </xdr:nvGrpSpPr>
        <xdr:grpSpPr>
          <a:xfrm>
            <a:off x="3822000" y="3756188"/>
            <a:ext cx="3048339" cy="47980"/>
            <a:chOff x="4158720" y="4748040"/>
            <a:chExt cx="3240000" cy="48600"/>
          </a:xfrm>
        </xdr:grpSpPr>
        <xdr:sp macro="" textlink="">
          <xdr:nvSpPr>
            <xdr:cNvPr id="15" name="Shape 5">
              <a:extLst>
                <a:ext uri="{FF2B5EF4-FFF2-40B4-BE49-F238E27FC236}">
                  <a16:creationId xmlns:a16="http://schemas.microsoft.com/office/drawing/2014/main" id="{00000000-0008-0000-0900-00000F000000}"/>
                </a:ext>
              </a:extLst>
            </xdr:cNvPr>
            <xdr:cNvSpPr/>
          </xdr:nvSpPr>
          <xdr:spPr>
            <a:xfrm>
              <a:off x="4158720" y="4748040"/>
              <a:ext cx="3239625" cy="482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cxnSp macro="">
          <xdr:nvCxnSpPr>
            <xdr:cNvPr id="67" name="Shape 67">
              <a:extLst>
                <a:ext uri="{FF2B5EF4-FFF2-40B4-BE49-F238E27FC236}">
                  <a16:creationId xmlns:a16="http://schemas.microsoft.com/office/drawing/2014/main" id="{00000000-0008-0000-0900-000043000000}"/>
                </a:ext>
              </a:extLst>
            </xdr:cNvPr>
            <xdr:cNvCxnSpPr/>
          </xdr:nvCxnSpPr>
          <xdr:spPr>
            <a:xfrm rot="10800000" flipH="1">
              <a:off x="4158720" y="4748040"/>
              <a:ext cx="3240000" cy="48600"/>
            </a:xfrm>
            <a:prstGeom prst="bentConnector3">
              <a:avLst>
                <a:gd name="adj1" fmla="val 53149"/>
              </a:avLst>
            </a:prstGeom>
            <a:noFill/>
            <a:ln w="9525" cap="flat" cmpd="sng">
              <a:solidFill>
                <a:srgbClr val="4472C4"/>
              </a:solidFill>
              <a:prstDash val="solid"/>
              <a:miter lim="8000"/>
              <a:headEnd type="none" w="sm" len="sm"/>
              <a:tailEnd type="triangle" w="med" len="med"/>
            </a:ln>
          </xdr:spPr>
        </xdr:cxnSp>
      </xdr:grpSp>
    </xdr:grpSp>
    <xdr:clientData fLocksWithSheet="0"/>
  </xdr:oneCellAnchor>
  <xdr:oneCellAnchor>
    <xdr:from>
      <xdr:col>9</xdr:col>
      <xdr:colOff>257175</xdr:colOff>
      <xdr:row>15</xdr:row>
      <xdr:rowOff>123825</xdr:rowOff>
    </xdr:from>
    <xdr:ext cx="2057400" cy="38100"/>
    <xdr:grpSp>
      <xdr:nvGrpSpPr>
        <xdr:cNvPr id="16" name="Shape 2">
          <a:extLst>
            <a:ext uri="{FF2B5EF4-FFF2-40B4-BE49-F238E27FC236}">
              <a16:creationId xmlns:a16="http://schemas.microsoft.com/office/drawing/2014/main" id="{00000000-0008-0000-0900-000010000000}"/>
            </a:ext>
          </a:extLst>
        </xdr:cNvPr>
        <xdr:cNvGrpSpPr/>
      </xdr:nvGrpSpPr>
      <xdr:grpSpPr>
        <a:xfrm>
          <a:off x="8143875" y="3044825"/>
          <a:ext cx="2057400" cy="38100"/>
          <a:chOff x="4317300" y="3760950"/>
          <a:chExt cx="2057742" cy="38453"/>
        </a:xfrm>
      </xdr:grpSpPr>
      <xdr:grpSp>
        <xdr:nvGrpSpPr>
          <xdr:cNvPr id="68" name="Shape 68">
            <a:extLst>
              <a:ext uri="{FF2B5EF4-FFF2-40B4-BE49-F238E27FC236}">
                <a16:creationId xmlns:a16="http://schemas.microsoft.com/office/drawing/2014/main" id="{00000000-0008-0000-0900-000044000000}"/>
              </a:ext>
            </a:extLst>
          </xdr:cNvPr>
          <xdr:cNvGrpSpPr/>
        </xdr:nvGrpSpPr>
        <xdr:grpSpPr>
          <a:xfrm>
            <a:off x="4317300" y="3760950"/>
            <a:ext cx="2057742" cy="38453"/>
            <a:chOff x="7563600" y="2889720"/>
            <a:chExt cx="2164320" cy="39240"/>
          </a:xfrm>
        </xdr:grpSpPr>
        <xdr:sp macro="" textlink="">
          <xdr:nvSpPr>
            <xdr:cNvPr id="17" name="Shape 5">
              <a:extLst>
                <a:ext uri="{FF2B5EF4-FFF2-40B4-BE49-F238E27FC236}">
                  <a16:creationId xmlns:a16="http://schemas.microsoft.com/office/drawing/2014/main" id="{00000000-0008-0000-0900-000011000000}"/>
                </a:ext>
              </a:extLst>
            </xdr:cNvPr>
            <xdr:cNvSpPr/>
          </xdr:nvSpPr>
          <xdr:spPr>
            <a:xfrm>
              <a:off x="7563600" y="2889720"/>
              <a:ext cx="2163950" cy="3887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cxnSp macro="">
          <xdr:nvCxnSpPr>
            <xdr:cNvPr id="69" name="Shape 69">
              <a:extLst>
                <a:ext uri="{FF2B5EF4-FFF2-40B4-BE49-F238E27FC236}">
                  <a16:creationId xmlns:a16="http://schemas.microsoft.com/office/drawing/2014/main" id="{00000000-0008-0000-0900-000045000000}"/>
                </a:ext>
              </a:extLst>
            </xdr:cNvPr>
            <xdr:cNvCxnSpPr/>
          </xdr:nvCxnSpPr>
          <xdr:spPr>
            <a:xfrm>
              <a:off x="7563600" y="2889720"/>
              <a:ext cx="2164320" cy="39240"/>
            </a:xfrm>
            <a:prstGeom prst="bentConnector3">
              <a:avLst>
                <a:gd name="adj1" fmla="val 52598"/>
              </a:avLst>
            </a:prstGeom>
            <a:noFill/>
            <a:ln w="9525" cap="flat" cmpd="sng">
              <a:solidFill>
                <a:srgbClr val="4472C4"/>
              </a:solidFill>
              <a:prstDash val="solid"/>
              <a:miter lim="8000"/>
              <a:headEnd type="none" w="sm" len="sm"/>
              <a:tailEnd type="triangle" w="med" len="med"/>
            </a:ln>
          </xdr:spPr>
        </xdr:cxnSp>
      </xdr:grpSp>
    </xdr:grpSp>
    <xdr:clientData fLocksWithSheet="0"/>
  </xdr:oneCellAnchor>
  <xdr:oneCellAnchor>
    <xdr:from>
      <xdr:col>3</xdr:col>
      <xdr:colOff>323850</xdr:colOff>
      <xdr:row>24</xdr:row>
      <xdr:rowOff>114300</xdr:rowOff>
    </xdr:from>
    <xdr:ext cx="971550" cy="419100"/>
    <xdr:sp macro="" textlink="">
      <xdr:nvSpPr>
        <xdr:cNvPr id="70" name="Shape 70">
          <a:extLst>
            <a:ext uri="{FF2B5EF4-FFF2-40B4-BE49-F238E27FC236}">
              <a16:creationId xmlns:a16="http://schemas.microsoft.com/office/drawing/2014/main" id="{00000000-0008-0000-0900-000046000000}"/>
            </a:ext>
          </a:extLst>
        </xdr:cNvPr>
        <xdr:cNvSpPr/>
      </xdr:nvSpPr>
      <xdr:spPr>
        <a:xfrm>
          <a:off x="4864988" y="3575213"/>
          <a:ext cx="962025" cy="409575"/>
        </a:xfrm>
        <a:prstGeom prst="rect">
          <a:avLst/>
        </a:prstGeom>
        <a:noFill/>
        <a:ln>
          <a:noFill/>
        </a:ln>
      </xdr:spPr>
      <xdr:txBody>
        <a:bodyPr spcFirstLastPara="1" wrap="square" lIns="90000" tIns="45000" rIns="90000" bIns="45000" anchor="t" anchorCtr="0">
          <a:noAutofit/>
        </a:bodyPr>
        <a:lstStyle/>
        <a:p>
          <a:pPr marL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</a:pPr>
          <a:r>
            <a:rPr lang="en-US" sz="1050" b="0" strike="noStrike">
              <a:latin typeface="Calibri"/>
              <a:ea typeface="Calibri"/>
              <a:cs typeface="Calibri"/>
              <a:sym typeface="Calibri"/>
            </a:rPr>
            <a:t>Stock Rechazos (10% Fem)</a:t>
          </a:r>
          <a:endParaRPr sz="1050" b="0" strike="noStrike">
            <a:latin typeface="Times New Roman"/>
            <a:ea typeface="Times New Roman"/>
            <a:cs typeface="Times New Roman"/>
            <a:sym typeface="Times New Roman"/>
          </a:endParaRPr>
        </a:p>
      </xdr:txBody>
    </xdr:sp>
    <xdr:clientData fLocksWithSheet="0"/>
  </xdr:oneCellAnchor>
  <xdr:oneCellAnchor>
    <xdr:from>
      <xdr:col>12</xdr:col>
      <xdr:colOff>47625</xdr:colOff>
      <xdr:row>3</xdr:row>
      <xdr:rowOff>28575</xdr:rowOff>
    </xdr:from>
    <xdr:ext cx="1895475" cy="600075"/>
    <xdr:sp macro="" textlink="">
      <xdr:nvSpPr>
        <xdr:cNvPr id="71" name="Shape 71">
          <a:extLst>
            <a:ext uri="{FF2B5EF4-FFF2-40B4-BE49-F238E27FC236}">
              <a16:creationId xmlns:a16="http://schemas.microsoft.com/office/drawing/2014/main" id="{00000000-0008-0000-0900-000047000000}"/>
            </a:ext>
          </a:extLst>
        </xdr:cNvPr>
        <xdr:cNvSpPr/>
      </xdr:nvSpPr>
      <xdr:spPr>
        <a:xfrm>
          <a:off x="4403025" y="3484725"/>
          <a:ext cx="1885950" cy="59055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spcFirstLastPara="1" wrap="square" lIns="90000" tIns="45000" rIns="90000" bIns="45000" anchor="t" anchorCtr="0">
          <a:noAutofit/>
        </a:bodyPr>
        <a:lstStyle/>
        <a:p>
          <a:pPr marL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</a:pPr>
          <a:r>
            <a:rPr lang="en-US" sz="1100" b="0" strike="noStrike">
              <a:latin typeface="Calibri"/>
              <a:ea typeface="Calibri"/>
              <a:cs typeface="Calibri"/>
              <a:sym typeface="Calibri"/>
            </a:rPr>
            <a:t>Transporte a Romeral (concentradora)</a:t>
          </a:r>
          <a:endParaRPr sz="1100" b="0" strike="noStrike">
            <a:latin typeface="Times New Roman"/>
            <a:ea typeface="Times New Roman"/>
            <a:cs typeface="Times New Roman"/>
            <a:sym typeface="Times New Roman"/>
          </a:endParaRPr>
        </a:p>
      </xdr:txBody>
    </xdr:sp>
    <xdr:clientData fLocksWithSheet="0"/>
  </xdr:oneCellAnchor>
  <xdr:oneCellAnchor>
    <xdr:from>
      <xdr:col>4</xdr:col>
      <xdr:colOff>561975</xdr:colOff>
      <xdr:row>24</xdr:row>
      <xdr:rowOff>76200</xdr:rowOff>
    </xdr:from>
    <xdr:ext cx="381000" cy="419100"/>
    <xdr:sp macro="" textlink="">
      <xdr:nvSpPr>
        <xdr:cNvPr id="72" name="Shape 72">
          <a:extLst>
            <a:ext uri="{FF2B5EF4-FFF2-40B4-BE49-F238E27FC236}">
              <a16:creationId xmlns:a16="http://schemas.microsoft.com/office/drawing/2014/main" id="{00000000-0008-0000-0900-000048000000}"/>
            </a:ext>
          </a:extLst>
        </xdr:cNvPr>
        <xdr:cNvSpPr/>
      </xdr:nvSpPr>
      <xdr:spPr>
        <a:xfrm>
          <a:off x="5165025" y="3579975"/>
          <a:ext cx="361950" cy="400050"/>
        </a:xfrm>
        <a:prstGeom prst="triangle">
          <a:avLst>
            <a:gd name="adj" fmla="val 50000"/>
          </a:avLst>
        </a:prstGeom>
        <a:solidFill>
          <a:srgbClr val="FFFFFF"/>
        </a:solidFill>
        <a:ln w="12700" cap="flat" cmpd="sng">
          <a:solidFill>
            <a:srgbClr val="31538F"/>
          </a:solidFill>
          <a:prstDash val="solid"/>
          <a:miter lim="8000"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12</xdr:col>
      <xdr:colOff>123825</xdr:colOff>
      <xdr:row>14</xdr:row>
      <xdr:rowOff>76200</xdr:rowOff>
    </xdr:from>
    <xdr:ext cx="1352550" cy="485775"/>
    <xdr:sp macro="" textlink="">
      <xdr:nvSpPr>
        <xdr:cNvPr id="73" name="Shape 73">
          <a:extLst>
            <a:ext uri="{FF2B5EF4-FFF2-40B4-BE49-F238E27FC236}">
              <a16:creationId xmlns:a16="http://schemas.microsoft.com/office/drawing/2014/main" id="{00000000-0008-0000-0900-000049000000}"/>
            </a:ext>
          </a:extLst>
        </xdr:cNvPr>
        <xdr:cNvSpPr/>
      </xdr:nvSpPr>
      <xdr:spPr>
        <a:xfrm>
          <a:off x="4674488" y="3541875"/>
          <a:ext cx="1343025" cy="476250"/>
        </a:xfrm>
        <a:prstGeom prst="rect">
          <a:avLst/>
        </a:prstGeom>
        <a:noFill/>
        <a:ln>
          <a:noFill/>
        </a:ln>
      </xdr:spPr>
      <xdr:txBody>
        <a:bodyPr spcFirstLastPara="1" wrap="square" lIns="90000" tIns="45000" rIns="90000" bIns="45000" anchor="t" anchorCtr="0">
          <a:noAutofit/>
        </a:bodyPr>
        <a:lstStyle/>
        <a:p>
          <a:pPr marL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</a:pPr>
          <a:r>
            <a:rPr lang="en-US" sz="1100" b="0" strike="noStrike">
              <a:latin typeface="Calibri"/>
              <a:ea typeface="Calibri"/>
              <a:cs typeface="Calibri"/>
              <a:sym typeface="Calibri"/>
            </a:rPr>
            <a:t>Transporte a Romeral (Molienda)</a:t>
          </a:r>
          <a:endParaRPr sz="1100" b="0" strike="noStrike">
            <a:latin typeface="Times New Roman"/>
            <a:ea typeface="Times New Roman"/>
            <a:cs typeface="Times New Roman"/>
            <a:sym typeface="Times New Roman"/>
          </a:endParaRPr>
        </a:p>
      </xdr:txBody>
    </xdr:sp>
    <xdr:clientData fLocksWithSheet="0"/>
  </xdr:oneCellAnchor>
  <xdr:oneCellAnchor>
    <xdr:from>
      <xdr:col>4</xdr:col>
      <xdr:colOff>142875</xdr:colOff>
      <xdr:row>8</xdr:row>
      <xdr:rowOff>142875</xdr:rowOff>
    </xdr:from>
    <xdr:ext cx="1200150" cy="561975"/>
    <xdr:sp macro="" textlink="">
      <xdr:nvSpPr>
        <xdr:cNvPr id="74" name="Shape 74">
          <a:extLst>
            <a:ext uri="{FF2B5EF4-FFF2-40B4-BE49-F238E27FC236}">
              <a16:creationId xmlns:a16="http://schemas.microsoft.com/office/drawing/2014/main" id="{00000000-0008-0000-0900-00004A000000}"/>
            </a:ext>
          </a:extLst>
        </xdr:cNvPr>
        <xdr:cNvSpPr/>
      </xdr:nvSpPr>
      <xdr:spPr>
        <a:xfrm>
          <a:off x="4750688" y="3503775"/>
          <a:ext cx="1190625" cy="552450"/>
        </a:xfrm>
        <a:prstGeom prst="rect">
          <a:avLst/>
        </a:prstGeom>
        <a:solidFill>
          <a:srgbClr val="FFFFFF"/>
        </a:solidFill>
        <a:ln w="12700" cap="flat" cmpd="sng">
          <a:solidFill>
            <a:srgbClr val="31538F"/>
          </a:solidFill>
          <a:prstDash val="solid"/>
          <a:miter lim="8000"/>
          <a:headEnd type="none" w="sm" len="sm"/>
          <a:tailEnd type="none" w="sm" len="sm"/>
        </a:ln>
      </xdr:spPr>
      <xdr:txBody>
        <a:bodyPr spcFirstLastPara="1" wrap="square" lIns="90000" tIns="45000" rIns="90000" bIns="45000" anchor="ctr" anchorCtr="0">
          <a:noAutofit/>
        </a:bodyPr>
        <a:lstStyle/>
        <a:p>
          <a:pPr marL="0" lvl="0" indent="0" algn="ctr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</a:pPr>
          <a:r>
            <a:rPr lang="en-US" sz="1100" b="0" strike="noStrike">
              <a:latin typeface="Calibri"/>
              <a:ea typeface="Calibri"/>
              <a:cs typeface="Calibri"/>
              <a:sym typeface="Calibri"/>
            </a:rPr>
            <a:t>Planta Pleito</a:t>
          </a:r>
          <a:endParaRPr sz="1100" b="0" strike="noStrike">
            <a:latin typeface="Times New Roman"/>
            <a:ea typeface="Times New Roman"/>
            <a:cs typeface="Times New Roman"/>
            <a:sym typeface="Times New Roman"/>
          </a:endParaRPr>
        </a:p>
        <a:p>
          <a:pPr marL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</a:pPr>
          <a:endParaRPr sz="1100" b="0" strike="noStrike">
            <a:latin typeface="Times New Roman"/>
            <a:ea typeface="Times New Roman"/>
            <a:cs typeface="Times New Roman"/>
            <a:sym typeface="Times New Roman"/>
          </a:endParaRPr>
        </a:p>
      </xdr:txBody>
    </xdr:sp>
    <xdr:clientData fLocksWithSheet="0"/>
  </xdr:oneCellAnchor>
  <xdr:oneCellAnchor>
    <xdr:from>
      <xdr:col>0</xdr:col>
      <xdr:colOff>276225</xdr:colOff>
      <xdr:row>8</xdr:row>
      <xdr:rowOff>0</xdr:rowOff>
    </xdr:from>
    <xdr:ext cx="923925" cy="304800"/>
    <xdr:sp macro="" textlink="">
      <xdr:nvSpPr>
        <xdr:cNvPr id="75" name="Shape 75">
          <a:extLst>
            <a:ext uri="{FF2B5EF4-FFF2-40B4-BE49-F238E27FC236}">
              <a16:creationId xmlns:a16="http://schemas.microsoft.com/office/drawing/2014/main" id="{00000000-0008-0000-0900-00004B000000}"/>
            </a:ext>
          </a:extLst>
        </xdr:cNvPr>
        <xdr:cNvSpPr/>
      </xdr:nvSpPr>
      <xdr:spPr>
        <a:xfrm>
          <a:off x="4888800" y="3632363"/>
          <a:ext cx="914400" cy="295275"/>
        </a:xfrm>
        <a:prstGeom prst="rect">
          <a:avLst/>
        </a:prstGeom>
        <a:noFill/>
        <a:ln>
          <a:noFill/>
        </a:ln>
      </xdr:spPr>
      <xdr:txBody>
        <a:bodyPr spcFirstLastPara="1" wrap="square" lIns="90000" tIns="45000" rIns="90000" bIns="45000" anchor="t" anchorCtr="0">
          <a:noAutofit/>
        </a:bodyPr>
        <a:lstStyle/>
        <a:p>
          <a:pPr marL="0" lvl="0" indent="0" algn="l" rtl="0">
            <a:lnSpc>
              <a:spcPct val="100000"/>
            </a:lnSpc>
            <a:spcBef>
              <a:spcPts val="0"/>
            </a:spcBef>
            <a:spcAft>
              <a:spcPts val="0"/>
            </a:spcAft>
            <a:buNone/>
          </a:pPr>
          <a:r>
            <a:rPr lang="en-US" sz="1100" b="0" strike="noStrike">
              <a:latin typeface="Calibri"/>
              <a:ea typeface="Calibri"/>
              <a:cs typeface="Calibri"/>
              <a:sym typeface="Calibri"/>
            </a:rPr>
            <a:t>ML Acopio</a:t>
          </a:r>
          <a:endParaRPr sz="1100" b="0" strike="noStrike">
            <a:latin typeface="Times New Roman"/>
            <a:ea typeface="Times New Roman"/>
            <a:cs typeface="Times New Roman"/>
            <a:sym typeface="Times New Roman"/>
          </a:endParaRPr>
        </a:p>
      </xdr:txBody>
    </xdr:sp>
    <xdr:clientData fLocksWithSheet="0"/>
  </xdr:oneCellAnchor>
  <xdr:oneCellAnchor>
    <xdr:from>
      <xdr:col>1</xdr:col>
      <xdr:colOff>9525</xdr:colOff>
      <xdr:row>10</xdr:row>
      <xdr:rowOff>0</xdr:rowOff>
    </xdr:from>
    <xdr:ext cx="2419350" cy="0"/>
    <xdr:grpSp>
      <xdr:nvGrpSpPr>
        <xdr:cNvPr id="18" name="Shape 2">
          <a:extLst>
            <a:ext uri="{FF2B5EF4-FFF2-40B4-BE49-F238E27FC236}">
              <a16:creationId xmlns:a16="http://schemas.microsoft.com/office/drawing/2014/main" id="{00000000-0008-0000-0900-000012000000}"/>
            </a:ext>
          </a:extLst>
        </xdr:cNvPr>
        <xdr:cNvGrpSpPr/>
      </xdr:nvGrpSpPr>
      <xdr:grpSpPr>
        <a:xfrm>
          <a:off x="885825" y="1905000"/>
          <a:ext cx="2419350" cy="0"/>
          <a:chOff x="4136325" y="3780000"/>
          <a:chExt cx="2419689" cy="0"/>
        </a:xfrm>
      </xdr:grpSpPr>
      <xdr:grpSp>
        <xdr:nvGrpSpPr>
          <xdr:cNvPr id="76" name="Shape 76">
            <a:extLst>
              <a:ext uri="{FF2B5EF4-FFF2-40B4-BE49-F238E27FC236}">
                <a16:creationId xmlns:a16="http://schemas.microsoft.com/office/drawing/2014/main" id="{00000000-0008-0000-0900-00004C000000}"/>
              </a:ext>
            </a:extLst>
          </xdr:cNvPr>
          <xdr:cNvGrpSpPr/>
        </xdr:nvGrpSpPr>
        <xdr:grpSpPr>
          <a:xfrm>
            <a:off x="4136325" y="3780000"/>
            <a:ext cx="2419689" cy="0"/>
            <a:chOff x="823680" y="1832400"/>
            <a:chExt cx="2567520" cy="6840"/>
          </a:xfrm>
        </xdr:grpSpPr>
        <xdr:sp macro="" textlink="">
          <xdr:nvSpPr>
            <xdr:cNvPr id="19" name="Shape 5">
              <a:extLst>
                <a:ext uri="{FF2B5EF4-FFF2-40B4-BE49-F238E27FC236}">
                  <a16:creationId xmlns:a16="http://schemas.microsoft.com/office/drawing/2014/main" id="{00000000-0008-0000-0900-000013000000}"/>
                </a:ext>
              </a:extLst>
            </xdr:cNvPr>
            <xdr:cNvSpPr/>
          </xdr:nvSpPr>
          <xdr:spPr>
            <a:xfrm>
              <a:off x="823680" y="1832400"/>
              <a:ext cx="2567150" cy="647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cxnSp macro="">
          <xdr:nvCxnSpPr>
            <xdr:cNvPr id="77" name="Shape 77">
              <a:extLst>
                <a:ext uri="{FF2B5EF4-FFF2-40B4-BE49-F238E27FC236}">
                  <a16:creationId xmlns:a16="http://schemas.microsoft.com/office/drawing/2014/main" id="{00000000-0008-0000-0900-00004D000000}"/>
                </a:ext>
              </a:extLst>
            </xdr:cNvPr>
            <xdr:cNvCxnSpPr/>
          </xdr:nvCxnSpPr>
          <xdr:spPr>
            <a:xfrm>
              <a:off x="823680" y="1832400"/>
              <a:ext cx="2567520" cy="6840"/>
            </a:xfrm>
            <a:prstGeom prst="bentConnector3">
              <a:avLst>
                <a:gd name="adj1" fmla="val 50007"/>
              </a:avLst>
            </a:prstGeom>
            <a:noFill/>
            <a:ln w="9525" cap="flat" cmpd="sng">
              <a:solidFill>
                <a:srgbClr val="4472C4"/>
              </a:solidFill>
              <a:prstDash val="solid"/>
              <a:miter lim="8000"/>
              <a:headEnd type="none" w="sm" len="sm"/>
              <a:tailEnd type="triangle" w="med" len="med"/>
            </a:ln>
          </xdr:spPr>
        </xdr:cxnSp>
      </xdr:grpSp>
    </xdr:grp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>
      <selection activeCell="B17" sqref="B17"/>
    </sheetView>
  </sheetViews>
  <sheetFormatPr baseColWidth="10" defaultColWidth="14.5" defaultRowHeight="15" customHeight="1" x14ac:dyDescent="0.2"/>
  <cols>
    <col min="1" max="1" width="25.1640625" customWidth="1"/>
    <col min="2" max="2" width="23.5" customWidth="1"/>
    <col min="3" max="4" width="10.6640625" customWidth="1"/>
    <col min="5" max="5" width="12.1640625" customWidth="1"/>
    <col min="6" max="6" width="10.6640625" customWidth="1"/>
    <col min="7" max="7" width="27.33203125" customWidth="1"/>
    <col min="8" max="8" width="10.83203125" customWidth="1"/>
    <col min="9" max="9" width="13.5" customWidth="1"/>
    <col min="10" max="10" width="11.6640625" customWidth="1"/>
    <col min="11" max="11" width="10.6640625" customWidth="1"/>
    <col min="12" max="12" width="15.33203125" customWidth="1"/>
    <col min="13" max="15" width="10.6640625" customWidth="1"/>
    <col min="16" max="16" width="12.1640625" customWidth="1"/>
    <col min="17" max="17" width="12.6640625" customWidth="1"/>
    <col min="18" max="18" width="11.6640625" customWidth="1"/>
    <col min="19" max="20" width="10.6640625" customWidth="1"/>
    <col min="21" max="26" width="14.5" customWidth="1"/>
  </cols>
  <sheetData>
    <row r="1" spans="1:26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9.5" customHeight="1" x14ac:dyDescent="0.25">
      <c r="A2" s="1"/>
      <c r="B2" s="271" t="s">
        <v>0</v>
      </c>
      <c r="C2" s="272"/>
      <c r="D2" s="272"/>
      <c r="E2" s="273"/>
      <c r="F2" s="1"/>
      <c r="G2" s="271" t="s">
        <v>1</v>
      </c>
      <c r="H2" s="272"/>
      <c r="I2" s="272"/>
      <c r="J2" s="273"/>
      <c r="K2" s="1"/>
      <c r="L2" s="274" t="s">
        <v>2</v>
      </c>
      <c r="M2" s="272"/>
      <c r="N2" s="273"/>
      <c r="O2" s="1"/>
      <c r="P2" s="2" t="s">
        <v>3</v>
      </c>
      <c r="Q2" s="3" t="s">
        <v>4</v>
      </c>
      <c r="R2" s="3" t="s">
        <v>5</v>
      </c>
      <c r="S2" s="1"/>
      <c r="T2" s="4" t="s">
        <v>6</v>
      </c>
      <c r="U2" s="1"/>
      <c r="V2" s="1"/>
      <c r="W2" s="1"/>
      <c r="X2" s="1"/>
      <c r="Y2" s="1"/>
      <c r="Z2" s="1"/>
    </row>
    <row r="3" spans="1:26" ht="19" x14ac:dyDescent="0.25">
      <c r="A3" s="1"/>
      <c r="B3" s="5" t="s">
        <v>7</v>
      </c>
      <c r="C3" s="5" t="s">
        <v>8</v>
      </c>
      <c r="D3" s="5" t="s">
        <v>9</v>
      </c>
      <c r="E3" s="5" t="s">
        <v>10</v>
      </c>
      <c r="F3" s="1"/>
      <c r="G3" s="5" t="s">
        <v>7</v>
      </c>
      <c r="H3" s="5" t="s">
        <v>8</v>
      </c>
      <c r="I3" s="5" t="s">
        <v>9</v>
      </c>
      <c r="J3" s="5" t="s">
        <v>10</v>
      </c>
      <c r="K3" s="1"/>
      <c r="L3" s="6" t="s">
        <v>11</v>
      </c>
      <c r="M3" s="6" t="s">
        <v>12</v>
      </c>
      <c r="N3" s="6" t="s">
        <v>12</v>
      </c>
      <c r="O3" s="1"/>
      <c r="P3" s="7"/>
      <c r="Q3" s="7"/>
      <c r="R3" s="7"/>
      <c r="S3" s="1"/>
      <c r="T3" s="8"/>
      <c r="U3" s="1"/>
      <c r="V3" s="1"/>
      <c r="W3" s="1"/>
      <c r="X3" s="1"/>
      <c r="Y3" s="1"/>
      <c r="Z3" s="1"/>
    </row>
    <row r="4" spans="1:26" ht="21" x14ac:dyDescent="0.25">
      <c r="A4" s="1"/>
      <c r="B4" s="9" t="s">
        <v>13</v>
      </c>
      <c r="C4" s="10">
        <f>Utilidad!A1</f>
        <v>0</v>
      </c>
      <c r="D4" s="11">
        <f>IF(Utilidad!C1&gt;1,Utilidad!C1/100,Utilidad!C1)</f>
        <v>0</v>
      </c>
      <c r="E4" s="11">
        <f>IF(Utilidad!E1&gt;1,Utilidad!E1/100,Utilidad!E1)</f>
        <v>0</v>
      </c>
      <c r="F4" s="1"/>
      <c r="G4" s="9" t="s">
        <v>13</v>
      </c>
      <c r="H4" s="10">
        <f>Utilidad!B1</f>
        <v>0</v>
      </c>
      <c r="I4" s="11">
        <f>IF(Utilidad!D1&gt;1,Utilidad!D1/100,Utilidad!D1)</f>
        <v>0</v>
      </c>
      <c r="J4" s="11">
        <f>IF(Utilidad!F1&gt;1,Utilidad!F1/100,Utilidad!F1)</f>
        <v>0</v>
      </c>
      <c r="K4" s="1"/>
      <c r="L4" s="12">
        <f>+IF(C4&lt;&gt;0,(HI4-C4)/C4,ABS(H4-C4))</f>
        <v>0</v>
      </c>
      <c r="M4" s="12">
        <f t="shared" ref="M4:N4" si="0">+IF(D4&lt;&gt;0,(I4-D4)/D4,0)</f>
        <v>0</v>
      </c>
      <c r="N4" s="12">
        <f t="shared" si="0"/>
        <v>0</v>
      </c>
      <c r="O4" s="1"/>
      <c r="P4" s="11">
        <f t="shared" ref="P4:P32" si="1">+IF(L4&lt;&gt;"",ABS(L4),0)</f>
        <v>0</v>
      </c>
      <c r="Q4" s="11">
        <f t="shared" ref="Q4:R4" si="2">+IF(L4&lt;&gt;"",ABS(L4),0)</f>
        <v>0</v>
      </c>
      <c r="R4" s="11">
        <f t="shared" si="2"/>
        <v>0</v>
      </c>
      <c r="S4" s="1"/>
      <c r="T4" s="13" t="str">
        <f t="shared" ref="T4:T32" si="3">IF(J4&lt;=I4,"SI","NO")</f>
        <v>SI</v>
      </c>
      <c r="U4" s="1"/>
      <c r="V4" s="1"/>
      <c r="W4" s="1"/>
      <c r="X4" s="1"/>
      <c r="Y4" s="1"/>
      <c r="Z4" s="1"/>
    </row>
    <row r="5" spans="1:26" ht="21" x14ac:dyDescent="0.25">
      <c r="A5" s="1"/>
      <c r="B5" s="9" t="s">
        <v>14</v>
      </c>
      <c r="C5" s="10">
        <f>Utilidad!A2</f>
        <v>0</v>
      </c>
      <c r="D5" s="11">
        <f>IF(Utilidad!C2&gt;1,Utilidad!C2/100,Utilidad!C2)</f>
        <v>0</v>
      </c>
      <c r="E5" s="11">
        <f>IF(Utilidad!E2&gt;1,Utilidad!E2/100,Utilidad!E2)</f>
        <v>0</v>
      </c>
      <c r="F5" s="1"/>
      <c r="G5" s="9" t="s">
        <v>14</v>
      </c>
      <c r="H5" s="10">
        <f>Utilidad!B2</f>
        <v>0</v>
      </c>
      <c r="I5" s="11">
        <f>IF(Utilidad!D2&gt;1,Utilidad!D2/100,Utilidad!D2)</f>
        <v>0</v>
      </c>
      <c r="J5" s="11">
        <f>IF(Utilidad!F2&gt;1,Utilidad!F2/100,Utilidad!F2)</f>
        <v>0</v>
      </c>
      <c r="K5" s="1"/>
      <c r="L5" s="12">
        <f t="shared" ref="L5:L32" si="4">+IF(C5&lt;&gt;0,(H5-C5)/C5,ABS(H5-C5))</f>
        <v>0</v>
      </c>
      <c r="M5" s="12">
        <f t="shared" ref="M5:N5" si="5">+IF(D5&lt;&gt;0,(I5-D5)/D5,0)</f>
        <v>0</v>
      </c>
      <c r="N5" s="12">
        <f t="shared" si="5"/>
        <v>0</v>
      </c>
      <c r="O5" s="1"/>
      <c r="P5" s="11">
        <f t="shared" si="1"/>
        <v>0</v>
      </c>
      <c r="Q5" s="11">
        <f t="shared" ref="Q5:R5" si="6">+IF(L5&lt;&gt;"",ABS(L5),0)</f>
        <v>0</v>
      </c>
      <c r="R5" s="11">
        <f t="shared" si="6"/>
        <v>0</v>
      </c>
      <c r="S5" s="1"/>
      <c r="T5" s="13" t="str">
        <f t="shared" si="3"/>
        <v>SI</v>
      </c>
      <c r="U5" s="1"/>
      <c r="V5" s="1"/>
      <c r="W5" s="1"/>
      <c r="X5" s="1"/>
      <c r="Y5" s="1"/>
      <c r="Z5" s="1"/>
    </row>
    <row r="6" spans="1:26" ht="21" x14ac:dyDescent="0.25">
      <c r="A6" s="1"/>
      <c r="B6" s="9" t="s">
        <v>15</v>
      </c>
      <c r="C6" s="10">
        <f>Utilidad!A3</f>
        <v>0</v>
      </c>
      <c r="D6" s="11">
        <f>IF(Utilidad!C3&gt;1,Utilidad!C3/100,Utilidad!C3)</f>
        <v>0</v>
      </c>
      <c r="E6" s="11">
        <f>IF(Utilidad!E3&gt;1,Utilidad!E3/100,Utilidad!E3)</f>
        <v>0</v>
      </c>
      <c r="F6" s="1"/>
      <c r="G6" s="9" t="s">
        <v>15</v>
      </c>
      <c r="H6" s="10">
        <f>Utilidad!B3</f>
        <v>0</v>
      </c>
      <c r="I6" s="11">
        <f>IF(Utilidad!D3&gt;1,Utilidad!D3/100,Utilidad!D3)</f>
        <v>0</v>
      </c>
      <c r="J6" s="11">
        <f>IF(Utilidad!F3&gt;1,Utilidad!F3/100,Utilidad!F3)</f>
        <v>0</v>
      </c>
      <c r="K6" s="1"/>
      <c r="L6" s="12">
        <f t="shared" si="4"/>
        <v>0</v>
      </c>
      <c r="M6" s="12">
        <f t="shared" ref="M6:N6" si="7">+IF(D6&lt;&gt;0,(I6-D6)/D6,0)</f>
        <v>0</v>
      </c>
      <c r="N6" s="12">
        <f t="shared" si="7"/>
        <v>0</v>
      </c>
      <c r="O6" s="1"/>
      <c r="P6" s="11">
        <f t="shared" si="1"/>
        <v>0</v>
      </c>
      <c r="Q6" s="11">
        <f t="shared" ref="Q6:R6" si="8">+IF(L6&lt;&gt;"",ABS(L6),0)</f>
        <v>0</v>
      </c>
      <c r="R6" s="11">
        <f t="shared" si="8"/>
        <v>0</v>
      </c>
      <c r="S6" s="1"/>
      <c r="T6" s="13" t="str">
        <f t="shared" si="3"/>
        <v>SI</v>
      </c>
      <c r="U6" s="1"/>
      <c r="V6" s="1"/>
      <c r="W6" s="1"/>
      <c r="X6" s="1"/>
      <c r="Y6" s="1"/>
      <c r="Z6" s="1"/>
    </row>
    <row r="7" spans="1:26" ht="21" x14ac:dyDescent="0.25">
      <c r="A7" s="1"/>
      <c r="B7" s="9" t="s">
        <v>16</v>
      </c>
      <c r="C7" s="10">
        <f>Utilidad!A4</f>
        <v>0</v>
      </c>
      <c r="D7" s="11">
        <f>IF(Utilidad!C4&gt;1,Utilidad!C4/100,Utilidad!C4)</f>
        <v>0</v>
      </c>
      <c r="E7" s="11">
        <f>IF(Utilidad!E4&gt;1,Utilidad!E4/100,Utilidad!E4)</f>
        <v>0</v>
      </c>
      <c r="F7" s="1"/>
      <c r="G7" s="9" t="s">
        <v>16</v>
      </c>
      <c r="H7" s="10">
        <f>Utilidad!B4</f>
        <v>0</v>
      </c>
      <c r="I7" s="11">
        <f>IF(Utilidad!D4&gt;1,Utilidad!D4/100,Utilidad!D4)</f>
        <v>0</v>
      </c>
      <c r="J7" s="11">
        <f>IF(Utilidad!F4&gt;1,Utilidad!F4/100,Utilidad!F4)</f>
        <v>0</v>
      </c>
      <c r="K7" s="1"/>
      <c r="L7" s="12">
        <f t="shared" si="4"/>
        <v>0</v>
      </c>
      <c r="M7" s="12">
        <f t="shared" ref="M7:N7" si="9">+IF(D7&lt;&gt;0,(I7-D7)/D7,0)</f>
        <v>0</v>
      </c>
      <c r="N7" s="12">
        <f t="shared" si="9"/>
        <v>0</v>
      </c>
      <c r="O7" s="1"/>
      <c r="P7" s="11">
        <f t="shared" si="1"/>
        <v>0</v>
      </c>
      <c r="Q7" s="11">
        <f t="shared" ref="Q7:R7" si="10">+IF(L7&lt;&gt;"",ABS(L7),0)</f>
        <v>0</v>
      </c>
      <c r="R7" s="11">
        <f t="shared" si="10"/>
        <v>0</v>
      </c>
      <c r="S7" s="1"/>
      <c r="T7" s="13" t="str">
        <f t="shared" si="3"/>
        <v>SI</v>
      </c>
      <c r="U7" s="1"/>
      <c r="V7" s="1"/>
      <c r="W7" s="1"/>
      <c r="X7" s="1"/>
      <c r="Y7" s="1"/>
      <c r="Z7" s="1"/>
    </row>
    <row r="8" spans="1:26" ht="21" x14ac:dyDescent="0.25">
      <c r="A8" s="1"/>
      <c r="B8" s="9" t="s">
        <v>17</v>
      </c>
      <c r="C8" s="10">
        <f>Utilidad!A5</f>
        <v>0</v>
      </c>
      <c r="D8" s="11">
        <f>IF(Utilidad!C5&gt;1,Utilidad!C5/100,Utilidad!C5)</f>
        <v>0</v>
      </c>
      <c r="E8" s="11">
        <f>IF(Utilidad!E5&gt;1,Utilidad!E5/100,Utilidad!E5)</f>
        <v>0</v>
      </c>
      <c r="F8" s="1"/>
      <c r="G8" s="9" t="s">
        <v>17</v>
      </c>
      <c r="H8" s="10">
        <f>Utilidad!B5</f>
        <v>0</v>
      </c>
      <c r="I8" s="11">
        <f>IF(Utilidad!D5&gt;1,Utilidad!D5/100,Utilidad!D5)</f>
        <v>0</v>
      </c>
      <c r="J8" s="11">
        <f>IF(Utilidad!F5&gt;1,Utilidad!F5/100,Utilidad!F5)</f>
        <v>0</v>
      </c>
      <c r="K8" s="1"/>
      <c r="L8" s="12">
        <f t="shared" si="4"/>
        <v>0</v>
      </c>
      <c r="M8" s="12">
        <f t="shared" ref="M8:N8" si="11">+IF(D8&lt;&gt;0,(I8-D8)/D8,0)</f>
        <v>0</v>
      </c>
      <c r="N8" s="12">
        <f t="shared" si="11"/>
        <v>0</v>
      </c>
      <c r="O8" s="1"/>
      <c r="P8" s="11">
        <f t="shared" si="1"/>
        <v>0</v>
      </c>
      <c r="Q8" s="11">
        <f t="shared" ref="Q8:R8" si="12">+IF(L8&lt;&gt;"",ABS(L8),0)</f>
        <v>0</v>
      </c>
      <c r="R8" s="11">
        <f t="shared" si="12"/>
        <v>0</v>
      </c>
      <c r="S8" s="1"/>
      <c r="T8" s="13" t="str">
        <f t="shared" si="3"/>
        <v>SI</v>
      </c>
      <c r="U8" s="1"/>
      <c r="V8" s="1"/>
      <c r="W8" s="1"/>
      <c r="X8" s="1"/>
      <c r="Y8" s="1"/>
      <c r="Z8" s="1"/>
    </row>
    <row r="9" spans="1:26" ht="21" x14ac:dyDescent="0.25">
      <c r="A9" s="1"/>
      <c r="B9" s="9" t="s">
        <v>18</v>
      </c>
      <c r="C9" s="10">
        <f>Utilidad!A6</f>
        <v>0</v>
      </c>
      <c r="D9" s="11">
        <f>IF(Utilidad!C6&gt;1,Utilidad!C6/100,Utilidad!C6)</f>
        <v>0</v>
      </c>
      <c r="E9" s="11">
        <f>IF(Utilidad!E6&gt;1,Utilidad!E6/100,Utilidad!E6)</f>
        <v>0</v>
      </c>
      <c r="F9" s="1"/>
      <c r="G9" s="9" t="s">
        <v>18</v>
      </c>
      <c r="H9" s="10">
        <f>Utilidad!B6</f>
        <v>0</v>
      </c>
      <c r="I9" s="11">
        <f>IF(Utilidad!D6&gt;1,Utilidad!D6/100,Utilidad!D6)</f>
        <v>0</v>
      </c>
      <c r="J9" s="11">
        <f>IF(Utilidad!F6&gt;1,Utilidad!F6/100,Utilidad!F6)</f>
        <v>0</v>
      </c>
      <c r="K9" s="1"/>
      <c r="L9" s="12">
        <f t="shared" si="4"/>
        <v>0</v>
      </c>
      <c r="M9" s="12">
        <f t="shared" ref="M9:N9" si="13">+IF(D9&lt;&gt;0,(I9-D9)/D9,0)</f>
        <v>0</v>
      </c>
      <c r="N9" s="12">
        <f t="shared" si="13"/>
        <v>0</v>
      </c>
      <c r="O9" s="1"/>
      <c r="P9" s="11">
        <f t="shared" si="1"/>
        <v>0</v>
      </c>
      <c r="Q9" s="11">
        <f t="shared" ref="Q9:R9" si="14">+IF(L9&lt;&gt;"",ABS(L9),0)</f>
        <v>0</v>
      </c>
      <c r="R9" s="11">
        <f t="shared" si="14"/>
        <v>0</v>
      </c>
      <c r="S9" s="1"/>
      <c r="T9" s="13" t="str">
        <f t="shared" si="3"/>
        <v>SI</v>
      </c>
      <c r="U9" s="1"/>
      <c r="V9" s="1"/>
      <c r="W9" s="1"/>
      <c r="X9" s="1"/>
      <c r="Y9" s="1"/>
      <c r="Z9" s="1"/>
    </row>
    <row r="10" spans="1:26" ht="21" x14ac:dyDescent="0.25">
      <c r="A10" s="1"/>
      <c r="B10" s="9" t="s">
        <v>19</v>
      </c>
      <c r="C10" s="10">
        <f>Utilidad!A7</f>
        <v>0</v>
      </c>
      <c r="D10" s="11">
        <f>IF(Utilidad!C7&gt;1,Utilidad!C7/100,Utilidad!C7)</f>
        <v>0</v>
      </c>
      <c r="E10" s="11">
        <f>IF(Utilidad!E7&gt;1,Utilidad!E7/100,Utilidad!E7)</f>
        <v>0</v>
      </c>
      <c r="F10" s="1"/>
      <c r="G10" s="9" t="s">
        <v>19</v>
      </c>
      <c r="H10" s="10">
        <f>Utilidad!B7</f>
        <v>0</v>
      </c>
      <c r="I10" s="11">
        <f>IF(Utilidad!D7&gt;1,Utilidad!D7/100,Utilidad!D7)</f>
        <v>0</v>
      </c>
      <c r="J10" s="11">
        <f>IF(Utilidad!F7&gt;1,Utilidad!F7/100,Utilidad!F7)</f>
        <v>0</v>
      </c>
      <c r="K10" s="1"/>
      <c r="L10" s="12">
        <f t="shared" si="4"/>
        <v>0</v>
      </c>
      <c r="M10" s="12">
        <f t="shared" ref="M10:N10" si="15">+IF(D10&lt;&gt;0,(I10-D10)/D10,0)</f>
        <v>0</v>
      </c>
      <c r="N10" s="12">
        <f t="shared" si="15"/>
        <v>0</v>
      </c>
      <c r="O10" s="1"/>
      <c r="P10" s="11">
        <f t="shared" si="1"/>
        <v>0</v>
      </c>
      <c r="Q10" s="11">
        <f t="shared" ref="Q10:R10" si="16">+IF(L10&lt;&gt;"",ABS(L10),0)</f>
        <v>0</v>
      </c>
      <c r="R10" s="11">
        <f t="shared" si="16"/>
        <v>0</v>
      </c>
      <c r="S10" s="1"/>
      <c r="T10" s="13" t="str">
        <f t="shared" si="3"/>
        <v>SI</v>
      </c>
      <c r="U10" s="1"/>
      <c r="V10" s="1"/>
      <c r="W10" s="1"/>
      <c r="X10" s="1"/>
      <c r="Y10" s="1"/>
      <c r="Z10" s="1"/>
    </row>
    <row r="11" spans="1:26" ht="21" x14ac:dyDescent="0.25">
      <c r="A11" s="1"/>
      <c r="B11" s="9" t="s">
        <v>20</v>
      </c>
      <c r="C11" s="10">
        <f>Utilidad!A8</f>
        <v>0</v>
      </c>
      <c r="D11" s="11">
        <f>IF(Utilidad!C8&gt;1,Utilidad!C8/100,Utilidad!C8)</f>
        <v>0</v>
      </c>
      <c r="E11" s="11">
        <f>IF(Utilidad!E8&gt;1,Utilidad!E8/100,Utilidad!E8)</f>
        <v>0</v>
      </c>
      <c r="F11" s="1"/>
      <c r="G11" s="9" t="s">
        <v>20</v>
      </c>
      <c r="H11" s="10">
        <f>Utilidad!B8</f>
        <v>0</v>
      </c>
      <c r="I11" s="11">
        <f>IF(Utilidad!D8&gt;1,Utilidad!D8/100,Utilidad!D8)</f>
        <v>0</v>
      </c>
      <c r="J11" s="11">
        <f>IF(Utilidad!F8&gt;1,Utilidad!F8/100,Utilidad!F8)</f>
        <v>0</v>
      </c>
      <c r="K11" s="1"/>
      <c r="L11" s="12">
        <f t="shared" si="4"/>
        <v>0</v>
      </c>
      <c r="M11" s="12">
        <f t="shared" ref="M11:N11" si="17">+IF(D11&lt;&gt;0,(I11-D11)/D11,0)</f>
        <v>0</v>
      </c>
      <c r="N11" s="12">
        <f t="shared" si="17"/>
        <v>0</v>
      </c>
      <c r="O11" s="1"/>
      <c r="P11" s="11">
        <f t="shared" si="1"/>
        <v>0</v>
      </c>
      <c r="Q11" s="11">
        <f t="shared" ref="Q11:R11" si="18">+IF(L11&lt;&gt;"",ABS(L11),0)</f>
        <v>0</v>
      </c>
      <c r="R11" s="11">
        <f t="shared" si="18"/>
        <v>0</v>
      </c>
      <c r="S11" s="1"/>
      <c r="T11" s="13" t="str">
        <f t="shared" si="3"/>
        <v>SI</v>
      </c>
      <c r="U11" s="1"/>
      <c r="V11" s="1"/>
      <c r="W11" s="1"/>
      <c r="X11" s="1"/>
      <c r="Y11" s="1"/>
      <c r="Z11" s="1"/>
    </row>
    <row r="12" spans="1:26" ht="21" x14ac:dyDescent="0.25">
      <c r="A12" s="1"/>
      <c r="B12" s="9" t="s">
        <v>21</v>
      </c>
      <c r="C12" s="10">
        <f>Utilidad!A9</f>
        <v>0</v>
      </c>
      <c r="D12" s="11">
        <f>IF(Utilidad!C9&gt;1,Utilidad!C9/100,Utilidad!C9)</f>
        <v>0</v>
      </c>
      <c r="E12" s="11">
        <f>IF(Utilidad!E9&gt;1,Utilidad!E9/100,Utilidad!E9)</f>
        <v>0</v>
      </c>
      <c r="F12" s="1"/>
      <c r="G12" s="9" t="s">
        <v>21</v>
      </c>
      <c r="H12" s="10">
        <f>Utilidad!B9</f>
        <v>0</v>
      </c>
      <c r="I12" s="11">
        <f>IF(Utilidad!D9&gt;1,Utilidad!D9/100,Utilidad!D9)</f>
        <v>0</v>
      </c>
      <c r="J12" s="11">
        <f>IF(Utilidad!F9&gt;1,Utilidad!F9/100,Utilidad!F9)</f>
        <v>0</v>
      </c>
      <c r="K12" s="1"/>
      <c r="L12" s="12">
        <f t="shared" si="4"/>
        <v>0</v>
      </c>
      <c r="M12" s="12">
        <f t="shared" ref="M12:N12" si="19">+IF(D12&lt;&gt;0,(I12-D12)/D12,0)</f>
        <v>0</v>
      </c>
      <c r="N12" s="12">
        <f t="shared" si="19"/>
        <v>0</v>
      </c>
      <c r="O12" s="1"/>
      <c r="P12" s="11">
        <f t="shared" si="1"/>
        <v>0</v>
      </c>
      <c r="Q12" s="11">
        <f t="shared" ref="Q12:R12" si="20">+IF(L12&lt;&gt;"",ABS(L12),0)</f>
        <v>0</v>
      </c>
      <c r="R12" s="11">
        <f t="shared" si="20"/>
        <v>0</v>
      </c>
      <c r="S12" s="1"/>
      <c r="T12" s="13" t="str">
        <f t="shared" si="3"/>
        <v>SI</v>
      </c>
      <c r="U12" s="1"/>
      <c r="V12" s="1"/>
      <c r="W12" s="1"/>
      <c r="X12" s="1"/>
      <c r="Y12" s="1"/>
      <c r="Z12" s="1"/>
    </row>
    <row r="13" spans="1:26" ht="21" x14ac:dyDescent="0.25">
      <c r="A13" s="1"/>
      <c r="B13" s="9" t="s">
        <v>22</v>
      </c>
      <c r="C13" s="10">
        <f>Utilidad!A10</f>
        <v>0</v>
      </c>
      <c r="D13" s="11">
        <f>IF(Utilidad!C10&gt;1,Utilidad!C10/100,Utilidad!C10)</f>
        <v>0</v>
      </c>
      <c r="E13" s="11">
        <f>IF(Utilidad!E10&gt;1,Utilidad!E10/100,Utilidad!E10)</f>
        <v>0</v>
      </c>
      <c r="F13" s="1"/>
      <c r="G13" s="9" t="s">
        <v>22</v>
      </c>
      <c r="H13" s="10">
        <f>Utilidad!B10</f>
        <v>0</v>
      </c>
      <c r="I13" s="11">
        <f>IF(Utilidad!D10&gt;1,Utilidad!D10/100,Utilidad!D10)</f>
        <v>0</v>
      </c>
      <c r="J13" s="11">
        <f>IF(Utilidad!F10&gt;1,Utilidad!F10/100,Utilidad!F10)</f>
        <v>0</v>
      </c>
      <c r="K13" s="1"/>
      <c r="L13" s="12">
        <f t="shared" si="4"/>
        <v>0</v>
      </c>
      <c r="M13" s="12">
        <f t="shared" ref="M13:N13" si="21">+IF(D13&lt;&gt;0,(I13-D13)/D13,0)</f>
        <v>0</v>
      </c>
      <c r="N13" s="12">
        <f t="shared" si="21"/>
        <v>0</v>
      </c>
      <c r="O13" s="1"/>
      <c r="P13" s="11">
        <f t="shared" si="1"/>
        <v>0</v>
      </c>
      <c r="Q13" s="11">
        <f t="shared" ref="Q13:R13" si="22">+IF(L13&lt;&gt;"",ABS(L13),0)</f>
        <v>0</v>
      </c>
      <c r="R13" s="11">
        <f t="shared" si="22"/>
        <v>0</v>
      </c>
      <c r="S13" s="1"/>
      <c r="T13" s="13" t="str">
        <f t="shared" si="3"/>
        <v>SI</v>
      </c>
      <c r="U13" s="1"/>
      <c r="V13" s="1"/>
      <c r="W13" s="1"/>
      <c r="X13" s="1"/>
      <c r="Y13" s="1"/>
      <c r="Z13" s="1"/>
    </row>
    <row r="14" spans="1:26" ht="21" x14ac:dyDescent="0.25">
      <c r="A14" s="1"/>
      <c r="B14" s="9" t="s">
        <v>23</v>
      </c>
      <c r="C14" s="10">
        <f>Utilidad!A11</f>
        <v>0</v>
      </c>
      <c r="D14" s="11">
        <f>IF(Utilidad!C11&gt;1,Utilidad!C11/100,Utilidad!C11)</f>
        <v>0</v>
      </c>
      <c r="E14" s="11">
        <f>IF(Utilidad!E11&gt;1,Utilidad!E11/100,Utilidad!E11)</f>
        <v>0</v>
      </c>
      <c r="F14" s="1"/>
      <c r="G14" s="9" t="s">
        <v>23</v>
      </c>
      <c r="H14" s="10">
        <f>Utilidad!B11</f>
        <v>0</v>
      </c>
      <c r="I14" s="11">
        <f>IF(Utilidad!D11&gt;1,Utilidad!D11/100,Utilidad!D11)</f>
        <v>0</v>
      </c>
      <c r="J14" s="11">
        <f>IF(Utilidad!F11&gt;1,Utilidad!F11/100,Utilidad!F11)</f>
        <v>0</v>
      </c>
      <c r="K14" s="1"/>
      <c r="L14" s="12">
        <f t="shared" si="4"/>
        <v>0</v>
      </c>
      <c r="M14" s="12">
        <f t="shared" ref="M14:N14" si="23">+IF(D14&lt;&gt;0,(I14-D14)/D14,0)</f>
        <v>0</v>
      </c>
      <c r="N14" s="12">
        <f t="shared" si="23"/>
        <v>0</v>
      </c>
      <c r="O14" s="1"/>
      <c r="P14" s="11">
        <f t="shared" si="1"/>
        <v>0</v>
      </c>
      <c r="Q14" s="11">
        <f t="shared" ref="Q14:R14" si="24">+IF(L14&lt;&gt;"",ABS(L14),0)</f>
        <v>0</v>
      </c>
      <c r="R14" s="11">
        <f t="shared" si="24"/>
        <v>0</v>
      </c>
      <c r="S14" s="1"/>
      <c r="T14" s="13" t="str">
        <f t="shared" si="3"/>
        <v>SI</v>
      </c>
      <c r="U14" s="1"/>
      <c r="V14" s="1"/>
      <c r="W14" s="1"/>
      <c r="X14" s="1"/>
      <c r="Y14" s="1"/>
      <c r="Z14" s="1"/>
    </row>
    <row r="15" spans="1:26" ht="21" x14ac:dyDescent="0.25">
      <c r="A15" s="1"/>
      <c r="B15" s="9" t="s">
        <v>24</v>
      </c>
      <c r="C15" s="10">
        <f>Utilidad!A12</f>
        <v>0</v>
      </c>
      <c r="D15" s="11">
        <f>IF(Utilidad!C12&gt;1,Utilidad!C12/100,Utilidad!C12)</f>
        <v>0</v>
      </c>
      <c r="E15" s="11">
        <f>IF(Utilidad!E12&gt;1,Utilidad!E12/100,Utilidad!E12)</f>
        <v>0</v>
      </c>
      <c r="F15" s="1"/>
      <c r="G15" s="9" t="s">
        <v>24</v>
      </c>
      <c r="H15" s="10">
        <f>Utilidad!B12</f>
        <v>0</v>
      </c>
      <c r="I15" s="11">
        <f>IF(Utilidad!D12&gt;1,Utilidad!D12/100,Utilidad!D12)</f>
        <v>0</v>
      </c>
      <c r="J15" s="11">
        <f>IF(Utilidad!F12&gt;1,Utilidad!F12/100,Utilidad!F12)</f>
        <v>0</v>
      </c>
      <c r="K15" s="1"/>
      <c r="L15" s="12">
        <f t="shared" si="4"/>
        <v>0</v>
      </c>
      <c r="M15" s="12">
        <f t="shared" ref="M15:N15" si="25">+IF(D15&lt;&gt;0,(I15-D15)/D15,0)</f>
        <v>0</v>
      </c>
      <c r="N15" s="12">
        <f t="shared" si="25"/>
        <v>0</v>
      </c>
      <c r="O15" s="1"/>
      <c r="P15" s="11">
        <f t="shared" si="1"/>
        <v>0</v>
      </c>
      <c r="Q15" s="11">
        <f t="shared" ref="Q15:R15" si="26">+IF(L15&lt;&gt;"",ABS(L15),0)</f>
        <v>0</v>
      </c>
      <c r="R15" s="11">
        <f t="shared" si="26"/>
        <v>0</v>
      </c>
      <c r="S15" s="1"/>
      <c r="T15" s="13" t="str">
        <f t="shared" si="3"/>
        <v>SI</v>
      </c>
      <c r="U15" s="1"/>
      <c r="V15" s="1"/>
      <c r="W15" s="1"/>
      <c r="X15" s="1"/>
      <c r="Y15" s="1"/>
      <c r="Z15" s="1"/>
    </row>
    <row r="16" spans="1:26" ht="21" x14ac:dyDescent="0.25">
      <c r="A16" s="1"/>
      <c r="B16" s="9" t="s">
        <v>25</v>
      </c>
      <c r="C16" s="10">
        <f>Utilidad!A13</f>
        <v>0</v>
      </c>
      <c r="D16" s="11">
        <f>IF(Utilidad!C13&gt;1,Utilidad!C13/100,Utilidad!C13)</f>
        <v>0</v>
      </c>
      <c r="E16" s="11">
        <f>IF(Utilidad!E13&gt;1,Utilidad!E13/100,Utilidad!E13)</f>
        <v>0</v>
      </c>
      <c r="F16" s="1"/>
      <c r="G16" s="9" t="s">
        <v>25</v>
      </c>
      <c r="H16" s="10">
        <f>Utilidad!B13</f>
        <v>0</v>
      </c>
      <c r="I16" s="11">
        <f>IF(Utilidad!D13&gt;1,Utilidad!D13/100,Utilidad!D13)</f>
        <v>0</v>
      </c>
      <c r="J16" s="11">
        <f>IF(Utilidad!F13&gt;1,Utilidad!F13/100,Utilidad!F13)</f>
        <v>0</v>
      </c>
      <c r="K16" s="1"/>
      <c r="L16" s="12">
        <f t="shared" si="4"/>
        <v>0</v>
      </c>
      <c r="M16" s="12">
        <f t="shared" ref="M16:N16" si="27">+IF(D16&lt;&gt;0,(I16-D16)/D16,0)</f>
        <v>0</v>
      </c>
      <c r="N16" s="12">
        <f t="shared" si="27"/>
        <v>0</v>
      </c>
      <c r="O16" s="1"/>
      <c r="P16" s="11">
        <f t="shared" si="1"/>
        <v>0</v>
      </c>
      <c r="Q16" s="11">
        <f t="shared" ref="Q16:R16" si="28">+IF(L16&lt;&gt;"",ABS(L16),0)</f>
        <v>0</v>
      </c>
      <c r="R16" s="11">
        <f t="shared" si="28"/>
        <v>0</v>
      </c>
      <c r="S16" s="1"/>
      <c r="T16" s="13" t="str">
        <f t="shared" si="3"/>
        <v>SI</v>
      </c>
      <c r="U16" s="1"/>
      <c r="V16" s="1"/>
      <c r="W16" s="1"/>
      <c r="X16" s="1"/>
      <c r="Y16" s="1"/>
      <c r="Z16" s="1"/>
    </row>
    <row r="17" spans="1:26" ht="21" x14ac:dyDescent="0.25">
      <c r="A17" s="1"/>
      <c r="B17" s="9" t="s">
        <v>26</v>
      </c>
      <c r="C17" s="10">
        <f>Utilidad!A14</f>
        <v>0</v>
      </c>
      <c r="D17" s="11">
        <f>IF(Utilidad!C14&gt;1,Utilidad!C14/100,Utilidad!C14)</f>
        <v>0</v>
      </c>
      <c r="E17" s="11">
        <f>IF(Utilidad!E14&gt;1,Utilidad!E14/100,Utilidad!E14)</f>
        <v>0</v>
      </c>
      <c r="F17" s="1"/>
      <c r="G17" s="9" t="s">
        <v>26</v>
      </c>
      <c r="H17" s="10">
        <f>Utilidad!B14</f>
        <v>0</v>
      </c>
      <c r="I17" s="11">
        <f>IF(Utilidad!D14&gt;1,Utilidad!D14/100,Utilidad!D14)</f>
        <v>0</v>
      </c>
      <c r="J17" s="11">
        <f>IF(Utilidad!F14&gt;1,Utilidad!F14/100,Utilidad!F14)</f>
        <v>0</v>
      </c>
      <c r="K17" s="1"/>
      <c r="L17" s="12">
        <f t="shared" si="4"/>
        <v>0</v>
      </c>
      <c r="M17" s="12">
        <f t="shared" ref="M17:N17" si="29">+IF(D17&lt;&gt;0,(I17-D17)/D17,0)</f>
        <v>0</v>
      </c>
      <c r="N17" s="12">
        <f t="shared" si="29"/>
        <v>0</v>
      </c>
      <c r="O17" s="1"/>
      <c r="P17" s="11">
        <f t="shared" si="1"/>
        <v>0</v>
      </c>
      <c r="Q17" s="11">
        <f t="shared" ref="Q17:R17" si="30">+IF(L17&lt;&gt;"",ABS(L17),0)</f>
        <v>0</v>
      </c>
      <c r="R17" s="11">
        <f t="shared" si="30"/>
        <v>0</v>
      </c>
      <c r="S17" s="1"/>
      <c r="T17" s="13" t="str">
        <f t="shared" si="3"/>
        <v>SI</v>
      </c>
      <c r="U17" s="1"/>
      <c r="V17" s="1"/>
      <c r="W17" s="1"/>
      <c r="X17" s="1"/>
      <c r="Y17" s="1"/>
      <c r="Z17" s="1"/>
    </row>
    <row r="18" spans="1:26" ht="21" x14ac:dyDescent="0.25">
      <c r="A18" s="1"/>
      <c r="B18" s="9" t="s">
        <v>27</v>
      </c>
      <c r="C18" s="10">
        <f>Utilidad!A15</f>
        <v>0</v>
      </c>
      <c r="D18" s="11">
        <f>IF(Utilidad!C15&gt;1,Utilidad!C15/100,Utilidad!C15)</f>
        <v>0</v>
      </c>
      <c r="E18" s="11">
        <f>IF(Utilidad!E15&gt;1,Utilidad!E15/100,Utilidad!E15)</f>
        <v>0</v>
      </c>
      <c r="F18" s="1"/>
      <c r="G18" s="9" t="s">
        <v>27</v>
      </c>
      <c r="H18" s="10">
        <f>Utilidad!B15</f>
        <v>0</v>
      </c>
      <c r="I18" s="11">
        <f>IF(Utilidad!D15&gt;1,Utilidad!D15/100,Utilidad!D15)</f>
        <v>0</v>
      </c>
      <c r="J18" s="11">
        <f>IF(Utilidad!F15&gt;1,Utilidad!F15/100,Utilidad!F15)</f>
        <v>0</v>
      </c>
      <c r="K18" s="1"/>
      <c r="L18" s="12">
        <f t="shared" si="4"/>
        <v>0</v>
      </c>
      <c r="M18" s="12">
        <f t="shared" ref="M18:N18" si="31">+IF(D18&lt;&gt;0,(I18-D18)/D18,0)</f>
        <v>0</v>
      </c>
      <c r="N18" s="12">
        <f t="shared" si="31"/>
        <v>0</v>
      </c>
      <c r="O18" s="1"/>
      <c r="P18" s="11">
        <f t="shared" si="1"/>
        <v>0</v>
      </c>
      <c r="Q18" s="11">
        <f t="shared" ref="Q18:R18" si="32">+IF(L18&lt;&gt;"",ABS(L18),0)</f>
        <v>0</v>
      </c>
      <c r="R18" s="11">
        <f t="shared" si="32"/>
        <v>0</v>
      </c>
      <c r="S18" s="1"/>
      <c r="T18" s="13" t="str">
        <f t="shared" si="3"/>
        <v>SI</v>
      </c>
      <c r="U18" s="1"/>
      <c r="V18" s="1"/>
      <c r="W18" s="1"/>
      <c r="X18" s="1"/>
      <c r="Y18" s="1"/>
      <c r="Z18" s="1"/>
    </row>
    <row r="19" spans="1:26" ht="21" x14ac:dyDescent="0.25">
      <c r="A19" s="1"/>
      <c r="B19" s="9" t="s">
        <v>28</v>
      </c>
      <c r="C19" s="10">
        <f>Utilidad!A16</f>
        <v>0</v>
      </c>
      <c r="D19" s="11">
        <f>IF(Utilidad!C16&gt;1,Utilidad!C16/100,Utilidad!C16)</f>
        <v>0</v>
      </c>
      <c r="E19" s="11">
        <f>IF(Utilidad!E16&gt;1,Utilidad!E16/100,Utilidad!E16)</f>
        <v>0</v>
      </c>
      <c r="F19" s="1"/>
      <c r="G19" s="9" t="s">
        <v>28</v>
      </c>
      <c r="H19" s="10">
        <f>Utilidad!B16</f>
        <v>0</v>
      </c>
      <c r="I19" s="11">
        <f>IF(Utilidad!D16&gt;1,Utilidad!D16/100,Utilidad!D16)</f>
        <v>0</v>
      </c>
      <c r="J19" s="11">
        <f>IF(Utilidad!F16&gt;1,Utilidad!F16/100,Utilidad!F16)</f>
        <v>0</v>
      </c>
      <c r="K19" s="1"/>
      <c r="L19" s="12">
        <f t="shared" si="4"/>
        <v>0</v>
      </c>
      <c r="M19" s="12">
        <f t="shared" ref="M19:N19" si="33">+IF(D19&lt;&gt;0,(I19-D19)/D19,0)</f>
        <v>0</v>
      </c>
      <c r="N19" s="12">
        <f t="shared" si="33"/>
        <v>0</v>
      </c>
      <c r="O19" s="1"/>
      <c r="P19" s="11">
        <f t="shared" si="1"/>
        <v>0</v>
      </c>
      <c r="Q19" s="11">
        <f t="shared" ref="Q19:R19" si="34">+IF(L19&lt;&gt;"",ABS(L19),0)</f>
        <v>0</v>
      </c>
      <c r="R19" s="11">
        <f t="shared" si="34"/>
        <v>0</v>
      </c>
      <c r="S19" s="1"/>
      <c r="T19" s="13" t="str">
        <f t="shared" si="3"/>
        <v>SI</v>
      </c>
      <c r="U19" s="1"/>
      <c r="V19" s="1"/>
      <c r="W19" s="1"/>
      <c r="X19" s="1"/>
      <c r="Y19" s="1"/>
      <c r="Z19" s="1"/>
    </row>
    <row r="20" spans="1:26" ht="21" x14ac:dyDescent="0.25">
      <c r="A20" s="1"/>
      <c r="B20" s="9" t="s">
        <v>29</v>
      </c>
      <c r="C20" s="10">
        <f>Utilidad!A17</f>
        <v>0</v>
      </c>
      <c r="D20" s="11">
        <f>IF(Utilidad!C17&gt;1,Utilidad!C17/100,Utilidad!C17)</f>
        <v>0</v>
      </c>
      <c r="E20" s="11">
        <f>IF(Utilidad!E17&gt;1,Utilidad!E17/100,Utilidad!E17)</f>
        <v>0</v>
      </c>
      <c r="F20" s="1"/>
      <c r="G20" s="9" t="s">
        <v>29</v>
      </c>
      <c r="H20" s="10">
        <f>Utilidad!B17</f>
        <v>0</v>
      </c>
      <c r="I20" s="11">
        <f>IF(Utilidad!D17&gt;1,Utilidad!D17/100,Utilidad!D17)</f>
        <v>0</v>
      </c>
      <c r="J20" s="11">
        <f>IF(Utilidad!F17&gt;1,Utilidad!F17/100,Utilidad!F17)</f>
        <v>0</v>
      </c>
      <c r="K20" s="1"/>
      <c r="L20" s="12">
        <f t="shared" si="4"/>
        <v>0</v>
      </c>
      <c r="M20" s="12">
        <f t="shared" ref="M20:N20" si="35">+IF(D20&lt;&gt;0,(I20-D20)/D20,0)</f>
        <v>0</v>
      </c>
      <c r="N20" s="12">
        <f t="shared" si="35"/>
        <v>0</v>
      </c>
      <c r="O20" s="1"/>
      <c r="P20" s="11">
        <f t="shared" si="1"/>
        <v>0</v>
      </c>
      <c r="Q20" s="11">
        <f t="shared" ref="Q20:R20" si="36">+IF(L20&lt;&gt;"",ABS(L20),0)</f>
        <v>0</v>
      </c>
      <c r="R20" s="11">
        <f t="shared" si="36"/>
        <v>0</v>
      </c>
      <c r="S20" s="1"/>
      <c r="T20" s="13" t="str">
        <f t="shared" si="3"/>
        <v>SI</v>
      </c>
      <c r="U20" s="1"/>
      <c r="V20" s="1"/>
      <c r="W20" s="1"/>
      <c r="X20" s="1"/>
      <c r="Y20" s="1"/>
      <c r="Z20" s="1"/>
    </row>
    <row r="21" spans="1:26" ht="15.75" customHeight="1" x14ac:dyDescent="0.25">
      <c r="A21" s="1"/>
      <c r="B21" s="14" t="s">
        <v>30</v>
      </c>
      <c r="C21" s="10">
        <f>Utilidad!A18</f>
        <v>26003</v>
      </c>
      <c r="D21" s="11">
        <f>IF(Utilidad!C18&gt;1,Utilidad!C18/100,Utilidad!C18)</f>
        <v>0.40776899999999999</v>
      </c>
      <c r="E21" s="11">
        <f>IF(Utilidad!E18&gt;1,Utilidad!E18/100,Utilidad!E18)</f>
        <v>0.36099600000000004</v>
      </c>
      <c r="F21" s="1">
        <f>+E21/D21</f>
        <v>0.88529535104434143</v>
      </c>
      <c r="G21" s="14" t="s">
        <v>30</v>
      </c>
      <c r="H21" s="10">
        <f>Utilidad!B18</f>
        <v>20375.175738000002</v>
      </c>
      <c r="I21" s="11">
        <f>IF(Utilidad!D18&gt;1,Utilidad!D18/100,Utilidad!D18)</f>
        <v>0.42830678239000003</v>
      </c>
      <c r="J21" s="11">
        <f>IF(Utilidad!F18&gt;1,Utilidad!F18/100,Utilidad!F18)</f>
        <v>0.39709560000000005</v>
      </c>
      <c r="K21" s="1">
        <f>+J21/I21</f>
        <v>0.92712890929291836</v>
      </c>
      <c r="L21" s="12">
        <f t="shared" si="4"/>
        <v>-0.21642980663769559</v>
      </c>
      <c r="M21" s="12">
        <f t="shared" ref="M21:N21" si="37">+IF(D21&lt;&gt;0,(I21-D21)/D21,0)</f>
        <v>5.0366218103877529E-2</v>
      </c>
      <c r="N21" s="12">
        <f t="shared" si="37"/>
        <v>0.10000000000000002</v>
      </c>
      <c r="O21" s="1"/>
      <c r="P21" s="11">
        <f t="shared" si="1"/>
        <v>0.21642980663769559</v>
      </c>
      <c r="Q21" s="11">
        <f t="shared" ref="Q21:R21" si="38">+IF(L21&lt;&gt;"",ABS(L21),0)</f>
        <v>0.21642980663769559</v>
      </c>
      <c r="R21" s="11">
        <f t="shared" si="38"/>
        <v>5.0366218103877529E-2</v>
      </c>
      <c r="S21" s="1"/>
      <c r="T21" s="13" t="str">
        <f t="shared" si="3"/>
        <v>SI</v>
      </c>
      <c r="U21" s="1"/>
      <c r="V21" s="1"/>
      <c r="W21" s="1"/>
      <c r="X21" s="1"/>
      <c r="Y21" s="1"/>
      <c r="Z21" s="1"/>
    </row>
    <row r="22" spans="1:26" ht="15.75" customHeight="1" x14ac:dyDescent="0.25">
      <c r="A22" s="1"/>
      <c r="B22" s="14" t="s">
        <v>31</v>
      </c>
      <c r="C22" s="10">
        <f>Utilidad!A19</f>
        <v>19882</v>
      </c>
      <c r="D22" s="11">
        <f>IF(Utilidad!C19&gt;1,Utilidad!C19/100,Utilidad!C19)</f>
        <v>0.41347499999999998</v>
      </c>
      <c r="E22" s="11">
        <f>IF(Utilidad!E19&gt;1,Utilidad!E19/100,Utilidad!E19)</f>
        <v>0.35183900000000001</v>
      </c>
      <c r="F22" s="1">
        <f t="shared" ref="F22" si="39">+E22/D22</f>
        <v>0.85093173710623382</v>
      </c>
      <c r="G22" s="14" t="s">
        <v>31</v>
      </c>
      <c r="H22" s="10">
        <f>Utilidad!B19</f>
        <v>16522.937223000001</v>
      </c>
      <c r="I22" s="11">
        <f>IF(Utilidad!D19&gt;1,Utilidad!D19/100,Utilidad!D19)</f>
        <v>0.43059465885999998</v>
      </c>
      <c r="J22" s="11">
        <f>IF(Utilidad!F19&gt;1,Utilidad!F19/100,Utilidad!F19)</f>
        <v>0.38590782546000002</v>
      </c>
      <c r="K22" s="1">
        <f t="shared" ref="K22:K23" si="40">+J22/I22</f>
        <v>0.8962206509520847</v>
      </c>
      <c r="L22" s="12">
        <f t="shared" si="4"/>
        <v>-0.16894994351674877</v>
      </c>
      <c r="M22" s="12">
        <f t="shared" ref="M22:N22" si="41">+IF(D22&lt;&gt;0,(I22-D22)/D22,0)</f>
        <v>4.1404338496886142E-2</v>
      </c>
      <c r="N22" s="12">
        <f t="shared" si="41"/>
        <v>9.683072501911387E-2</v>
      </c>
      <c r="O22" s="1"/>
      <c r="P22" s="11">
        <f t="shared" si="1"/>
        <v>0.16894994351674877</v>
      </c>
      <c r="Q22" s="11">
        <f t="shared" ref="Q22:R22" si="42">+IF(L22&lt;&gt;"",ABS(L22),0)</f>
        <v>0.16894994351674877</v>
      </c>
      <c r="R22" s="11">
        <f t="shared" si="42"/>
        <v>4.1404338496886142E-2</v>
      </c>
      <c r="S22" s="1"/>
      <c r="T22" s="13" t="str">
        <f t="shared" si="3"/>
        <v>SI</v>
      </c>
      <c r="U22" s="1"/>
      <c r="V22" s="1"/>
      <c r="W22" s="1"/>
      <c r="X22" s="1"/>
      <c r="Y22" s="1"/>
      <c r="Z22" s="1"/>
    </row>
    <row r="23" spans="1:26" ht="15.75" customHeight="1" x14ac:dyDescent="0.25">
      <c r="A23" s="1"/>
      <c r="B23" s="14" t="s">
        <v>32</v>
      </c>
      <c r="C23" s="10">
        <f>Utilidad!A20</f>
        <v>15669</v>
      </c>
      <c r="D23" s="11">
        <f>IF(Utilidad!C20&gt;1,Utilidad!C20/100,Utilidad!C20)</f>
        <v>0.35</v>
      </c>
      <c r="E23" s="11">
        <f>IF(Utilidad!E20&gt;1,Utilidad!E20/100,Utilidad!E20)</f>
        <v>0.28000000000000003</v>
      </c>
      <c r="F23" s="1">
        <f>+E23/D23</f>
        <v>0.80000000000000016</v>
      </c>
      <c r="G23" s="14" t="s">
        <v>32</v>
      </c>
      <c r="H23" s="10">
        <f>Utilidad!B20</f>
        <v>13114.856148000001</v>
      </c>
      <c r="I23" s="11">
        <f>IF(Utilidad!D20&gt;1,Utilidad!D20/100,Utilidad!D20)</f>
        <v>0.35974301740999998</v>
      </c>
      <c r="J23" s="11">
        <f>IF(Utilidad!F20&gt;1,Utilidad!F20/100,Utilidad!F20)</f>
        <v>0.29708978893999999</v>
      </c>
      <c r="K23" s="1">
        <f t="shared" si="40"/>
        <v>0.82583893102060146</v>
      </c>
      <c r="L23" s="12">
        <f t="shared" si="4"/>
        <v>-0.1630061811219605</v>
      </c>
      <c r="M23" s="12">
        <f t="shared" ref="M23:N23" si="43">+IF(D23&lt;&gt;0,(I23-D23)/D23,0)</f>
        <v>2.7837192599999998E-2</v>
      </c>
      <c r="N23" s="12">
        <f t="shared" si="43"/>
        <v>6.1034960499999853E-2</v>
      </c>
      <c r="O23" s="1"/>
      <c r="P23" s="11">
        <f t="shared" si="1"/>
        <v>0.1630061811219605</v>
      </c>
      <c r="Q23" s="11">
        <f t="shared" ref="Q23:R23" si="44">+IF(L23&lt;&gt;"",ABS(L23),0)</f>
        <v>0.1630061811219605</v>
      </c>
      <c r="R23" s="11">
        <f t="shared" si="44"/>
        <v>2.7837192599999998E-2</v>
      </c>
      <c r="S23" s="1"/>
      <c r="T23" s="13" t="str">
        <f t="shared" si="3"/>
        <v>SI</v>
      </c>
      <c r="U23" s="1"/>
      <c r="V23" s="1"/>
      <c r="W23" s="1"/>
      <c r="X23" s="1"/>
      <c r="Y23" s="1"/>
      <c r="Z23" s="1"/>
    </row>
    <row r="24" spans="1:26" ht="15.75" customHeight="1" x14ac:dyDescent="0.25">
      <c r="A24" s="1"/>
      <c r="B24" s="14" t="s">
        <v>33</v>
      </c>
      <c r="C24" s="10">
        <f>Utilidad!A21</f>
        <v>28962.878000000001</v>
      </c>
      <c r="D24" s="11">
        <f>IF(Utilidad!C21&gt;1,Utilidad!C21/100,Utilidad!C21)</f>
        <v>0.46659999999999996</v>
      </c>
      <c r="E24" s="11">
        <f>IF(Utilidad!E21&gt;1,Utilidad!E21/100,Utilidad!E21)</f>
        <v>0.43009999999999998</v>
      </c>
      <c r="F24" s="15">
        <f>C21+C22+C23</f>
        <v>61554</v>
      </c>
      <c r="G24" s="14" t="s">
        <v>33</v>
      </c>
      <c r="H24" s="10">
        <f>Utilidad!B21</f>
        <v>28977.250949000001</v>
      </c>
      <c r="I24" s="11">
        <f>IF(Utilidad!D21&gt;1,Utilidad!D21/100,Utilidad!D21)</f>
        <v>0.44839042526</v>
      </c>
      <c r="J24" s="11">
        <f>IF(Utilidad!F21&gt;1,Utilidad!F21/100,Utilidad!F21)</f>
        <v>0.40946417496999998</v>
      </c>
      <c r="K24" s="15">
        <f>H21+H22+H23</f>
        <v>50012.969109000005</v>
      </c>
      <c r="L24" s="12">
        <f t="shared" si="4"/>
        <v>4.9625417059729064E-4</v>
      </c>
      <c r="M24" s="12">
        <f t="shared" ref="M24:N24" si="45">+IF(D24&lt;&gt;0,(I24-D24)/D24,0)</f>
        <v>-3.9026092456065059E-2</v>
      </c>
      <c r="N24" s="12">
        <f t="shared" si="45"/>
        <v>-4.7979132829574514E-2</v>
      </c>
      <c r="O24" s="1"/>
      <c r="P24" s="11">
        <f t="shared" si="1"/>
        <v>4.9625417059729064E-4</v>
      </c>
      <c r="Q24" s="11">
        <f t="shared" ref="Q24:R24" si="46">+IF(L24&lt;&gt;"",ABS(L24),0)</f>
        <v>4.9625417059729064E-4</v>
      </c>
      <c r="R24" s="11">
        <f t="shared" si="46"/>
        <v>3.9026092456065059E-2</v>
      </c>
      <c r="S24" s="1"/>
      <c r="T24" s="13" t="str">
        <f t="shared" si="3"/>
        <v>SI</v>
      </c>
      <c r="U24" s="1"/>
      <c r="V24" s="1"/>
      <c r="W24" s="1"/>
      <c r="X24" s="1"/>
      <c r="Y24" s="1"/>
      <c r="Z24" s="1"/>
    </row>
    <row r="25" spans="1:26" ht="15.75" customHeight="1" x14ac:dyDescent="0.25">
      <c r="A25" s="1"/>
      <c r="B25" s="14" t="s">
        <v>34</v>
      </c>
      <c r="C25" s="197">
        <f>Utilidad!A22</f>
        <v>1365.748</v>
      </c>
      <c r="D25" s="11">
        <f>IF(Utilidad!C22&gt;1,Utilidad!C22/100,Utilidad!C22)</f>
        <v>0.46659999999999996</v>
      </c>
      <c r="E25" s="11">
        <f>IF(Utilidad!E22&gt;1,Utilidad!E22/100,Utilidad!E22)</f>
        <v>0.43009999999999998</v>
      </c>
      <c r="F25" s="1"/>
      <c r="G25" s="14" t="s">
        <v>34</v>
      </c>
      <c r="H25" s="10">
        <f>Utilidad!B22</f>
        <v>1380.1209484999999</v>
      </c>
      <c r="I25" s="11">
        <f>IF(Utilidad!D22&gt;1,Utilidad!D22/100,Utilidad!D22)</f>
        <v>0.46564941982000002</v>
      </c>
      <c r="J25" s="11">
        <f>IF(Utilidad!F22&gt;1,Utilidad!F22/100,Utilidad!F22)</f>
        <v>0.42684434367000001</v>
      </c>
      <c r="K25" s="15">
        <f>+F24-K24</f>
        <v>11541.030890999995</v>
      </c>
      <c r="L25" s="12">
        <f t="shared" si="4"/>
        <v>1.0523865676537613E-2</v>
      </c>
      <c r="M25" s="12">
        <f t="shared" ref="M25:N25" si="47">+IF(D25&lt;&gt;0,(I25-D25)/D25,0)</f>
        <v>-2.0372485640804505E-3</v>
      </c>
      <c r="N25" s="12">
        <f t="shared" si="47"/>
        <v>-7.5695334340850212E-3</v>
      </c>
      <c r="O25" s="1"/>
      <c r="P25" s="11">
        <f t="shared" si="1"/>
        <v>1.0523865676537613E-2</v>
      </c>
      <c r="Q25" s="11">
        <f t="shared" ref="Q25:R25" si="48">+IF(L25&lt;&gt;"",ABS(L25),0)</f>
        <v>1.0523865676537613E-2</v>
      </c>
      <c r="R25" s="11">
        <f t="shared" si="48"/>
        <v>2.0372485640804505E-3</v>
      </c>
      <c r="S25" s="1"/>
      <c r="T25" s="13" t="str">
        <f t="shared" si="3"/>
        <v>SI</v>
      </c>
      <c r="U25" s="1"/>
      <c r="V25" s="1"/>
      <c r="W25" s="1"/>
      <c r="X25" s="1"/>
      <c r="Y25" s="1"/>
      <c r="Z25" s="1"/>
    </row>
    <row r="26" spans="1:26" ht="15.75" customHeight="1" x14ac:dyDescent="0.25">
      <c r="A26" s="1"/>
      <c r="B26" s="14" t="s">
        <v>35</v>
      </c>
      <c r="C26" s="197">
        <f>Utilidad!A23</f>
        <v>27597.13</v>
      </c>
      <c r="D26" s="11">
        <f>IF(Utilidad!C23&gt;1,Utilidad!C23/100,Utilidad!C23)</f>
        <v>0.46659999999999996</v>
      </c>
      <c r="E26" s="11">
        <f>IF(Utilidad!E23&gt;1,Utilidad!E23/100,Utilidad!E23)</f>
        <v>0.43009999999999998</v>
      </c>
      <c r="F26" s="1"/>
      <c r="G26" s="14" t="s">
        <v>35</v>
      </c>
      <c r="H26" s="10">
        <f>Utilidad!B23</f>
        <v>27597.13</v>
      </c>
      <c r="I26" s="11">
        <f>IF(Utilidad!D23&gt;1,Utilidad!D23/100,Utilidad!D23)</f>
        <v>0.44752731015999997</v>
      </c>
      <c r="J26" s="11">
        <f>IF(Utilidad!F23&gt;1,Utilidad!F23/100,Utilidad!F23)</f>
        <v>0.40859499999999999</v>
      </c>
      <c r="K26" s="1">
        <f>+K25/K24*100</f>
        <v>23.076076259034075</v>
      </c>
      <c r="L26" s="12">
        <f t="shared" si="4"/>
        <v>0</v>
      </c>
      <c r="M26" s="12">
        <f t="shared" ref="M26:N26" si="49">+IF(D26&lt;&gt;0,(I26-D26)/D26,0)</f>
        <v>-4.0875889069867104E-2</v>
      </c>
      <c r="N26" s="12">
        <f t="shared" si="49"/>
        <v>-4.9999999999999996E-2</v>
      </c>
      <c r="O26" s="1"/>
      <c r="P26" s="11">
        <f t="shared" si="1"/>
        <v>0</v>
      </c>
      <c r="Q26" s="11">
        <f t="shared" ref="Q26:R26" si="50">+IF(L26&lt;&gt;"",ABS(L26),0)</f>
        <v>0</v>
      </c>
      <c r="R26" s="11">
        <f t="shared" si="50"/>
        <v>4.0875889069867104E-2</v>
      </c>
      <c r="S26" s="1"/>
      <c r="T26" s="13" t="str">
        <f t="shared" si="3"/>
        <v>SI</v>
      </c>
      <c r="U26" s="1"/>
      <c r="V26" s="1"/>
      <c r="W26" s="1"/>
      <c r="X26" s="1"/>
      <c r="Y26" s="1"/>
      <c r="Z26" s="1"/>
    </row>
    <row r="27" spans="1:26" ht="15.75" customHeight="1" x14ac:dyDescent="0.25">
      <c r="A27" s="1"/>
      <c r="B27" s="14" t="s">
        <v>36</v>
      </c>
      <c r="C27" s="10">
        <f>Utilidad!A24</f>
        <v>10994.7</v>
      </c>
      <c r="D27" s="11">
        <f>IF(Utilidad!C24&gt;1,Utilidad!C24/100,Utilidad!C24)</f>
        <v>0.48880000000000001</v>
      </c>
      <c r="E27" s="11">
        <f>IF(Utilidad!E24&gt;1,Utilidad!E24/100,Utilidad!E24)</f>
        <v>0.44679999999999997</v>
      </c>
      <c r="F27" s="1"/>
      <c r="G27" s="14" t="s">
        <v>36</v>
      </c>
      <c r="H27" s="10">
        <f>Utilidad!B24</f>
        <v>10995.718161000001</v>
      </c>
      <c r="I27" s="11">
        <f>IF(Utilidad!D24&gt;1,Utilidad!D24/100,Utilidad!D24)</f>
        <v>0.48052470984000001</v>
      </c>
      <c r="J27" s="11">
        <f>IF(Utilidad!F24&gt;1,Utilidad!F24/100,Utilidad!F24)</f>
        <v>0.42794433431000001</v>
      </c>
      <c r="K27" s="1"/>
      <c r="L27" s="12">
        <f t="shared" si="4"/>
        <v>9.2604709541866867E-5</v>
      </c>
      <c r="M27" s="12">
        <f t="shared" ref="M27:N27" si="51">+IF(D27&lt;&gt;0,(I27-D27)/D27,0)</f>
        <v>-1.6929808019639944E-2</v>
      </c>
      <c r="N27" s="12">
        <f t="shared" si="51"/>
        <v>-4.2201579431512912E-2</v>
      </c>
      <c r="O27" s="1"/>
      <c r="P27" s="11">
        <f t="shared" si="1"/>
        <v>9.2604709541866867E-5</v>
      </c>
      <c r="Q27" s="11">
        <f t="shared" ref="Q27:R27" si="52">+IF(L27&lt;&gt;"",ABS(L27),0)</f>
        <v>9.2604709541866867E-5</v>
      </c>
      <c r="R27" s="11">
        <f t="shared" si="52"/>
        <v>1.6929808019639944E-2</v>
      </c>
      <c r="S27" s="1"/>
      <c r="T27" s="13" t="str">
        <f t="shared" si="3"/>
        <v>SI</v>
      </c>
      <c r="U27" s="1"/>
      <c r="V27" s="1"/>
      <c r="W27" s="1"/>
      <c r="X27" s="1"/>
      <c r="Y27" s="1"/>
      <c r="Z27" s="1"/>
    </row>
    <row r="28" spans="1:26" ht="15.75" customHeight="1" x14ac:dyDescent="0.25">
      <c r="A28" s="1"/>
      <c r="B28" s="14" t="s">
        <v>37</v>
      </c>
      <c r="C28" s="197">
        <f>Utilidad!A25</f>
        <v>-371.96</v>
      </c>
      <c r="D28" s="11">
        <f>IF(Utilidad!C25&gt;1,Utilidad!C25/100,Utilidad!C25)</f>
        <v>0.48880000000000001</v>
      </c>
      <c r="E28" s="11">
        <f>IF(Utilidad!E25&gt;1,Utilidad!E25/100,Utilidad!E25)</f>
        <v>0.44679999999999997</v>
      </c>
      <c r="F28" s="1"/>
      <c r="G28" s="14" t="s">
        <v>37</v>
      </c>
      <c r="H28" s="10">
        <f>Utilidad!B25</f>
        <v>-370.94183871000001</v>
      </c>
      <c r="I28" s="11">
        <f>IF(Utilidad!D25&gt;1,Utilidad!D25/100,Utilidad!D25)</f>
        <v>0.48907193792000003</v>
      </c>
      <c r="J28" s="11">
        <f>IF(Utilidad!F25&gt;1,Utilidad!F25/100,Utilidad!F25)</f>
        <v>0.44737161968</v>
      </c>
      <c r="K28" s="1"/>
      <c r="L28" s="12">
        <f t="shared" si="4"/>
        <v>-2.7372870469942103E-3</v>
      </c>
      <c r="M28" s="12">
        <f t="shared" ref="M28:N28" si="53">+IF(D28&lt;&gt;0,(I28-D28)/D28,0)</f>
        <v>5.5633780687401894E-4</v>
      </c>
      <c r="N28" s="12">
        <f t="shared" si="53"/>
        <v>1.2793636526410564E-3</v>
      </c>
      <c r="O28" s="1"/>
      <c r="P28" s="11">
        <f t="shared" si="1"/>
        <v>2.7372870469942103E-3</v>
      </c>
      <c r="Q28" s="11">
        <f t="shared" ref="Q28:R28" si="54">+IF(L28&lt;&gt;"",ABS(L28),0)</f>
        <v>2.7372870469942103E-3</v>
      </c>
      <c r="R28" s="11">
        <f t="shared" si="54"/>
        <v>5.5633780687401894E-4</v>
      </c>
      <c r="S28" s="1"/>
      <c r="T28" s="13" t="str">
        <f t="shared" si="3"/>
        <v>SI</v>
      </c>
      <c r="U28" s="1"/>
      <c r="V28" s="1"/>
      <c r="W28" s="1"/>
      <c r="X28" s="1"/>
      <c r="Y28" s="1"/>
      <c r="Z28" s="1"/>
    </row>
    <row r="29" spans="1:26" ht="15.75" customHeight="1" x14ac:dyDescent="0.25">
      <c r="A29" s="1"/>
      <c r="B29" s="14" t="s">
        <v>38</v>
      </c>
      <c r="C29" s="197">
        <f>Utilidad!A26</f>
        <v>11366.66</v>
      </c>
      <c r="D29" s="11">
        <f>IF(Utilidad!C26&gt;1,Utilidad!C26/100,Utilidad!C26)</f>
        <v>0.48880000000000001</v>
      </c>
      <c r="E29" s="11">
        <f>IF(Utilidad!E26&gt;1,Utilidad!E26/100,Utilidad!E26)</f>
        <v>0.44679999999999997</v>
      </c>
      <c r="F29" s="1"/>
      <c r="G29" s="14" t="s">
        <v>38</v>
      </c>
      <c r="H29" s="10">
        <f>Utilidad!B26</f>
        <v>11366.66</v>
      </c>
      <c r="I29" s="11">
        <f>IF(Utilidad!D26&gt;1,Utilidad!D26/100,Utilidad!D26)</f>
        <v>0.48080364181000002</v>
      </c>
      <c r="J29" s="11">
        <f>IF(Utilidad!F26&gt;1,Utilidad!F26/100,Utilidad!F26)</f>
        <v>0.42857832819000002</v>
      </c>
      <c r="K29" s="1"/>
      <c r="L29" s="12">
        <f t="shared" si="4"/>
        <v>0</v>
      </c>
      <c r="M29" s="12">
        <f t="shared" ref="M29:N29" si="55">+IF(D29&lt;&gt;0,(I29-D29)/D29,0)</f>
        <v>-1.6359161599836327E-2</v>
      </c>
      <c r="N29" s="12">
        <f t="shared" si="55"/>
        <v>-4.0782613719785032E-2</v>
      </c>
      <c r="O29" s="1"/>
      <c r="P29" s="11">
        <f t="shared" si="1"/>
        <v>0</v>
      </c>
      <c r="Q29" s="11">
        <f t="shared" ref="Q29:R29" si="56">+IF(L29&lt;&gt;"",ABS(L29),0)</f>
        <v>0</v>
      </c>
      <c r="R29" s="11">
        <f t="shared" si="56"/>
        <v>1.6359161599836327E-2</v>
      </c>
      <c r="S29" s="1"/>
      <c r="T29" s="13" t="str">
        <f t="shared" si="3"/>
        <v>SI</v>
      </c>
      <c r="U29" s="1"/>
      <c r="V29" s="1"/>
      <c r="W29" s="1"/>
      <c r="X29" s="1"/>
      <c r="Y29" s="1"/>
      <c r="Z29" s="1"/>
    </row>
    <row r="30" spans="1:26" ht="15.75" customHeight="1" x14ac:dyDescent="0.25">
      <c r="A30" s="1"/>
      <c r="B30" s="14" t="s">
        <v>39</v>
      </c>
      <c r="C30" s="10">
        <f>Utilidad!A27</f>
        <v>12550</v>
      </c>
      <c r="D30" s="11">
        <f>IF(Utilidad!C27&gt;1,Utilidad!C27/100,Utilidad!C27)</f>
        <v>0.25261800000000001</v>
      </c>
      <c r="E30" s="11">
        <f>IF(Utilidad!E27&gt;1,Utilidad!E27/100,Utilidad!E27)</f>
        <v>0.16441500000000001</v>
      </c>
      <c r="F30" s="1"/>
      <c r="G30" s="14" t="s">
        <v>39</v>
      </c>
      <c r="H30" s="10">
        <f>Utilidad!B27</f>
        <v>10040</v>
      </c>
      <c r="I30" s="11">
        <f>IF(Utilidad!D27&gt;1,Utilidad!D27/100,Utilidad!D27)</f>
        <v>0.22735620000000001</v>
      </c>
      <c r="J30" s="11">
        <f>IF(Utilidad!F27&gt;1,Utilidad!F27/100,Utilidad!F27)</f>
        <v>0.17856691416000001</v>
      </c>
      <c r="K30" s="1"/>
      <c r="L30" s="12">
        <f t="shared" si="4"/>
        <v>-0.2</v>
      </c>
      <c r="M30" s="12">
        <f t="shared" ref="M30:N30" si="57">+IF(D30&lt;&gt;0,(I30-D30)/D30,0)</f>
        <v>-0.1</v>
      </c>
      <c r="N30" s="12">
        <f t="shared" si="57"/>
        <v>8.6074349420673296E-2</v>
      </c>
      <c r="O30" s="1"/>
      <c r="P30" s="11">
        <f t="shared" si="1"/>
        <v>0.2</v>
      </c>
      <c r="Q30" s="11">
        <f t="shared" ref="Q30:R30" si="58">+IF(L30&lt;&gt;"",ABS(L30),0)</f>
        <v>0.2</v>
      </c>
      <c r="R30" s="11">
        <f t="shared" si="58"/>
        <v>0.1</v>
      </c>
      <c r="S30" s="1"/>
      <c r="T30" s="13" t="str">
        <f t="shared" si="3"/>
        <v>SI</v>
      </c>
      <c r="U30" s="1"/>
      <c r="V30" s="1"/>
      <c r="W30" s="1"/>
      <c r="X30" s="1"/>
      <c r="Y30" s="1"/>
      <c r="Z30" s="1"/>
    </row>
    <row r="31" spans="1:26" ht="15.75" customHeight="1" x14ac:dyDescent="0.25">
      <c r="A31" s="1"/>
      <c r="B31" s="14" t="s">
        <v>40</v>
      </c>
      <c r="C31" s="197">
        <f>Utilidad!A28</f>
        <v>1023.1319999999999</v>
      </c>
      <c r="D31" s="11">
        <f>IF(Utilidad!C28&gt;1,Utilidad!C28/100,Utilidad!C28)</f>
        <v>0.25261800000000001</v>
      </c>
      <c r="E31" s="11">
        <f>IF(Utilidad!E28&gt;1,Utilidad!E28/100,Utilidad!E28)</f>
        <v>0.16441500000000001</v>
      </c>
      <c r="F31" s="1"/>
      <c r="G31" s="14" t="s">
        <v>40</v>
      </c>
      <c r="H31" s="10">
        <f>Utilidad!B28</f>
        <v>1227.7583999999999</v>
      </c>
      <c r="I31" s="11">
        <f>IF(Utilidad!D28&gt;1,Utilidad!D28/100,Utilidad!D28)</f>
        <v>0.27787980000000001</v>
      </c>
      <c r="J31" s="11">
        <f>IF(Utilidad!F28&gt;1,Utilidad!F28/100,Utilidad!F28)</f>
        <v>0.16213340120000003</v>
      </c>
      <c r="K31" s="1"/>
      <c r="L31" s="12">
        <f t="shared" si="4"/>
        <v>0.2</v>
      </c>
      <c r="M31" s="12">
        <f t="shared" ref="M31:N31" si="59">+IF(D31&lt;&gt;0,(I31-D31)/D31,0)</f>
        <v>0.1</v>
      </c>
      <c r="N31" s="12">
        <f t="shared" si="59"/>
        <v>-1.3877072043304921E-2</v>
      </c>
      <c r="O31" s="1"/>
      <c r="P31" s="11">
        <f t="shared" si="1"/>
        <v>0.2</v>
      </c>
      <c r="Q31" s="11">
        <f t="shared" ref="Q31:R31" si="60">+IF(L31&lt;&gt;"",ABS(L31),0)</f>
        <v>0.2</v>
      </c>
      <c r="R31" s="11">
        <f t="shared" si="60"/>
        <v>0.1</v>
      </c>
      <c r="S31" s="1"/>
      <c r="T31" s="13" t="str">
        <f t="shared" si="3"/>
        <v>SI</v>
      </c>
      <c r="U31" s="1"/>
      <c r="V31" s="1"/>
      <c r="W31" s="1"/>
      <c r="X31" s="1"/>
      <c r="Y31" s="1"/>
      <c r="Z31" s="1"/>
    </row>
    <row r="32" spans="1:26" ht="15.75" customHeight="1" x14ac:dyDescent="0.25">
      <c r="A32" s="1"/>
      <c r="B32" s="14" t="s">
        <v>41</v>
      </c>
      <c r="C32" s="197">
        <f>Utilidad!A29</f>
        <v>11527</v>
      </c>
      <c r="D32" s="11">
        <f>IF(Utilidad!C29&gt;1,Utilidad!C29/100,Utilidad!C29)</f>
        <v>0.25261800000000001</v>
      </c>
      <c r="E32" s="11">
        <f>IF(Utilidad!E29&gt;1,Utilidad!E29/100,Utilidad!E29)</f>
        <v>0.16441500000000001</v>
      </c>
      <c r="F32" s="1"/>
      <c r="G32" s="14" t="s">
        <v>41</v>
      </c>
      <c r="H32" s="10">
        <f>Utilidad!B29</f>
        <v>8812.2415999999994</v>
      </c>
      <c r="I32" s="11">
        <f>IF(Utilidad!D29&gt;1,Utilidad!D29/100,Utilidad!D29)</f>
        <v>0.22031704048999998</v>
      </c>
      <c r="J32" s="11">
        <f>IF(Utilidad!F29&gt;1,Utilidad!F29/100,Utilidad!F29)</f>
        <v>0.1808565</v>
      </c>
      <c r="K32" s="1"/>
      <c r="L32" s="12">
        <f t="shared" si="4"/>
        <v>-0.23551300425088928</v>
      </c>
      <c r="M32" s="12">
        <f t="shared" ref="M32:N32" si="61">+IF(D32&lt;&gt;0,(I32-D32)/D32,0)</f>
        <v>-0.12786483746209704</v>
      </c>
      <c r="N32" s="12">
        <f t="shared" si="61"/>
        <v>9.9999999999999978E-2</v>
      </c>
      <c r="O32" s="1"/>
      <c r="P32" s="11">
        <f t="shared" si="1"/>
        <v>0.23551300425088928</v>
      </c>
      <c r="Q32" s="11">
        <f t="shared" ref="Q32:R32" si="62">+IF(L32&lt;&gt;"",ABS(L32),0)</f>
        <v>0.23551300425088928</v>
      </c>
      <c r="R32" s="11">
        <f t="shared" si="62"/>
        <v>0.12786483746209704</v>
      </c>
      <c r="S32" s="1"/>
      <c r="T32" s="13" t="str">
        <f t="shared" si="3"/>
        <v>SI</v>
      </c>
      <c r="U32" s="1"/>
      <c r="V32" s="1"/>
      <c r="W32" s="1"/>
      <c r="X32" s="1"/>
      <c r="Y32" s="1"/>
      <c r="Z32" s="1"/>
    </row>
    <row r="33" spans="1:26" ht="15.75" customHeight="1" x14ac:dyDescent="0.25">
      <c r="A33" s="1"/>
      <c r="B33" s="16"/>
      <c r="C33" s="17"/>
      <c r="D33" s="18"/>
      <c r="E33" s="18"/>
      <c r="F33" s="1"/>
      <c r="G33" s="16"/>
      <c r="H33" s="17"/>
      <c r="I33" s="18"/>
      <c r="J33" s="18"/>
      <c r="K33" s="1"/>
      <c r="L33" s="19"/>
      <c r="M33" s="19"/>
      <c r="N33" s="19"/>
      <c r="O33" s="1"/>
      <c r="P33" s="18"/>
      <c r="Q33" s="18"/>
      <c r="R33" s="18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5">
      <c r="A34" s="1"/>
      <c r="B34" s="16"/>
      <c r="C34" s="17"/>
      <c r="D34" s="18"/>
      <c r="E34" s="18"/>
      <c r="F34" s="1"/>
      <c r="G34" s="16"/>
      <c r="H34" s="17"/>
      <c r="I34" s="18"/>
      <c r="J34" s="18"/>
      <c r="K34" s="1"/>
      <c r="L34" s="19"/>
      <c r="M34" s="19"/>
      <c r="N34" s="19"/>
      <c r="O34" s="1"/>
      <c r="P34" s="18"/>
      <c r="Q34" s="18"/>
      <c r="R34" s="18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5">
      <c r="A35" s="1"/>
      <c r="B35" s="16"/>
      <c r="C35" s="17"/>
      <c r="D35" s="18"/>
      <c r="E35" s="18"/>
      <c r="F35" s="1"/>
      <c r="G35" s="16"/>
      <c r="H35" s="17"/>
      <c r="I35" s="18"/>
      <c r="J35" s="18"/>
      <c r="K35" s="1"/>
      <c r="L35" s="19"/>
      <c r="M35" s="19"/>
      <c r="N35" s="19"/>
      <c r="O35" s="1"/>
      <c r="P35" s="18"/>
      <c r="Q35" s="18"/>
      <c r="R35" s="18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5">
      <c r="A36" s="1"/>
      <c r="B36" s="16"/>
      <c r="C36" s="17"/>
      <c r="D36" s="18"/>
      <c r="E36" s="18"/>
      <c r="F36" s="1"/>
      <c r="G36" s="16"/>
      <c r="H36" s="17"/>
      <c r="I36" s="18"/>
      <c r="J36" s="18"/>
      <c r="K36" s="1"/>
      <c r="L36" s="19"/>
      <c r="M36" s="19"/>
      <c r="N36" s="19"/>
      <c r="O36" s="1"/>
      <c r="P36" s="18"/>
      <c r="Q36" s="18"/>
      <c r="R36" s="18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5">
      <c r="A37" s="1"/>
      <c r="B37" s="20"/>
      <c r="C37" s="17"/>
      <c r="D37" s="18"/>
      <c r="E37" s="18"/>
      <c r="F37" s="1"/>
      <c r="G37" s="20"/>
      <c r="H37" s="17"/>
      <c r="I37" s="18"/>
      <c r="J37" s="18"/>
      <c r="K37" s="1"/>
      <c r="L37" s="19"/>
      <c r="M37" s="19"/>
      <c r="N37" s="19"/>
      <c r="O37" s="1"/>
      <c r="P37" s="18"/>
      <c r="Q37" s="18"/>
      <c r="R37" s="18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5">
      <c r="A38" s="1"/>
      <c r="B38" s="20"/>
      <c r="C38" s="17"/>
      <c r="D38" s="18"/>
      <c r="E38" s="18"/>
      <c r="F38" s="1"/>
      <c r="G38" s="20"/>
      <c r="H38" s="17"/>
      <c r="I38" s="18"/>
      <c r="J38" s="18"/>
      <c r="K38" s="1"/>
      <c r="L38" s="19"/>
      <c r="M38" s="19"/>
      <c r="N38" s="19"/>
      <c r="O38" s="1"/>
      <c r="P38" s="18"/>
      <c r="Q38" s="18"/>
      <c r="R38" s="18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5">
      <c r="A39" s="1"/>
      <c r="B39" s="16"/>
      <c r="C39" s="17"/>
      <c r="D39" s="18"/>
      <c r="E39" s="18"/>
      <c r="F39" s="1"/>
      <c r="G39" s="16"/>
      <c r="H39" s="17"/>
      <c r="I39" s="18"/>
      <c r="J39" s="18"/>
      <c r="K39" s="1"/>
      <c r="L39" s="19"/>
      <c r="M39" s="19"/>
      <c r="N39" s="19"/>
      <c r="O39" s="1"/>
      <c r="P39" s="18"/>
      <c r="Q39" s="18"/>
      <c r="R39" s="18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5">
      <c r="A40" s="1"/>
      <c r="B40" s="16"/>
      <c r="C40" s="17"/>
      <c r="D40" s="18"/>
      <c r="E40" s="18"/>
      <c r="F40" s="1"/>
      <c r="G40" s="16"/>
      <c r="H40" s="17"/>
      <c r="I40" s="18"/>
      <c r="J40" s="18"/>
      <c r="K40" s="1"/>
      <c r="L40" s="19"/>
      <c r="M40" s="19"/>
      <c r="N40" s="19"/>
      <c r="O40" s="1"/>
      <c r="P40" s="18"/>
      <c r="Q40" s="18"/>
      <c r="R40" s="18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5">
      <c r="A41" s="1"/>
      <c r="B41" s="16"/>
      <c r="C41" s="17"/>
      <c r="D41" s="18"/>
      <c r="E41" s="18"/>
      <c r="F41" s="1"/>
      <c r="G41" s="16"/>
      <c r="H41" s="17"/>
      <c r="I41" s="18"/>
      <c r="J41" s="18"/>
      <c r="K41" s="1"/>
      <c r="L41" s="19"/>
      <c r="M41" s="19"/>
      <c r="N41" s="19"/>
      <c r="O41" s="1"/>
      <c r="P41" s="18"/>
      <c r="Q41" s="18"/>
      <c r="R41" s="18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5">
      <c r="A42" s="1"/>
      <c r="B42" s="16"/>
      <c r="C42" s="17"/>
      <c r="D42" s="18"/>
      <c r="E42" s="18"/>
      <c r="F42" s="1"/>
      <c r="G42" s="16"/>
      <c r="H42" s="17"/>
      <c r="I42" s="18"/>
      <c r="J42" s="18"/>
      <c r="K42" s="1"/>
      <c r="L42" s="19"/>
      <c r="M42" s="19"/>
      <c r="N42" s="19"/>
      <c r="O42" s="1"/>
      <c r="P42" s="18"/>
      <c r="Q42" s="18"/>
      <c r="R42" s="18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5">
      <c r="A43" s="1"/>
      <c r="B43" s="16"/>
      <c r="C43" s="17"/>
      <c r="D43" s="18"/>
      <c r="E43" s="18"/>
      <c r="F43" s="1"/>
      <c r="G43" s="16"/>
      <c r="H43" s="17"/>
      <c r="I43" s="18"/>
      <c r="J43" s="18"/>
      <c r="K43" s="1"/>
      <c r="L43" s="19"/>
      <c r="M43" s="19"/>
      <c r="N43" s="19"/>
      <c r="O43" s="1"/>
      <c r="P43" s="18"/>
      <c r="Q43" s="18"/>
      <c r="R43" s="18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5">
      <c r="A44" s="1"/>
      <c r="B44" s="16"/>
      <c r="C44" s="17"/>
      <c r="D44" s="18"/>
      <c r="E44" s="18"/>
      <c r="F44" s="1"/>
      <c r="G44" s="16"/>
      <c r="H44" s="17"/>
      <c r="I44" s="18"/>
      <c r="J44" s="18"/>
      <c r="K44" s="1"/>
      <c r="L44" s="19"/>
      <c r="M44" s="19"/>
      <c r="N44" s="19"/>
      <c r="O44" s="1"/>
      <c r="P44" s="18"/>
      <c r="Q44" s="18"/>
      <c r="R44" s="18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5">
      <c r="A45" s="1"/>
      <c r="B45" s="16"/>
      <c r="C45" s="17"/>
      <c r="D45" s="18"/>
      <c r="E45" s="18"/>
      <c r="F45" s="1"/>
      <c r="G45" s="16"/>
      <c r="H45" s="17"/>
      <c r="I45" s="18"/>
      <c r="J45" s="18"/>
      <c r="K45" s="1"/>
      <c r="L45" s="19"/>
      <c r="M45" s="19"/>
      <c r="N45" s="19"/>
      <c r="O45" s="1"/>
      <c r="P45" s="18"/>
      <c r="Q45" s="18"/>
      <c r="R45" s="18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5">
      <c r="A46" s="1"/>
      <c r="B46" s="16"/>
      <c r="C46" s="17"/>
      <c r="D46" s="18"/>
      <c r="E46" s="18"/>
      <c r="F46" s="1"/>
      <c r="G46" s="16"/>
      <c r="H46" s="17"/>
      <c r="I46" s="18"/>
      <c r="J46" s="18"/>
      <c r="K46" s="1"/>
      <c r="L46" s="19"/>
      <c r="M46" s="19"/>
      <c r="N46" s="19"/>
      <c r="O46" s="1"/>
      <c r="P46" s="18"/>
      <c r="Q46" s="18"/>
      <c r="R46" s="18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5">
      <c r="A47" s="1"/>
      <c r="B47" s="16"/>
      <c r="C47" s="17"/>
      <c r="D47" s="18"/>
      <c r="E47" s="18"/>
      <c r="F47" s="1"/>
      <c r="G47" s="16"/>
      <c r="H47" s="17"/>
      <c r="I47" s="18"/>
      <c r="J47" s="18"/>
      <c r="K47" s="1"/>
      <c r="L47" s="19"/>
      <c r="M47" s="19"/>
      <c r="N47" s="19"/>
      <c r="O47" s="1"/>
      <c r="P47" s="18"/>
      <c r="Q47" s="18"/>
      <c r="R47" s="18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5">
      <c r="A48" s="1"/>
      <c r="B48" s="16"/>
      <c r="C48" s="17"/>
      <c r="D48" s="18"/>
      <c r="E48" s="18"/>
      <c r="F48" s="1"/>
      <c r="G48" s="16"/>
      <c r="H48" s="17"/>
      <c r="I48" s="18"/>
      <c r="J48" s="18"/>
      <c r="K48" s="1"/>
      <c r="L48" s="19"/>
      <c r="M48" s="19"/>
      <c r="N48" s="19"/>
      <c r="O48" s="1"/>
      <c r="P48" s="18"/>
      <c r="Q48" s="18"/>
      <c r="R48" s="18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5">
      <c r="A49" s="1"/>
      <c r="B49" s="16"/>
      <c r="C49" s="17"/>
      <c r="D49" s="18"/>
      <c r="E49" s="18"/>
      <c r="F49" s="1"/>
      <c r="G49" s="16"/>
      <c r="H49" s="17"/>
      <c r="I49" s="18"/>
      <c r="J49" s="18"/>
      <c r="K49" s="1"/>
      <c r="L49" s="19"/>
      <c r="M49" s="19"/>
      <c r="N49" s="19"/>
      <c r="O49" s="1"/>
      <c r="P49" s="18"/>
      <c r="Q49" s="18"/>
      <c r="R49" s="18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5">
      <c r="A50" s="1"/>
      <c r="B50" s="16"/>
      <c r="C50" s="17"/>
      <c r="D50" s="18"/>
      <c r="E50" s="18"/>
      <c r="F50" s="1"/>
      <c r="G50" s="16"/>
      <c r="H50" s="17"/>
      <c r="I50" s="18"/>
      <c r="J50" s="18"/>
      <c r="K50" s="1"/>
      <c r="L50" s="19"/>
      <c r="M50" s="19"/>
      <c r="N50" s="19"/>
      <c r="O50" s="1"/>
      <c r="P50" s="18"/>
      <c r="Q50" s="18"/>
      <c r="R50" s="18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5">
      <c r="A51" s="1"/>
      <c r="B51" s="16"/>
      <c r="C51" s="17"/>
      <c r="D51" s="18"/>
      <c r="E51" s="18"/>
      <c r="F51" s="1"/>
      <c r="G51" s="16"/>
      <c r="H51" s="17"/>
      <c r="I51" s="18"/>
      <c r="J51" s="18"/>
      <c r="K51" s="1"/>
      <c r="L51" s="19"/>
      <c r="M51" s="19"/>
      <c r="N51" s="19"/>
      <c r="O51" s="1"/>
      <c r="P51" s="18"/>
      <c r="Q51" s="18"/>
      <c r="R51" s="18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5">
      <c r="A52" s="1"/>
      <c r="B52" s="16"/>
      <c r="C52" s="17"/>
      <c r="D52" s="18"/>
      <c r="E52" s="18"/>
      <c r="F52" s="1"/>
      <c r="G52" s="16"/>
      <c r="H52" s="17"/>
      <c r="I52" s="18"/>
      <c r="J52" s="18"/>
      <c r="K52" s="1"/>
      <c r="L52" s="19"/>
      <c r="M52" s="19"/>
      <c r="N52" s="19"/>
      <c r="O52" s="1"/>
      <c r="P52" s="18"/>
      <c r="Q52" s="18"/>
      <c r="R52" s="18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5">
      <c r="A53" s="1"/>
      <c r="B53" s="16"/>
      <c r="C53" s="17"/>
      <c r="D53" s="18"/>
      <c r="E53" s="18"/>
      <c r="F53" s="1"/>
      <c r="G53" s="16"/>
      <c r="H53" s="17"/>
      <c r="I53" s="18"/>
      <c r="J53" s="18"/>
      <c r="K53" s="1"/>
      <c r="L53" s="19"/>
      <c r="M53" s="19"/>
      <c r="N53" s="19"/>
      <c r="O53" s="1"/>
      <c r="P53" s="18"/>
      <c r="Q53" s="18"/>
      <c r="R53" s="18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1"/>
      <c r="B54" s="1"/>
      <c r="C54" s="1"/>
      <c r="D54" s="21"/>
      <c r="E54" s="1"/>
      <c r="F54" s="1"/>
      <c r="G54" s="1"/>
      <c r="H54" s="1"/>
      <c r="I54" s="1"/>
      <c r="J54" s="1"/>
      <c r="K54" s="1"/>
      <c r="L54" s="1"/>
      <c r="M54" s="22"/>
      <c r="N54" s="22"/>
      <c r="O54" s="21"/>
      <c r="P54" s="23"/>
      <c r="Q54" s="2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1"/>
      <c r="B55" s="1"/>
      <c r="C55" s="1"/>
      <c r="D55" s="21"/>
      <c r="E55" s="1"/>
      <c r="F55" s="1"/>
      <c r="G55" s="1"/>
      <c r="H55" s="1"/>
      <c r="I55" s="1"/>
      <c r="J55" s="1"/>
      <c r="K55" s="1"/>
      <c r="L55" s="1"/>
      <c r="M55" s="22"/>
      <c r="N55" s="22"/>
      <c r="O55" s="21"/>
      <c r="P55" s="23"/>
      <c r="Q55" s="2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1"/>
      <c r="B56" s="1"/>
      <c r="C56" s="1"/>
      <c r="D56" s="21"/>
      <c r="E56" s="1"/>
      <c r="F56" s="1"/>
      <c r="G56" s="1"/>
      <c r="H56" s="1"/>
      <c r="I56" s="1"/>
      <c r="J56" s="1"/>
      <c r="K56" s="1"/>
      <c r="L56" s="1"/>
      <c r="M56" s="22"/>
      <c r="N56" s="22"/>
      <c r="O56" s="21"/>
      <c r="P56" s="24"/>
      <c r="Q56" s="2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3">
    <mergeCell ref="B2:E2"/>
    <mergeCell ref="G2:J2"/>
    <mergeCell ref="L2:N2"/>
  </mergeCells>
  <conditionalFormatting sqref="L4:N53 M54:N56">
    <cfRule type="expression" dxfId="6" priority="1">
      <formula>ABS(L4)&gt;=10%</formula>
    </cfRule>
  </conditionalFormatting>
  <conditionalFormatting sqref="T4:T32">
    <cfRule type="containsText" dxfId="5" priority="3" operator="containsText" text="NO">
      <formula>NOT(ISERROR(SEARCH(("NO"),(T4))))</formula>
    </cfRule>
    <cfRule type="containsText" dxfId="4" priority="4" operator="containsText" text="SI">
      <formula>NOT(ISERROR(SEARCH(("SI"),(T4))))</formula>
    </cfRule>
  </conditionalFormatting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Z1000"/>
  <sheetViews>
    <sheetView showGridLines="0" workbookViewId="0"/>
  </sheetViews>
  <sheetFormatPr baseColWidth="10" defaultColWidth="14.5" defaultRowHeight="15" customHeight="1" x14ac:dyDescent="0.2"/>
  <cols>
    <col min="1" max="23" width="11.5" customWidth="1"/>
    <col min="24" max="26" width="14.5" customWidth="1"/>
  </cols>
  <sheetData>
    <row r="1" spans="1:26" x14ac:dyDescent="0.2">
      <c r="A1" s="1"/>
      <c r="B1" s="1"/>
      <c r="C1" s="1"/>
      <c r="D1" s="1"/>
      <c r="E1" s="1"/>
      <c r="F1" s="1"/>
      <c r="G1" s="1"/>
      <c r="H1" s="15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2">
      <c r="A3" s="1"/>
      <c r="B3" s="1"/>
      <c r="C3" s="1"/>
      <c r="D3" s="1"/>
      <c r="E3" s="1"/>
      <c r="F3" s="1"/>
      <c r="G3" s="158">
        <f>Flujos!H7</f>
        <v>0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x14ac:dyDescent="0.2">
      <c r="A4" s="1"/>
      <c r="B4" s="1"/>
      <c r="C4" s="1"/>
      <c r="D4" s="1"/>
      <c r="E4" s="1"/>
      <c r="F4" s="1"/>
      <c r="G4" s="159">
        <f>Flujos!I7</f>
        <v>0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x14ac:dyDescent="0.2">
      <c r="A5" s="160"/>
      <c r="B5" s="158">
        <f>Flujos!H4</f>
        <v>0</v>
      </c>
      <c r="C5" s="160"/>
      <c r="D5" s="160"/>
      <c r="E5" s="160"/>
      <c r="F5" s="1"/>
      <c r="G5" s="161">
        <f>G3*G4</f>
        <v>0</v>
      </c>
      <c r="H5" s="160"/>
      <c r="I5" s="160"/>
      <c r="J5" s="158">
        <f>Flujos!H9</f>
        <v>0</v>
      </c>
      <c r="K5" s="160"/>
      <c r="L5" s="160"/>
      <c r="M5" s="1"/>
      <c r="N5" s="1"/>
      <c r="O5" s="1"/>
      <c r="P5" s="1"/>
      <c r="Q5" s="1"/>
      <c r="R5" s="1"/>
      <c r="S5" s="160"/>
      <c r="T5" s="1"/>
      <c r="U5" s="1"/>
      <c r="V5" s="1"/>
      <c r="W5" s="1"/>
      <c r="X5" s="1"/>
      <c r="Y5" s="1"/>
      <c r="Z5" s="1"/>
    </row>
    <row r="6" spans="1:26" x14ac:dyDescent="0.2">
      <c r="A6" s="162"/>
      <c r="B6" s="159">
        <f>Flujos!I4</f>
        <v>0</v>
      </c>
      <c r="C6" s="160"/>
      <c r="D6" s="160"/>
      <c r="E6" s="160"/>
      <c r="F6" s="1"/>
      <c r="G6" s="160"/>
      <c r="H6" s="160"/>
      <c r="I6" s="160"/>
      <c r="J6" s="159">
        <f>Flujos!I9</f>
        <v>0</v>
      </c>
      <c r="K6" s="160"/>
      <c r="L6" s="160"/>
      <c r="M6" s="1"/>
      <c r="N6" s="1"/>
      <c r="O6" s="1"/>
      <c r="P6" s="1"/>
      <c r="Q6" s="1"/>
      <c r="R6" s="1"/>
      <c r="S6" s="160"/>
      <c r="T6" s="1"/>
      <c r="U6" s="1"/>
      <c r="V6" s="1"/>
      <c r="W6" s="1"/>
      <c r="X6" s="1"/>
      <c r="Y6" s="1"/>
      <c r="Z6" s="1"/>
    </row>
    <row r="7" spans="1:26" x14ac:dyDescent="0.2">
      <c r="A7" s="162"/>
      <c r="B7" s="161">
        <f>B5*B6</f>
        <v>0</v>
      </c>
      <c r="C7" s="160"/>
      <c r="D7" s="160"/>
      <c r="E7" s="160"/>
      <c r="F7" s="160"/>
      <c r="G7" s="160"/>
      <c r="H7" s="160"/>
      <c r="I7" s="160"/>
      <c r="J7" s="161">
        <f>J5*J6</f>
        <v>0</v>
      </c>
      <c r="K7" s="160"/>
      <c r="L7" s="160"/>
      <c r="M7" s="1"/>
      <c r="N7" s="1"/>
      <c r="O7" s="1"/>
      <c r="P7" s="1"/>
      <c r="Q7" s="1"/>
      <c r="R7" s="1"/>
      <c r="S7" s="160"/>
      <c r="T7" s="1"/>
      <c r="U7" s="1"/>
      <c r="V7" s="1"/>
      <c r="W7" s="1"/>
      <c r="X7" s="1"/>
      <c r="Y7" s="1"/>
      <c r="Z7" s="1"/>
    </row>
    <row r="8" spans="1:26" x14ac:dyDescent="0.2">
      <c r="A8" s="162"/>
      <c r="B8" s="160"/>
      <c r="C8" s="160"/>
      <c r="D8" s="160"/>
      <c r="E8" s="160"/>
      <c r="F8" s="160"/>
      <c r="G8" s="160"/>
      <c r="H8" s="163">
        <f>Flujos!H8</f>
        <v>0</v>
      </c>
      <c r="I8" s="160"/>
      <c r="J8" s="1"/>
      <c r="K8" s="1"/>
      <c r="L8" s="1"/>
      <c r="M8" s="1"/>
      <c r="N8" s="1"/>
      <c r="O8" s="1"/>
      <c r="P8" s="1"/>
      <c r="Q8" s="1"/>
      <c r="R8" s="1"/>
      <c r="S8" s="160"/>
      <c r="T8" s="1"/>
      <c r="U8" s="1"/>
      <c r="V8" s="1"/>
      <c r="W8" s="1"/>
      <c r="X8" s="1"/>
      <c r="Y8" s="1"/>
      <c r="Z8" s="1"/>
    </row>
    <row r="9" spans="1:26" x14ac:dyDescent="0.2">
      <c r="A9" s="1"/>
      <c r="B9" s="160"/>
      <c r="C9" s="160"/>
      <c r="D9" s="160"/>
      <c r="E9" s="160"/>
      <c r="F9" s="160"/>
      <c r="G9" s="160"/>
      <c r="H9" s="164">
        <f>Flujos!H8*Flujos!I8</f>
        <v>0</v>
      </c>
      <c r="I9" s="160"/>
      <c r="J9" s="158">
        <f>Flujos!H10</f>
        <v>0</v>
      </c>
      <c r="K9" s="160"/>
      <c r="L9" s="160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x14ac:dyDescent="0.2">
      <c r="A10" s="162"/>
      <c r="B10" s="158">
        <f>Flujos!H5</f>
        <v>0</v>
      </c>
      <c r="C10" s="160"/>
      <c r="D10" s="160"/>
      <c r="E10" s="160"/>
      <c r="F10" s="160"/>
      <c r="G10" s="160"/>
      <c r="H10" s="160"/>
      <c r="I10" s="160"/>
      <c r="J10" s="159">
        <f>Flujos!I10</f>
        <v>0</v>
      </c>
      <c r="K10" s="160"/>
      <c r="L10" s="160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x14ac:dyDescent="0.2">
      <c r="A11" s="162"/>
      <c r="B11" s="159">
        <f>Flujos!I5</f>
        <v>0</v>
      </c>
      <c r="C11" s="160"/>
      <c r="D11" s="160"/>
      <c r="E11" s="160"/>
      <c r="F11" s="1"/>
      <c r="G11" s="1"/>
      <c r="H11" s="1"/>
      <c r="I11" s="1"/>
      <c r="J11" s="161">
        <f>J9*J10</f>
        <v>0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x14ac:dyDescent="0.2">
      <c r="A12" s="162"/>
      <c r="B12" s="161">
        <f>B10*B11</f>
        <v>0</v>
      </c>
      <c r="C12" s="160"/>
      <c r="D12" s="160"/>
      <c r="E12" s="160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6" x14ac:dyDescent="0.2">
      <c r="A13" s="162"/>
      <c r="B13" s="160"/>
      <c r="C13" s="160"/>
      <c r="D13" s="160"/>
      <c r="E13" s="160"/>
      <c r="F13" s="160"/>
      <c r="G13" s="160"/>
      <c r="H13" s="160"/>
      <c r="I13" s="160"/>
      <c r="J13" s="160"/>
      <c r="K13" s="160"/>
      <c r="L13" s="160"/>
      <c r="M13" s="1"/>
      <c r="N13" s="165" t="s">
        <v>170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9" x14ac:dyDescent="0.2">
      <c r="A14" s="1"/>
      <c r="B14" s="1"/>
      <c r="C14" s="160"/>
      <c r="D14" s="160"/>
      <c r="E14" s="160"/>
      <c r="F14" s="160"/>
      <c r="G14" s="160"/>
      <c r="H14" s="160"/>
      <c r="I14" s="160"/>
      <c r="J14" s="160"/>
      <c r="K14" s="160"/>
      <c r="L14" s="160"/>
      <c r="M14" s="1"/>
      <c r="N14" s="376" t="s">
        <v>171</v>
      </c>
      <c r="O14" s="272"/>
      <c r="P14" s="372"/>
      <c r="Q14" s="377" t="s">
        <v>172</v>
      </c>
      <c r="R14" s="272"/>
      <c r="S14" s="273"/>
      <c r="T14" s="378" t="s">
        <v>173</v>
      </c>
      <c r="U14" s="272"/>
      <c r="V14" s="272"/>
      <c r="W14" s="273"/>
      <c r="X14" s="1"/>
      <c r="Y14" s="1"/>
      <c r="Z14" s="1"/>
    </row>
    <row r="15" spans="1:26" ht="15" customHeight="1" x14ac:dyDescent="0.2">
      <c r="A15" s="1"/>
      <c r="B15" s="1"/>
      <c r="C15" s="160"/>
      <c r="D15" s="160"/>
      <c r="E15" s="160"/>
      <c r="F15" s="160"/>
      <c r="G15" s="160"/>
      <c r="H15" s="160"/>
      <c r="I15" s="160"/>
      <c r="J15" s="158">
        <f>Flujos!H13</f>
        <v>0</v>
      </c>
      <c r="K15" s="160"/>
      <c r="L15" s="160"/>
      <c r="M15" s="1"/>
      <c r="N15" s="370" t="s">
        <v>174</v>
      </c>
      <c r="O15" s="273"/>
      <c r="P15" s="166">
        <f>+B5</f>
        <v>0</v>
      </c>
      <c r="Q15" s="370" t="s">
        <v>175</v>
      </c>
      <c r="R15" s="273"/>
      <c r="S15" s="167">
        <f>+H8</f>
        <v>0</v>
      </c>
      <c r="T15" s="368" t="s">
        <v>18</v>
      </c>
      <c r="U15" s="272"/>
      <c r="V15" s="273"/>
      <c r="W15" s="167">
        <f>+J5</f>
        <v>0</v>
      </c>
      <c r="X15" s="1"/>
      <c r="Y15" s="1"/>
      <c r="Z15" s="1"/>
    </row>
    <row r="16" spans="1:26" ht="15" customHeight="1" x14ac:dyDescent="0.2">
      <c r="A16" s="1"/>
      <c r="B16" s="158">
        <f>Flujos!H6</f>
        <v>0</v>
      </c>
      <c r="C16" s="160"/>
      <c r="D16" s="160"/>
      <c r="E16" s="160"/>
      <c r="F16" s="160"/>
      <c r="G16" s="160"/>
      <c r="H16" s="160"/>
      <c r="I16" s="160"/>
      <c r="J16" s="159">
        <f>Flujos!I13</f>
        <v>0</v>
      </c>
      <c r="K16" s="160"/>
      <c r="L16" s="160"/>
      <c r="M16" s="1"/>
      <c r="N16" s="370" t="s">
        <v>176</v>
      </c>
      <c r="O16" s="273"/>
      <c r="P16" s="166">
        <f>+B10</f>
        <v>0</v>
      </c>
      <c r="Q16" s="368" t="s">
        <v>177</v>
      </c>
      <c r="R16" s="273"/>
      <c r="S16" s="167">
        <f>+H19</f>
        <v>0</v>
      </c>
      <c r="T16" s="368" t="s">
        <v>19</v>
      </c>
      <c r="U16" s="272"/>
      <c r="V16" s="273"/>
      <c r="W16" s="167">
        <f>+J9</f>
        <v>0</v>
      </c>
      <c r="X16" s="1"/>
      <c r="Y16" s="1"/>
      <c r="Z16" s="1"/>
    </row>
    <row r="17" spans="1:26" ht="15" customHeight="1" x14ac:dyDescent="0.2">
      <c r="A17" s="1"/>
      <c r="B17" s="159">
        <f>Flujos!I6</f>
        <v>0</v>
      </c>
      <c r="C17" s="160"/>
      <c r="D17" s="160"/>
      <c r="E17" s="160"/>
      <c r="F17" s="158">
        <f>Flujos!H11</f>
        <v>0</v>
      </c>
      <c r="G17" s="160"/>
      <c r="H17" s="160"/>
      <c r="I17" s="160"/>
      <c r="J17" s="161">
        <f>J15*J16</f>
        <v>0</v>
      </c>
      <c r="K17" s="160"/>
      <c r="L17" s="160"/>
      <c r="M17" s="1"/>
      <c r="N17" s="370" t="s">
        <v>178</v>
      </c>
      <c r="O17" s="273"/>
      <c r="P17" s="166">
        <f>+B16</f>
        <v>0</v>
      </c>
      <c r="Q17" s="368" t="s">
        <v>179</v>
      </c>
      <c r="R17" s="273"/>
      <c r="S17" s="167">
        <f>+G29</f>
        <v>0</v>
      </c>
      <c r="T17" s="368" t="s">
        <v>22</v>
      </c>
      <c r="U17" s="272"/>
      <c r="V17" s="273"/>
      <c r="W17" s="167">
        <f>+J15</f>
        <v>0</v>
      </c>
      <c r="X17" s="1"/>
      <c r="Y17" s="1"/>
      <c r="Z17" s="1"/>
    </row>
    <row r="18" spans="1:26" x14ac:dyDescent="0.2">
      <c r="A18" s="162"/>
      <c r="B18" s="161">
        <f>B16*B17</f>
        <v>0</v>
      </c>
      <c r="C18" s="160"/>
      <c r="D18" s="160"/>
      <c r="E18" s="160"/>
      <c r="F18" s="159">
        <f>Flujos!I11</f>
        <v>0</v>
      </c>
      <c r="G18" s="1"/>
      <c r="H18" s="160"/>
      <c r="I18" s="160"/>
      <c r="J18" s="160"/>
      <c r="K18" s="160"/>
      <c r="L18" s="160"/>
      <c r="M18" s="1"/>
      <c r="N18" s="368"/>
      <c r="O18" s="273"/>
      <c r="P18" s="166"/>
      <c r="Q18" s="368" t="s">
        <v>157</v>
      </c>
      <c r="R18" s="273"/>
      <c r="S18" s="167">
        <f>+G39</f>
        <v>0</v>
      </c>
      <c r="T18" s="368" t="s">
        <v>23</v>
      </c>
      <c r="U18" s="272"/>
      <c r="V18" s="273"/>
      <c r="W18" s="167">
        <f>+J19</f>
        <v>0</v>
      </c>
      <c r="X18" s="1"/>
      <c r="Y18" s="1"/>
      <c r="Z18" s="1"/>
    </row>
    <row r="19" spans="1:26" x14ac:dyDescent="0.2">
      <c r="A19" s="162"/>
      <c r="B19" s="160"/>
      <c r="C19" s="160"/>
      <c r="D19" s="160"/>
      <c r="E19" s="160"/>
      <c r="F19" s="161">
        <f>F17*F18</f>
        <v>0</v>
      </c>
      <c r="G19" s="1"/>
      <c r="H19" s="163">
        <f>Flujos!H12</f>
        <v>0</v>
      </c>
      <c r="I19" s="160"/>
      <c r="J19" s="158">
        <f>Flujos!H14</f>
        <v>0</v>
      </c>
      <c r="K19" s="160"/>
      <c r="L19" s="160"/>
      <c r="M19" s="1"/>
      <c r="N19" s="168"/>
      <c r="O19" s="169"/>
      <c r="P19" s="166"/>
      <c r="Q19" s="368"/>
      <c r="R19" s="273"/>
      <c r="S19" s="167"/>
      <c r="T19" s="368" t="s">
        <v>180</v>
      </c>
      <c r="U19" s="272"/>
      <c r="V19" s="273"/>
      <c r="W19" s="167">
        <f>+H28</f>
        <v>0</v>
      </c>
      <c r="X19" s="1"/>
      <c r="Y19" s="1"/>
      <c r="Z19" s="1"/>
    </row>
    <row r="20" spans="1:26" x14ac:dyDescent="0.2">
      <c r="A20" s="162"/>
      <c r="B20" s="160"/>
      <c r="C20" s="1"/>
      <c r="D20" s="1"/>
      <c r="E20" s="1"/>
      <c r="F20" s="1"/>
      <c r="G20" s="1"/>
      <c r="H20" s="164">
        <f>Flujos!H12*Flujos!I12</f>
        <v>0</v>
      </c>
      <c r="I20" s="160"/>
      <c r="J20" s="159">
        <f>Flujos!I14</f>
        <v>0</v>
      </c>
      <c r="K20" s="160"/>
      <c r="L20" s="160"/>
      <c r="M20" s="1"/>
      <c r="N20" s="168"/>
      <c r="O20" s="169"/>
      <c r="P20" s="166"/>
      <c r="Q20" s="368"/>
      <c r="R20" s="273"/>
      <c r="S20" s="167"/>
      <c r="T20" s="368" t="s">
        <v>29</v>
      </c>
      <c r="U20" s="272"/>
      <c r="V20" s="273"/>
      <c r="W20" s="167">
        <f>+H38</f>
        <v>0</v>
      </c>
      <c r="X20" s="1"/>
      <c r="Y20" s="1"/>
      <c r="Z20" s="1"/>
    </row>
    <row r="21" spans="1:26" ht="15.75" customHeight="1" x14ac:dyDescent="0.2">
      <c r="A21" s="1"/>
      <c r="B21" s="1"/>
      <c r="C21" s="1"/>
      <c r="D21" s="1"/>
      <c r="E21" s="1"/>
      <c r="F21" s="160"/>
      <c r="G21" s="160"/>
      <c r="H21" s="160"/>
      <c r="I21" s="160"/>
      <c r="J21" s="161">
        <f>J19*J20</f>
        <v>0</v>
      </c>
      <c r="K21" s="160"/>
      <c r="L21" s="160"/>
      <c r="M21" s="1"/>
      <c r="N21" s="369" t="s">
        <v>181</v>
      </c>
      <c r="O21" s="273"/>
      <c r="P21" s="170">
        <f>+SUM(P15:P20)</f>
        <v>0</v>
      </c>
      <c r="Q21" s="373" t="s">
        <v>182</v>
      </c>
      <c r="R21" s="273"/>
      <c r="S21" s="171">
        <f>+SUM(S15:S20)</f>
        <v>0</v>
      </c>
      <c r="T21" s="373"/>
      <c r="U21" s="272"/>
      <c r="V21" s="273"/>
      <c r="W21" s="170">
        <f>+SUM(W15:W20)</f>
        <v>0</v>
      </c>
      <c r="X21" s="1"/>
      <c r="Y21" s="1"/>
      <c r="Z21" s="1"/>
    </row>
    <row r="22" spans="1:26" ht="15.75" customHeight="1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60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">
      <c r="A23" s="1"/>
      <c r="B23" s="1"/>
      <c r="C23" s="160"/>
      <c r="D23" s="160"/>
      <c r="E23" s="160"/>
      <c r="F23" s="160"/>
      <c r="G23" s="160"/>
      <c r="H23" s="160"/>
      <c r="I23" s="160"/>
      <c r="J23" s="160"/>
      <c r="K23" s="160"/>
      <c r="L23" s="160"/>
      <c r="M23" s="1"/>
      <c r="N23" s="1"/>
      <c r="O23" s="1"/>
      <c r="P23" s="1"/>
      <c r="Q23" s="1"/>
      <c r="R23" s="1"/>
      <c r="S23" s="172" t="s">
        <v>183</v>
      </c>
      <c r="T23" s="173"/>
      <c r="U23" s="174"/>
      <c r="V23" s="173"/>
      <c r="W23" s="175">
        <f>+P21-S21-W21</f>
        <v>0</v>
      </c>
      <c r="X23" s="1"/>
      <c r="Y23" s="1"/>
      <c r="Z23" s="1"/>
    </row>
    <row r="24" spans="1:26" ht="15.75" customHeight="1" x14ac:dyDescent="0.2">
      <c r="A24" s="1"/>
      <c r="B24" s="1"/>
      <c r="C24" s="160"/>
      <c r="D24" s="160"/>
      <c r="E24" s="160"/>
      <c r="F24" s="160"/>
      <c r="G24" s="160"/>
      <c r="H24" s="160"/>
      <c r="I24" s="160"/>
      <c r="J24" s="160"/>
      <c r="K24" s="160"/>
      <c r="L24" s="160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162"/>
      <c r="B25" s="160"/>
      <c r="C25" s="160"/>
      <c r="D25" s="160"/>
      <c r="E25" s="1"/>
      <c r="F25" s="1"/>
      <c r="G25" s="1"/>
      <c r="H25" s="1"/>
      <c r="I25" s="1"/>
      <c r="J25" s="1"/>
      <c r="K25" s="160"/>
      <c r="L25" s="160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162"/>
      <c r="B26" s="160"/>
      <c r="C26" s="160"/>
      <c r="D26" s="160"/>
      <c r="E26" s="1"/>
      <c r="F26" s="1"/>
      <c r="G26" s="1"/>
      <c r="H26" s="1"/>
      <c r="I26" s="1"/>
      <c r="J26" s="1"/>
      <c r="K26" s="160"/>
      <c r="L26" s="160"/>
      <c r="M26" s="1"/>
      <c r="N26" s="165" t="s">
        <v>184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162"/>
      <c r="B27" s="160"/>
      <c r="C27" s="160"/>
      <c r="D27" s="160"/>
      <c r="E27" s="160"/>
      <c r="F27" s="160"/>
      <c r="G27" s="160"/>
      <c r="H27" s="160"/>
      <c r="I27" s="160"/>
      <c r="J27" s="160"/>
      <c r="K27" s="160"/>
      <c r="L27" s="160"/>
      <c r="M27" s="1"/>
      <c r="N27" s="371" t="s">
        <v>171</v>
      </c>
      <c r="O27" s="272"/>
      <c r="P27" s="372"/>
      <c r="Q27" s="375" t="s">
        <v>172</v>
      </c>
      <c r="R27" s="272"/>
      <c r="S27" s="273"/>
      <c r="T27" s="374" t="s">
        <v>173</v>
      </c>
      <c r="U27" s="272"/>
      <c r="V27" s="272"/>
      <c r="W27" s="273"/>
      <c r="X27" s="1"/>
      <c r="Y27" s="1"/>
      <c r="Z27" s="1"/>
    </row>
    <row r="28" spans="1:26" ht="15.75" customHeight="1" x14ac:dyDescent="0.2">
      <c r="A28" s="162"/>
      <c r="B28" s="160"/>
      <c r="C28" s="160"/>
      <c r="D28" s="160"/>
      <c r="E28" s="158">
        <f>Flujos!H15</f>
        <v>0</v>
      </c>
      <c r="F28" s="160"/>
      <c r="G28" s="160"/>
      <c r="H28" s="158">
        <f>Flujos!H17</f>
        <v>0</v>
      </c>
      <c r="I28" s="160"/>
      <c r="J28" s="160"/>
      <c r="K28" s="160"/>
      <c r="L28" s="160"/>
      <c r="M28" s="1"/>
      <c r="N28" s="370" t="s">
        <v>174</v>
      </c>
      <c r="O28" s="273"/>
      <c r="P28" s="166">
        <f>+B7</f>
        <v>0</v>
      </c>
      <c r="Q28" s="370" t="s">
        <v>175</v>
      </c>
      <c r="R28" s="273"/>
      <c r="S28" s="167">
        <f>+H9</f>
        <v>0</v>
      </c>
      <c r="T28" s="368" t="s">
        <v>18</v>
      </c>
      <c r="U28" s="272"/>
      <c r="V28" s="273"/>
      <c r="W28" s="167">
        <f>+J7</f>
        <v>0</v>
      </c>
      <c r="X28" s="1"/>
      <c r="Y28" s="1"/>
      <c r="Z28" s="1"/>
    </row>
    <row r="29" spans="1:26" ht="15.75" customHeight="1" x14ac:dyDescent="0.2">
      <c r="A29" s="160"/>
      <c r="B29" s="160"/>
      <c r="C29" s="160"/>
      <c r="D29" s="160"/>
      <c r="E29" s="159">
        <f>Flujos!I15</f>
        <v>0</v>
      </c>
      <c r="F29" s="160"/>
      <c r="G29" s="163">
        <f>Flujos!H16</f>
        <v>0</v>
      </c>
      <c r="H29" s="159">
        <f>Flujos!I17</f>
        <v>0</v>
      </c>
      <c r="I29" s="160"/>
      <c r="J29" s="160"/>
      <c r="K29" s="160"/>
      <c r="L29" s="160"/>
      <c r="M29" s="1"/>
      <c r="N29" s="370" t="s">
        <v>176</v>
      </c>
      <c r="O29" s="273"/>
      <c r="P29" s="166">
        <f>+B12</f>
        <v>0</v>
      </c>
      <c r="Q29" s="368" t="s">
        <v>177</v>
      </c>
      <c r="R29" s="273"/>
      <c r="S29" s="167">
        <f>+H20</f>
        <v>0</v>
      </c>
      <c r="T29" s="368" t="s">
        <v>19</v>
      </c>
      <c r="U29" s="272"/>
      <c r="V29" s="273"/>
      <c r="W29" s="167">
        <f>+J11</f>
        <v>0</v>
      </c>
      <c r="X29" s="1"/>
      <c r="Y29" s="1"/>
      <c r="Z29" s="1"/>
    </row>
    <row r="30" spans="1:26" ht="15.75" customHeight="1" x14ac:dyDescent="0.2">
      <c r="A30" s="160"/>
      <c r="B30" s="1"/>
      <c r="C30" s="160"/>
      <c r="D30" s="160"/>
      <c r="E30" s="161">
        <f>E29*E28</f>
        <v>0</v>
      </c>
      <c r="F30" s="160"/>
      <c r="G30" s="164">
        <f>Flujos!H16*Flujos!I16</f>
        <v>0</v>
      </c>
      <c r="H30" s="161">
        <f>H29*H28</f>
        <v>0</v>
      </c>
      <c r="I30" s="160"/>
      <c r="J30" s="160"/>
      <c r="K30" s="160"/>
      <c r="L30" s="160"/>
      <c r="M30" s="1"/>
      <c r="N30" s="370" t="s">
        <v>178</v>
      </c>
      <c r="O30" s="273"/>
      <c r="P30" s="166">
        <f>+B18</f>
        <v>0</v>
      </c>
      <c r="Q30" s="368" t="s">
        <v>179</v>
      </c>
      <c r="R30" s="273"/>
      <c r="S30" s="167">
        <f>+G30</f>
        <v>0</v>
      </c>
      <c r="T30" s="368" t="s">
        <v>22</v>
      </c>
      <c r="U30" s="272"/>
      <c r="V30" s="273"/>
      <c r="W30" s="167">
        <f>+J17</f>
        <v>0</v>
      </c>
      <c r="X30" s="1"/>
      <c r="Y30" s="1"/>
      <c r="Z30" s="1"/>
    </row>
    <row r="31" spans="1:26" ht="15.75" customHeight="1" x14ac:dyDescent="0.2">
      <c r="A31" s="160"/>
      <c r="B31" s="1"/>
      <c r="C31" s="160"/>
      <c r="D31" s="160"/>
      <c r="E31" s="160"/>
      <c r="F31" s="160"/>
      <c r="G31" s="160"/>
      <c r="H31" s="160"/>
      <c r="I31" s="160"/>
      <c r="J31" s="160"/>
      <c r="K31" s="160"/>
      <c r="L31" s="160"/>
      <c r="M31" s="1"/>
      <c r="N31" s="368"/>
      <c r="O31" s="273"/>
      <c r="P31" s="166"/>
      <c r="Q31" s="368" t="s">
        <v>157</v>
      </c>
      <c r="R31" s="273"/>
      <c r="S31" s="167">
        <f>+G40</f>
        <v>0</v>
      </c>
      <c r="T31" s="368" t="s">
        <v>23</v>
      </c>
      <c r="U31" s="272"/>
      <c r="V31" s="273"/>
      <c r="W31" s="167">
        <f>+J21</f>
        <v>0</v>
      </c>
      <c r="X31" s="1"/>
      <c r="Y31" s="1"/>
      <c r="Z31" s="1"/>
    </row>
    <row r="32" spans="1:26" ht="15.75" customHeight="1" x14ac:dyDescent="0.2">
      <c r="A32" s="160"/>
      <c r="B32" s="1"/>
      <c r="C32" s="160"/>
      <c r="D32" s="160"/>
      <c r="E32" s="160"/>
      <c r="F32" s="160"/>
      <c r="G32" s="160"/>
      <c r="H32" s="160"/>
      <c r="I32" s="160"/>
      <c r="J32" s="160"/>
      <c r="K32" s="160"/>
      <c r="L32" s="160"/>
      <c r="M32" s="1"/>
      <c r="N32" s="168"/>
      <c r="O32" s="169"/>
      <c r="P32" s="166"/>
      <c r="Q32" s="368"/>
      <c r="R32" s="273"/>
      <c r="S32" s="167"/>
      <c r="T32" s="368" t="s">
        <v>180</v>
      </c>
      <c r="U32" s="272"/>
      <c r="V32" s="273"/>
      <c r="W32" s="167">
        <f>+H30</f>
        <v>0</v>
      </c>
      <c r="X32" s="1"/>
      <c r="Y32" s="1"/>
      <c r="Z32" s="1"/>
    </row>
    <row r="33" spans="1:26" ht="15.75" customHeight="1" x14ac:dyDescent="0.2">
      <c r="A33" s="160"/>
      <c r="B33" s="1"/>
      <c r="C33" s="160"/>
      <c r="D33" s="160"/>
      <c r="E33" s="1"/>
      <c r="F33" s="1"/>
      <c r="G33" s="1"/>
      <c r="H33" s="1"/>
      <c r="I33" s="1"/>
      <c r="J33" s="160"/>
      <c r="K33" s="160"/>
      <c r="L33" s="160"/>
      <c r="M33" s="1"/>
      <c r="N33" s="168"/>
      <c r="O33" s="169"/>
      <c r="P33" s="166"/>
      <c r="Q33" s="368"/>
      <c r="R33" s="273"/>
      <c r="S33" s="167"/>
      <c r="T33" s="368" t="s">
        <v>29</v>
      </c>
      <c r="U33" s="272"/>
      <c r="V33" s="273"/>
      <c r="W33" s="167">
        <f>+H40</f>
        <v>0</v>
      </c>
      <c r="X33" s="1"/>
      <c r="Y33" s="1"/>
      <c r="Z33" s="1"/>
    </row>
    <row r="34" spans="1:26" ht="15.75" customHeight="1" x14ac:dyDescent="0.2">
      <c r="A34" s="160"/>
      <c r="B34" s="1"/>
      <c r="C34" s="160"/>
      <c r="D34" s="160"/>
      <c r="E34" s="1"/>
      <c r="F34" s="1"/>
      <c r="G34" s="1"/>
      <c r="H34" s="1"/>
      <c r="I34" s="1"/>
      <c r="J34" s="160"/>
      <c r="K34" s="160"/>
      <c r="L34" s="160"/>
      <c r="M34" s="1"/>
      <c r="N34" s="369" t="s">
        <v>181</v>
      </c>
      <c r="O34" s="273"/>
      <c r="P34" s="170">
        <f>+SUM(P28:P33)</f>
        <v>0</v>
      </c>
      <c r="Q34" s="373" t="s">
        <v>182</v>
      </c>
      <c r="R34" s="273"/>
      <c r="S34" s="171">
        <f>+SUM(S28:S33)</f>
        <v>0</v>
      </c>
      <c r="T34" s="373"/>
      <c r="U34" s="272"/>
      <c r="V34" s="273"/>
      <c r="W34" s="170">
        <f>+SUM(W28:W33)</f>
        <v>0</v>
      </c>
      <c r="X34" s="1"/>
      <c r="Y34" s="1"/>
      <c r="Z34" s="1"/>
    </row>
    <row r="35" spans="1:26" ht="15.75" customHeight="1" x14ac:dyDescent="0.2">
      <c r="A35" s="160"/>
      <c r="B35" s="160"/>
      <c r="C35" s="160"/>
      <c r="D35" s="160"/>
      <c r="E35" s="160"/>
      <c r="F35" s="160"/>
      <c r="G35" s="160"/>
      <c r="H35" s="160"/>
      <c r="I35" s="160"/>
      <c r="J35" s="160"/>
      <c r="K35" s="160"/>
      <c r="L35" s="160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1"/>
      <c r="B36" s="1"/>
      <c r="C36" s="1"/>
      <c r="D36" s="1"/>
      <c r="E36" s="160"/>
      <c r="F36" s="160"/>
      <c r="G36" s="160"/>
      <c r="H36" s="1"/>
      <c r="I36" s="160"/>
      <c r="J36" s="1"/>
      <c r="K36" s="1"/>
      <c r="L36" s="1"/>
      <c r="M36" s="1"/>
      <c r="N36" s="1"/>
      <c r="O36" s="1"/>
      <c r="P36" s="1"/>
      <c r="Q36" s="1"/>
      <c r="R36" s="1"/>
      <c r="S36" s="172" t="s">
        <v>183</v>
      </c>
      <c r="T36" s="173"/>
      <c r="U36" s="174"/>
      <c r="V36" s="173"/>
      <c r="W36" s="175">
        <f>+P34-S34-W34</f>
        <v>0</v>
      </c>
      <c r="X36" s="1"/>
      <c r="Y36" s="1"/>
      <c r="Z36" s="1"/>
    </row>
    <row r="37" spans="1:26" ht="15.75" customHeight="1" x14ac:dyDescent="0.2">
      <c r="A37" s="1"/>
      <c r="B37" s="1"/>
      <c r="C37" s="1"/>
      <c r="D37" s="1"/>
      <c r="E37" s="160"/>
      <c r="F37" s="160"/>
      <c r="G37" s="160"/>
      <c r="H37" s="160"/>
      <c r="I37" s="160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1"/>
      <c r="B38" s="1"/>
      <c r="C38" s="1"/>
      <c r="D38" s="1"/>
      <c r="E38" s="158">
        <f>Flujos!H18</f>
        <v>0</v>
      </c>
      <c r="F38" s="160"/>
      <c r="G38" s="160"/>
      <c r="H38" s="158">
        <f>Flujos!H20</f>
        <v>0</v>
      </c>
      <c r="I38" s="160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1"/>
      <c r="B39" s="1"/>
      <c r="C39" s="1"/>
      <c r="D39" s="1"/>
      <c r="E39" s="159">
        <f>Flujos!I18</f>
        <v>0</v>
      </c>
      <c r="F39" s="160"/>
      <c r="G39" s="163">
        <f>Flujos!H19</f>
        <v>0</v>
      </c>
      <c r="H39" s="159">
        <f>Flujos!I20</f>
        <v>0</v>
      </c>
      <c r="I39" s="160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">
      <c r="A40" s="1"/>
      <c r="B40" s="1"/>
      <c r="C40" s="1"/>
      <c r="D40" s="1"/>
      <c r="E40" s="161">
        <f>E38*E39</f>
        <v>0</v>
      </c>
      <c r="F40" s="160"/>
      <c r="G40" s="164">
        <f>Flujos!H19*Flujos!I19</f>
        <v>0</v>
      </c>
      <c r="H40" s="161">
        <f>H38*H39</f>
        <v>0</v>
      </c>
      <c r="I40" s="160"/>
      <c r="J40" s="1"/>
      <c r="K40" s="1"/>
      <c r="L40" s="1"/>
      <c r="M40" s="176"/>
      <c r="N40" s="177" t="s">
        <v>185</v>
      </c>
      <c r="O40" s="177" t="s">
        <v>186</v>
      </c>
      <c r="P40" s="177" t="str">
        <f>+'Calc Nodos'!J3</f>
        <v>Cub final Balanceada</v>
      </c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">
      <c r="A41" s="1"/>
      <c r="B41" s="1"/>
      <c r="C41" s="1"/>
      <c r="D41" s="1"/>
      <c r="E41" s="160"/>
      <c r="F41" s="160"/>
      <c r="G41" s="160"/>
      <c r="H41" s="160"/>
      <c r="I41" s="160"/>
      <c r="J41" s="1"/>
      <c r="K41" s="1"/>
      <c r="L41" s="1"/>
      <c r="M41" s="15" t="str">
        <f>+'Calc Nodos'!C4</f>
        <v>stock Granzas</v>
      </c>
      <c r="N41" s="58">
        <f>+'Calc Nodos'!F4</f>
        <v>2867</v>
      </c>
      <c r="O41" s="58">
        <f t="shared" ref="O41:O44" si="0">+S15</f>
        <v>0</v>
      </c>
      <c r="P41" s="58">
        <f>+'Calc Nodos'!J4</f>
        <v>0</v>
      </c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5" t="str">
        <f>+'Calc Nodos'!C5</f>
        <v>Stock Finos</v>
      </c>
      <c r="N42" s="58">
        <f>+'Calc Nodos'!F5</f>
        <v>212</v>
      </c>
      <c r="O42" s="58">
        <f t="shared" si="0"/>
        <v>0</v>
      </c>
      <c r="P42" s="58">
        <f>+'Calc Nodos'!J5</f>
        <v>226</v>
      </c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5" t="str">
        <f>+'Calc Nodos'!C6</f>
        <v>Stock Mixto 1</v>
      </c>
      <c r="N43" s="58">
        <f>+'Calc Nodos'!F6</f>
        <v>-478</v>
      </c>
      <c r="O43" s="58">
        <f t="shared" si="0"/>
        <v>0</v>
      </c>
      <c r="P43" s="58">
        <f>+'Calc Nodos'!J6</f>
        <v>1556</v>
      </c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5" t="str">
        <f>+'Calc Nodos'!C7</f>
        <v>Stock Mixto 2</v>
      </c>
      <c r="N44" s="58">
        <f>+'Calc Nodos'!F7</f>
        <v>528</v>
      </c>
      <c r="O44" s="58">
        <f t="shared" si="0"/>
        <v>0</v>
      </c>
      <c r="P44" s="58">
        <f>+'Calc Nodos'!J7</f>
        <v>382</v>
      </c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5"/>
      <c r="N45" s="15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5"/>
      <c r="N46" s="15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5"/>
      <c r="N47" s="15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5"/>
      <c r="N48" s="15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44">
    <mergeCell ref="N14:P14"/>
    <mergeCell ref="Q14:S14"/>
    <mergeCell ref="T14:W14"/>
    <mergeCell ref="N15:O15"/>
    <mergeCell ref="Q15:R15"/>
    <mergeCell ref="N16:O16"/>
    <mergeCell ref="T17:V17"/>
    <mergeCell ref="Q28:R28"/>
    <mergeCell ref="Q29:R29"/>
    <mergeCell ref="Q30:R30"/>
    <mergeCell ref="T28:V28"/>
    <mergeCell ref="T29:V29"/>
    <mergeCell ref="T30:V30"/>
    <mergeCell ref="Q31:R31"/>
    <mergeCell ref="Q32:R32"/>
    <mergeCell ref="Q33:R33"/>
    <mergeCell ref="Q34:R34"/>
    <mergeCell ref="Q16:R16"/>
    <mergeCell ref="Q17:R17"/>
    <mergeCell ref="Q18:R18"/>
    <mergeCell ref="Q19:R19"/>
    <mergeCell ref="Q20:R20"/>
    <mergeCell ref="Q21:R21"/>
    <mergeCell ref="Q27:S27"/>
    <mergeCell ref="T31:V31"/>
    <mergeCell ref="T32:V32"/>
    <mergeCell ref="T33:V33"/>
    <mergeCell ref="T34:V34"/>
    <mergeCell ref="T15:V15"/>
    <mergeCell ref="T16:V16"/>
    <mergeCell ref="T18:V18"/>
    <mergeCell ref="T19:V19"/>
    <mergeCell ref="T20:V20"/>
    <mergeCell ref="T21:V21"/>
    <mergeCell ref="T27:W27"/>
    <mergeCell ref="N31:O31"/>
    <mergeCell ref="N34:O34"/>
    <mergeCell ref="N17:O17"/>
    <mergeCell ref="N18:O18"/>
    <mergeCell ref="N21:O21"/>
    <mergeCell ref="N27:P27"/>
    <mergeCell ref="N28:O28"/>
    <mergeCell ref="N29:O29"/>
    <mergeCell ref="N30:O30"/>
  </mergeCells>
  <pageMargins left="0.7" right="0.7" top="0.75" bottom="0.75" header="0" footer="0"/>
  <pageSetup paperSize="9" orientation="portrait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Z1000"/>
  <sheetViews>
    <sheetView showGridLines="0" workbookViewId="0"/>
  </sheetViews>
  <sheetFormatPr baseColWidth="10" defaultColWidth="14.5" defaultRowHeight="15" customHeight="1" x14ac:dyDescent="0.2"/>
  <cols>
    <col min="1" max="13" width="11.5" customWidth="1"/>
    <col min="14" max="14" width="17.6640625" customWidth="1"/>
    <col min="15" max="25" width="11.5" customWidth="1"/>
    <col min="26" max="26" width="14.5" customWidth="1"/>
  </cols>
  <sheetData>
    <row r="1" spans="1:26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x14ac:dyDescent="0.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x14ac:dyDescent="0.2">
      <c r="A6" s="1"/>
      <c r="B6" s="1"/>
      <c r="C6" s="158">
        <f>Flujos!H21</f>
        <v>20375.175738000002</v>
      </c>
      <c r="D6" s="160"/>
      <c r="E6" s="160"/>
      <c r="F6" s="1"/>
      <c r="G6" s="1"/>
      <c r="H6" s="158">
        <f>Flujos!H24</f>
        <v>28977.250949000001</v>
      </c>
      <c r="I6" s="1"/>
      <c r="J6" s="1"/>
      <c r="K6" s="158">
        <f>Flujos!H26</f>
        <v>27597.13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x14ac:dyDescent="0.2">
      <c r="A7" s="1"/>
      <c r="B7" s="1"/>
      <c r="C7" s="159">
        <f>Flujos!I21</f>
        <v>0.42830678239000003</v>
      </c>
      <c r="D7" s="178">
        <f>Flujos!J21</f>
        <v>0.39709560000000005</v>
      </c>
      <c r="E7" s="160"/>
      <c r="F7" s="1"/>
      <c r="G7" s="1"/>
      <c r="H7" s="159">
        <f>Flujos!I24</f>
        <v>0.44839042526</v>
      </c>
      <c r="I7" s="179">
        <f>Flujos!J24</f>
        <v>0.40946417496999998</v>
      </c>
      <c r="J7" s="163">
        <f>Flujos!H25</f>
        <v>1380.1209484999999</v>
      </c>
      <c r="K7" s="159">
        <f>Flujos!I26</f>
        <v>0.44752731015999997</v>
      </c>
      <c r="L7" s="21">
        <f>Flujos!J26</f>
        <v>0.40859499999999999</v>
      </c>
      <c r="M7" s="1"/>
      <c r="N7" s="1"/>
      <c r="O7" s="1"/>
      <c r="P7" s="180" t="s">
        <v>187</v>
      </c>
      <c r="Q7" s="181">
        <f>+H6/(C6+C14)</f>
        <v>0.78533151491047593</v>
      </c>
      <c r="R7" s="1"/>
      <c r="S7" s="1"/>
      <c r="T7" s="1"/>
      <c r="U7" s="1"/>
      <c r="V7" s="1"/>
      <c r="W7" s="1"/>
      <c r="X7" s="1"/>
      <c r="Y7" s="1"/>
      <c r="Z7" s="1"/>
    </row>
    <row r="8" spans="1:26" x14ac:dyDescent="0.2">
      <c r="A8" s="1"/>
      <c r="B8" s="1"/>
      <c r="C8" s="161">
        <f>C6*C7</f>
        <v>8726.8259609735742</v>
      </c>
      <c r="D8" s="182">
        <f>D7*C6</f>
        <v>8090.8926347865545</v>
      </c>
      <c r="E8" s="160"/>
      <c r="F8" s="1"/>
      <c r="G8" s="1"/>
      <c r="H8" s="161">
        <f>H7*H6</f>
        <v>12993.121875887849</v>
      </c>
      <c r="I8" s="183">
        <f>I7*H6</f>
        <v>11865.146152730935</v>
      </c>
      <c r="J8" s="184">
        <f>Flujos!H25*Flujos!I25</f>
        <v>642.6525189504531</v>
      </c>
      <c r="K8" s="161">
        <f>K7*K6</f>
        <v>12350.469357035841</v>
      </c>
      <c r="L8" s="15">
        <f>K6*L7</f>
        <v>11276.04933235</v>
      </c>
      <c r="M8" s="1"/>
      <c r="N8" s="1"/>
      <c r="O8" s="1"/>
      <c r="P8" s="180" t="s">
        <v>188</v>
      </c>
      <c r="Q8" s="181">
        <f>+H17/(C6+C14)</f>
        <v>0.29800218164603931</v>
      </c>
      <c r="R8" s="1"/>
      <c r="S8" s="1"/>
      <c r="T8" s="1"/>
      <c r="U8" s="1"/>
      <c r="V8" s="1"/>
      <c r="W8" s="1"/>
      <c r="X8" s="1"/>
      <c r="Y8" s="1"/>
      <c r="Z8" s="1"/>
    </row>
    <row r="9" spans="1:26" x14ac:dyDescent="0.2">
      <c r="A9" s="1"/>
      <c r="B9" s="1"/>
      <c r="C9" s="160"/>
      <c r="D9" s="160"/>
      <c r="E9" s="160"/>
      <c r="F9" s="1"/>
      <c r="G9" s="1"/>
      <c r="H9" s="1"/>
      <c r="I9" s="1"/>
      <c r="J9" s="183">
        <f>Flujos!H25*Flujos!J25</f>
        <v>589.09682044770034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x14ac:dyDescent="0.2">
      <c r="A10" s="1"/>
      <c r="B10" s="1"/>
      <c r="C10" s="160"/>
      <c r="D10" s="160"/>
      <c r="E10" s="160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x14ac:dyDescent="0.2">
      <c r="A11" s="158">
        <f>Flujos!H23</f>
        <v>13114.856148000001</v>
      </c>
      <c r="B11" s="160"/>
      <c r="C11" s="160"/>
      <c r="D11" s="160"/>
      <c r="E11" s="160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x14ac:dyDescent="0.2">
      <c r="A12" s="159">
        <f>Flujos!I23</f>
        <v>0.35974301740999998</v>
      </c>
      <c r="B12" s="178">
        <f>Flujos!J23</f>
        <v>0.29708978893999999</v>
      </c>
      <c r="C12" s="160"/>
      <c r="D12" s="160"/>
      <c r="E12" s="160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x14ac:dyDescent="0.2">
      <c r="A13" s="161">
        <f>A12*A11</f>
        <v>4717.9779235796095</v>
      </c>
      <c r="B13" s="182">
        <f>B12*A11</f>
        <v>3896.2898449877816</v>
      </c>
      <c r="C13" s="160"/>
      <c r="D13" s="160"/>
      <c r="E13" s="160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6" x14ac:dyDescent="0.2">
      <c r="A14" s="1"/>
      <c r="B14" s="1"/>
      <c r="C14" s="158">
        <f>Flujos!H22</f>
        <v>16522.937223000001</v>
      </c>
      <c r="D14" s="160"/>
      <c r="E14" s="160"/>
      <c r="F14" s="1"/>
      <c r="G14" s="1"/>
      <c r="H14" s="1"/>
      <c r="I14" s="1"/>
      <c r="J14" s="1"/>
      <c r="K14" s="1"/>
      <c r="L14" s="1"/>
      <c r="M14" s="1"/>
      <c r="N14" s="1"/>
      <c r="O14" s="1"/>
      <c r="P14" s="165" t="s">
        <v>170</v>
      </c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9" x14ac:dyDescent="0.2">
      <c r="A15" s="1"/>
      <c r="B15" s="1"/>
      <c r="C15" s="159">
        <f>Flujos!I22</f>
        <v>0.43059465885999998</v>
      </c>
      <c r="D15" s="178">
        <f>Flujos!J22</f>
        <v>0.38590782546000002</v>
      </c>
      <c r="E15" s="160"/>
      <c r="F15" s="1"/>
      <c r="G15" s="1"/>
      <c r="H15" s="1"/>
      <c r="I15" s="1"/>
      <c r="J15" s="1"/>
      <c r="K15" s="1"/>
      <c r="L15" s="1"/>
      <c r="M15" s="1"/>
      <c r="N15" s="1"/>
      <c r="O15" s="1"/>
      <c r="P15" s="376" t="s">
        <v>171</v>
      </c>
      <c r="Q15" s="272"/>
      <c r="R15" s="372"/>
      <c r="S15" s="377" t="s">
        <v>172</v>
      </c>
      <c r="T15" s="272"/>
      <c r="U15" s="273"/>
      <c r="V15" s="378" t="s">
        <v>173</v>
      </c>
      <c r="W15" s="272"/>
      <c r="X15" s="272"/>
      <c r="Y15" s="273"/>
      <c r="Z15" s="1"/>
    </row>
    <row r="16" spans="1:26" ht="13.5" customHeight="1" x14ac:dyDescent="0.2">
      <c r="A16" s="1"/>
      <c r="B16" s="1"/>
      <c r="C16" s="161">
        <f>C15*C14</f>
        <v>7114.688516902881</v>
      </c>
      <c r="D16" s="182">
        <f>D15*C14</f>
        <v>6376.3307739400216</v>
      </c>
      <c r="E16" s="160"/>
      <c r="F16" s="1"/>
      <c r="G16" s="1"/>
      <c r="H16" s="1"/>
      <c r="I16" s="1"/>
      <c r="J16" s="1"/>
      <c r="K16" s="1"/>
      <c r="L16" s="1"/>
      <c r="M16" s="1"/>
      <c r="N16" s="1"/>
      <c r="O16" s="1"/>
      <c r="P16" s="370" t="s">
        <v>189</v>
      </c>
      <c r="Q16" s="273"/>
      <c r="R16" s="166">
        <f>+C6</f>
        <v>20375.175738000002</v>
      </c>
      <c r="S16" s="370" t="s">
        <v>190</v>
      </c>
      <c r="T16" s="273"/>
      <c r="U16" s="167">
        <f>+J7</f>
        <v>1380.1209484999999</v>
      </c>
      <c r="V16" s="368" t="s">
        <v>191</v>
      </c>
      <c r="W16" s="272"/>
      <c r="X16" s="273"/>
      <c r="Y16" s="167">
        <f>+K6</f>
        <v>27597.13</v>
      </c>
      <c r="Z16" s="1"/>
    </row>
    <row r="17" spans="1:26" ht="13.5" customHeight="1" x14ac:dyDescent="0.2">
      <c r="A17" s="1"/>
      <c r="B17" s="1"/>
      <c r="C17" s="160"/>
      <c r="D17" s="160"/>
      <c r="E17" s="158">
        <f>Flujos!H29</f>
        <v>11366.66</v>
      </c>
      <c r="F17" s="1"/>
      <c r="G17" s="1"/>
      <c r="H17" s="158">
        <f>Flujos!H27</f>
        <v>10995.718161000001</v>
      </c>
      <c r="I17" s="1"/>
      <c r="J17" s="1"/>
      <c r="K17" s="158">
        <f>Flujos!H29</f>
        <v>11366.66</v>
      </c>
      <c r="L17" s="1"/>
      <c r="M17" s="1"/>
      <c r="N17" s="1"/>
      <c r="O17" s="1"/>
      <c r="P17" s="370" t="s">
        <v>192</v>
      </c>
      <c r="Q17" s="273"/>
      <c r="R17" s="166">
        <f>+C14</f>
        <v>16522.937223000001</v>
      </c>
      <c r="S17" s="368" t="s">
        <v>193</v>
      </c>
      <c r="T17" s="273"/>
      <c r="U17" s="167">
        <f>+J18</f>
        <v>-370.94183871000001</v>
      </c>
      <c r="V17" s="368" t="s">
        <v>194</v>
      </c>
      <c r="W17" s="272"/>
      <c r="X17" s="273"/>
      <c r="Y17" s="167">
        <f>+K17</f>
        <v>11366.66</v>
      </c>
      <c r="Z17" s="1"/>
    </row>
    <row r="18" spans="1:26" ht="13.5" customHeight="1" x14ac:dyDescent="0.2">
      <c r="A18" s="1"/>
      <c r="B18" s="1"/>
      <c r="C18" s="160"/>
      <c r="D18" s="160"/>
      <c r="E18" s="159">
        <f>Flujos!I29</f>
        <v>0.48080364181000002</v>
      </c>
      <c r="F18" s="21">
        <f>Flujos!J29</f>
        <v>0.42857832819000002</v>
      </c>
      <c r="G18" s="1"/>
      <c r="H18" s="159">
        <f>Flujos!I27</f>
        <v>0.48052470984000001</v>
      </c>
      <c r="I18" s="179">
        <f>Flujos!J27</f>
        <v>0.42794433431000001</v>
      </c>
      <c r="J18" s="163">
        <f>Flujos!H28</f>
        <v>-370.94183871000001</v>
      </c>
      <c r="K18" s="159">
        <f>Flujos!I29</f>
        <v>0.48080364181000002</v>
      </c>
      <c r="L18" s="179">
        <f>Flujos!J29</f>
        <v>0.42857832819000002</v>
      </c>
      <c r="M18" s="1"/>
      <c r="N18" s="1"/>
      <c r="O18" s="1"/>
      <c r="P18" s="370" t="s">
        <v>122</v>
      </c>
      <c r="Q18" s="273"/>
      <c r="R18" s="166">
        <f>A11</f>
        <v>13114.856148000001</v>
      </c>
      <c r="S18" s="368" t="s">
        <v>160</v>
      </c>
      <c r="T18" s="273"/>
      <c r="U18" s="167">
        <f>+E27</f>
        <v>1227.7583999999999</v>
      </c>
      <c r="V18" s="368" t="s">
        <v>195</v>
      </c>
      <c r="W18" s="272"/>
      <c r="X18" s="273"/>
      <c r="Y18" s="167">
        <f>+H26</f>
        <v>8812.2415999999994</v>
      </c>
      <c r="Z18" s="1"/>
    </row>
    <row r="19" spans="1:26" ht="19" x14ac:dyDescent="0.2">
      <c r="A19" s="1"/>
      <c r="B19" s="1"/>
      <c r="C19" s="160"/>
      <c r="D19" s="160"/>
      <c r="E19" s="161">
        <f>E17*E18</f>
        <v>5465.131523216055</v>
      </c>
      <c r="F19" s="15">
        <f>F18*E17</f>
        <v>4871.5041399041456</v>
      </c>
      <c r="G19" s="1"/>
      <c r="H19" s="161">
        <f>H18*H17</f>
        <v>5283.7142787969442</v>
      </c>
      <c r="I19" s="183">
        <f>I18*H17</f>
        <v>4705.5552886695232</v>
      </c>
      <c r="J19" s="184">
        <f>Flujos!H28*Flujos!I28</f>
        <v>-181.4172439135078</v>
      </c>
      <c r="K19" s="161">
        <f>K18*K17</f>
        <v>5465.131523216055</v>
      </c>
      <c r="L19" s="183">
        <f>L18*K17</f>
        <v>4871.5041399041456</v>
      </c>
      <c r="M19" s="1"/>
      <c r="N19" s="1"/>
      <c r="O19" s="1"/>
      <c r="P19" s="369" t="s">
        <v>181</v>
      </c>
      <c r="Q19" s="273"/>
      <c r="R19" s="170">
        <f>+SUM(R16:R18)</f>
        <v>50012.969109000005</v>
      </c>
      <c r="S19" s="373" t="s">
        <v>182</v>
      </c>
      <c r="T19" s="273"/>
      <c r="U19" s="171">
        <f>+SUM(U16:U18)</f>
        <v>2236.9375097900001</v>
      </c>
      <c r="V19" s="373"/>
      <c r="W19" s="272"/>
      <c r="X19" s="273"/>
      <c r="Y19" s="170">
        <f>+SUM(Y16:Y18)</f>
        <v>47776.031600000002</v>
      </c>
      <c r="Z19" s="1"/>
    </row>
    <row r="20" spans="1:26" x14ac:dyDescent="0.2">
      <c r="A20" s="1"/>
      <c r="B20" s="1"/>
      <c r="C20" s="160"/>
      <c r="D20" s="160"/>
      <c r="E20" s="160"/>
      <c r="F20" s="1"/>
      <c r="G20" s="1"/>
      <c r="H20" s="1"/>
      <c r="I20" s="1"/>
      <c r="J20" s="183">
        <f>Flujos!H28*Flujos!J28</f>
        <v>-165.94885119077003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">
      <c r="A21" s="1"/>
      <c r="B21" s="1"/>
      <c r="C21" s="160"/>
      <c r="D21" s="160"/>
      <c r="E21" s="160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72" t="s">
        <v>183</v>
      </c>
      <c r="V21" s="173"/>
      <c r="W21" s="174"/>
      <c r="X21" s="173"/>
      <c r="Y21" s="175">
        <f>+R19-U19-Y19</f>
        <v>-7.8999437391757965E-7</v>
      </c>
      <c r="Z21" s="1"/>
    </row>
    <row r="22" spans="1:26" ht="15.75" customHeight="1" x14ac:dyDescent="0.2">
      <c r="A22" s="1"/>
      <c r="B22" s="1"/>
      <c r="C22" s="160"/>
      <c r="D22" s="160"/>
      <c r="E22" s="160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">
      <c r="A23" s="1"/>
      <c r="B23" s="1"/>
      <c r="C23" s="160"/>
      <c r="D23" s="160"/>
      <c r="E23" s="160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A24" s="1"/>
      <c r="B24" s="1"/>
      <c r="C24" s="160"/>
      <c r="D24" s="160"/>
      <c r="E24" s="160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1"/>
      <c r="B25" s="1"/>
      <c r="C25" s="160"/>
      <c r="D25" s="160"/>
      <c r="E25" s="160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1"/>
      <c r="B26" s="1"/>
      <c r="C26" s="160"/>
      <c r="D26" s="160"/>
      <c r="E26" s="160"/>
      <c r="F26" s="1"/>
      <c r="G26" s="1"/>
      <c r="H26" s="158">
        <f>Flujos!H32</f>
        <v>8812.2415999999994</v>
      </c>
      <c r="I26" s="1"/>
      <c r="J26" s="1"/>
      <c r="K26" s="1"/>
      <c r="L26" s="1"/>
      <c r="M26" s="1"/>
      <c r="N26" s="1"/>
      <c r="O26" s="1"/>
      <c r="P26" s="165" t="s">
        <v>196</v>
      </c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1"/>
      <c r="B27" s="1"/>
      <c r="C27" s="160"/>
      <c r="D27" s="160"/>
      <c r="E27" s="163">
        <f>Flujos!H31</f>
        <v>1227.7583999999999</v>
      </c>
      <c r="F27" s="1"/>
      <c r="G27" s="1"/>
      <c r="H27" s="159">
        <f>Flujos!I32</f>
        <v>0.22031704048999998</v>
      </c>
      <c r="I27" s="21">
        <f>Flujos!J32</f>
        <v>0.1808565</v>
      </c>
      <c r="J27" s="1"/>
      <c r="K27" s="1"/>
      <c r="L27" s="1"/>
      <c r="M27" s="1"/>
      <c r="N27" s="1"/>
      <c r="O27" s="1"/>
      <c r="P27" s="371" t="s">
        <v>171</v>
      </c>
      <c r="Q27" s="272"/>
      <c r="R27" s="372"/>
      <c r="S27" s="375" t="s">
        <v>172</v>
      </c>
      <c r="T27" s="272"/>
      <c r="U27" s="273"/>
      <c r="V27" s="374" t="s">
        <v>173</v>
      </c>
      <c r="W27" s="272"/>
      <c r="X27" s="272"/>
      <c r="Y27" s="273"/>
      <c r="Z27" s="1"/>
    </row>
    <row r="28" spans="1:26" ht="15.75" customHeight="1" x14ac:dyDescent="0.2">
      <c r="A28" s="1"/>
      <c r="B28" s="1"/>
      <c r="C28" s="160"/>
      <c r="D28" s="160"/>
      <c r="E28" s="184">
        <f>Flujos!H31*Flujos!I31</f>
        <v>341.16925864031998</v>
      </c>
      <c r="F28" s="1"/>
      <c r="G28" s="1"/>
      <c r="H28" s="161">
        <f>H27*H26</f>
        <v>1941.4869893948621</v>
      </c>
      <c r="I28" s="15">
        <f>I27*H26</f>
        <v>1593.7511729303999</v>
      </c>
      <c r="J28" s="1"/>
      <c r="K28" s="1"/>
      <c r="L28" s="1"/>
      <c r="M28" s="1"/>
      <c r="N28" s="1"/>
      <c r="O28" s="1"/>
      <c r="P28" s="370" t="s">
        <v>189</v>
      </c>
      <c r="Q28" s="273"/>
      <c r="R28" s="166">
        <f>+C8</f>
        <v>8726.8259609735742</v>
      </c>
      <c r="S28" s="370" t="s">
        <v>190</v>
      </c>
      <c r="T28" s="273"/>
      <c r="U28" s="167">
        <f>+J8</f>
        <v>642.6525189504531</v>
      </c>
      <c r="V28" s="368" t="s">
        <v>191</v>
      </c>
      <c r="W28" s="272"/>
      <c r="X28" s="273"/>
      <c r="Y28" s="167">
        <f>+K8</f>
        <v>12350.469357035841</v>
      </c>
      <c r="Z28" s="1"/>
    </row>
    <row r="29" spans="1:26" ht="15.75" customHeight="1" x14ac:dyDescent="0.2">
      <c r="A29" s="1"/>
      <c r="B29" s="1"/>
      <c r="C29" s="160"/>
      <c r="D29" s="160"/>
      <c r="E29" s="183">
        <f>Flujos!H31*Flujos!J31</f>
        <v>199.06064524387011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370" t="s">
        <v>192</v>
      </c>
      <c r="Q29" s="273"/>
      <c r="R29" s="166">
        <f>+C16</f>
        <v>7114.688516902881</v>
      </c>
      <c r="S29" s="368" t="s">
        <v>193</v>
      </c>
      <c r="T29" s="273"/>
      <c r="U29" s="167">
        <f>+J19</f>
        <v>-181.4172439135078</v>
      </c>
      <c r="V29" s="368" t="s">
        <v>194</v>
      </c>
      <c r="W29" s="272"/>
      <c r="X29" s="273"/>
      <c r="Y29" s="167">
        <f>+K19</f>
        <v>5465.131523216055</v>
      </c>
      <c r="Z29" s="1"/>
    </row>
    <row r="30" spans="1:26" ht="15.75" customHeight="1" x14ac:dyDescent="0.2">
      <c r="A30" s="1"/>
      <c r="B30" s="1"/>
      <c r="C30" s="160"/>
      <c r="D30" s="160"/>
      <c r="E30" s="160"/>
      <c r="F30" s="1"/>
      <c r="G30" s="1"/>
      <c r="H30" s="1"/>
      <c r="I30" s="1"/>
      <c r="J30" s="1"/>
      <c r="K30" s="1"/>
      <c r="L30" s="1"/>
      <c r="M30" s="1"/>
      <c r="N30" s="1"/>
      <c r="O30" s="1"/>
      <c r="P30" s="370" t="s">
        <v>122</v>
      </c>
      <c r="Q30" s="273"/>
      <c r="R30" s="166">
        <f>A13</f>
        <v>4717.9779235796095</v>
      </c>
      <c r="S30" s="368" t="s">
        <v>160</v>
      </c>
      <c r="T30" s="273"/>
      <c r="U30" s="167">
        <f>+E28</f>
        <v>341.16925864031998</v>
      </c>
      <c r="V30" s="368" t="s">
        <v>195</v>
      </c>
      <c r="W30" s="272"/>
      <c r="X30" s="273"/>
      <c r="Y30" s="167">
        <f>+H28</f>
        <v>1941.4869893948621</v>
      </c>
      <c r="Z30" s="1"/>
    </row>
    <row r="31" spans="1:26" ht="15.75" customHeight="1" x14ac:dyDescent="0.2">
      <c r="A31" s="1"/>
      <c r="B31" s="1"/>
      <c r="C31" s="160"/>
      <c r="D31" s="160"/>
      <c r="E31" s="160"/>
      <c r="F31" s="1"/>
      <c r="G31" s="1"/>
      <c r="H31" s="1"/>
      <c r="I31" s="1"/>
      <c r="J31" s="1"/>
      <c r="K31" s="1"/>
      <c r="L31" s="1"/>
      <c r="M31" s="1"/>
      <c r="N31" s="1"/>
      <c r="O31" s="1"/>
      <c r="P31" s="369" t="s">
        <v>181</v>
      </c>
      <c r="Q31" s="273"/>
      <c r="R31" s="170">
        <f>+SUM(R28:R30)</f>
        <v>20559.492401456064</v>
      </c>
      <c r="S31" s="373" t="s">
        <v>182</v>
      </c>
      <c r="T31" s="273"/>
      <c r="U31" s="171">
        <f>+SUM(U28:U30)</f>
        <v>802.40453367726525</v>
      </c>
      <c r="V31" s="373"/>
      <c r="W31" s="272"/>
      <c r="X31" s="273"/>
      <c r="Y31" s="170">
        <f>+SUM(Y28:Y30)</f>
        <v>19757.087869646759</v>
      </c>
      <c r="Z31" s="1"/>
    </row>
    <row r="32" spans="1:26" ht="15.75" customHeight="1" x14ac:dyDescent="0.2">
      <c r="A32" s="1"/>
      <c r="B32" s="1"/>
      <c r="C32" s="160"/>
      <c r="D32" s="160"/>
      <c r="E32" s="160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1"/>
      <c r="B33" s="1"/>
      <c r="C33" s="160"/>
      <c r="D33" s="160"/>
      <c r="E33" s="160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72" t="s">
        <v>183</v>
      </c>
      <c r="V33" s="173"/>
      <c r="W33" s="174"/>
      <c r="X33" s="173"/>
      <c r="Y33" s="175">
        <f>+R31-U31-Y31</f>
        <v>-1.867960236268118E-6</v>
      </c>
      <c r="Z33" s="1"/>
    </row>
    <row r="34" spans="1:26" ht="15.75" customHeight="1" x14ac:dyDescent="0.2">
      <c r="A34" s="1"/>
      <c r="B34" s="1"/>
      <c r="C34" s="160"/>
      <c r="D34" s="160"/>
      <c r="E34" s="160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1"/>
      <c r="B35" s="1"/>
      <c r="C35" s="160"/>
      <c r="D35" s="160"/>
      <c r="E35" s="160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1"/>
      <c r="B36" s="1"/>
      <c r="C36" s="160"/>
      <c r="D36" s="160"/>
      <c r="E36" s="160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1"/>
      <c r="B37" s="1"/>
      <c r="C37" s="160"/>
      <c r="D37" s="160"/>
      <c r="E37" s="160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1"/>
      <c r="B38" s="1"/>
      <c r="C38" s="160"/>
      <c r="D38" s="160"/>
      <c r="E38" s="160"/>
      <c r="F38" s="1"/>
      <c r="G38" s="1"/>
      <c r="H38" s="1"/>
      <c r="I38" s="1"/>
      <c r="J38" s="1"/>
      <c r="K38" s="1"/>
      <c r="L38" s="1"/>
      <c r="M38" s="1"/>
      <c r="N38" s="1"/>
      <c r="O38" s="1"/>
      <c r="P38" s="165" t="s">
        <v>197</v>
      </c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1"/>
      <c r="B39" s="1"/>
      <c r="C39" s="160"/>
      <c r="D39" s="160"/>
      <c r="E39" s="160"/>
      <c r="F39" s="1"/>
      <c r="G39" s="1"/>
      <c r="H39" s="1"/>
      <c r="I39" s="1"/>
      <c r="J39" s="1"/>
      <c r="K39" s="1"/>
      <c r="L39" s="1"/>
      <c r="M39" s="1"/>
      <c r="N39" s="1"/>
      <c r="O39" s="1"/>
      <c r="P39" s="371" t="s">
        <v>171</v>
      </c>
      <c r="Q39" s="272"/>
      <c r="R39" s="372"/>
      <c r="S39" s="375" t="s">
        <v>172</v>
      </c>
      <c r="T39" s="272"/>
      <c r="U39" s="273"/>
      <c r="V39" s="374" t="s">
        <v>173</v>
      </c>
      <c r="W39" s="272"/>
      <c r="X39" s="272"/>
      <c r="Y39" s="273"/>
      <c r="Z39" s="1"/>
    </row>
    <row r="40" spans="1:26" ht="15.75" customHeight="1" x14ac:dyDescent="0.2">
      <c r="A40" s="1"/>
      <c r="B40" s="1"/>
      <c r="C40" s="160"/>
      <c r="D40" s="160"/>
      <c r="E40" s="160"/>
      <c r="F40" s="1"/>
      <c r="G40" s="1"/>
      <c r="H40" s="1"/>
      <c r="I40" s="1"/>
      <c r="J40" s="1"/>
      <c r="K40" s="1"/>
      <c r="L40" s="1"/>
      <c r="M40" s="1"/>
      <c r="N40" s="1"/>
      <c r="O40" s="1"/>
      <c r="P40" s="370" t="s">
        <v>189</v>
      </c>
      <c r="Q40" s="273"/>
      <c r="R40" s="166">
        <f>+D8</f>
        <v>8090.8926347865545</v>
      </c>
      <c r="S40" s="370" t="s">
        <v>190</v>
      </c>
      <c r="T40" s="273"/>
      <c r="U40" s="167">
        <f>+J9</f>
        <v>589.09682044770034</v>
      </c>
      <c r="V40" s="368" t="s">
        <v>191</v>
      </c>
      <c r="W40" s="272"/>
      <c r="X40" s="273"/>
      <c r="Y40" s="167">
        <f>+L8</f>
        <v>11276.04933235</v>
      </c>
      <c r="Z40" s="1"/>
    </row>
    <row r="41" spans="1:26" ht="15.75" customHeight="1" x14ac:dyDescent="0.2">
      <c r="A41" s="1"/>
      <c r="B41" s="1"/>
      <c r="C41" s="160"/>
      <c r="D41" s="160"/>
      <c r="E41" s="160"/>
      <c r="F41" s="1"/>
      <c r="G41" s="1"/>
      <c r="H41" s="1"/>
      <c r="I41" s="1"/>
      <c r="J41" s="1"/>
      <c r="K41" s="1"/>
      <c r="L41" s="1"/>
      <c r="M41" s="1"/>
      <c r="N41" s="1"/>
      <c r="O41" s="1"/>
      <c r="P41" s="370" t="s">
        <v>192</v>
      </c>
      <c r="Q41" s="273"/>
      <c r="R41" s="166">
        <f>+D16</f>
        <v>6376.3307739400216</v>
      </c>
      <c r="S41" s="368" t="s">
        <v>193</v>
      </c>
      <c r="T41" s="273"/>
      <c r="U41" s="167">
        <f>+J20</f>
        <v>-165.94885119077003</v>
      </c>
      <c r="V41" s="368" t="s">
        <v>194</v>
      </c>
      <c r="W41" s="272"/>
      <c r="X41" s="273"/>
      <c r="Y41" s="167">
        <f>+L19</f>
        <v>4871.5041399041456</v>
      </c>
      <c r="Z41" s="1"/>
    </row>
    <row r="42" spans="1:26" ht="15.75" customHeight="1" x14ac:dyDescent="0.2">
      <c r="A42" s="1"/>
      <c r="B42" s="1"/>
      <c r="C42" s="160"/>
      <c r="D42" s="160"/>
      <c r="E42" s="160"/>
      <c r="F42" s="1"/>
      <c r="G42" s="1"/>
      <c r="H42" s="1"/>
      <c r="I42" s="1"/>
      <c r="J42" s="1"/>
      <c r="K42" s="1"/>
      <c r="L42" s="1"/>
      <c r="M42" s="1"/>
      <c r="N42" s="1"/>
      <c r="O42" s="1"/>
      <c r="P42" s="370" t="s">
        <v>122</v>
      </c>
      <c r="Q42" s="273"/>
      <c r="R42" s="166">
        <f>B13</f>
        <v>3896.2898449877816</v>
      </c>
      <c r="S42" s="368" t="s">
        <v>160</v>
      </c>
      <c r="T42" s="273"/>
      <c r="U42" s="167">
        <f>+E29</f>
        <v>199.06064524387011</v>
      </c>
      <c r="V42" s="368" t="s">
        <v>195</v>
      </c>
      <c r="W42" s="272"/>
      <c r="X42" s="273"/>
      <c r="Y42" s="167">
        <f>+I28</f>
        <v>1593.7511729303999</v>
      </c>
      <c r="Z42" s="1"/>
    </row>
    <row r="43" spans="1:26" ht="15.75" customHeight="1" x14ac:dyDescent="0.2">
      <c r="A43" s="1"/>
      <c r="B43" s="1"/>
      <c r="C43" s="160"/>
      <c r="D43" s="160"/>
      <c r="E43" s="160"/>
      <c r="F43" s="1"/>
      <c r="G43" s="1"/>
      <c r="H43" s="1"/>
      <c r="I43" s="1"/>
      <c r="J43" s="1"/>
      <c r="K43" s="1"/>
      <c r="L43" s="1"/>
      <c r="M43" s="1"/>
      <c r="N43" s="1"/>
      <c r="O43" s="1"/>
      <c r="P43" s="369" t="s">
        <v>181</v>
      </c>
      <c r="Q43" s="273"/>
      <c r="R43" s="170">
        <f>+SUM(R40:R42)</f>
        <v>18363.513253714358</v>
      </c>
      <c r="S43" s="373" t="s">
        <v>182</v>
      </c>
      <c r="T43" s="273"/>
      <c r="U43" s="171">
        <f>+SUM(U40:U42)</f>
        <v>622.20861450080042</v>
      </c>
      <c r="V43" s="373"/>
      <c r="W43" s="272"/>
      <c r="X43" s="273"/>
      <c r="Y43" s="170">
        <f>+SUM(Y40:Y42)</f>
        <v>17741.304645184544</v>
      </c>
      <c r="Z43" s="1"/>
    </row>
    <row r="44" spans="1:26" ht="15.7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72" t="s">
        <v>183</v>
      </c>
      <c r="V45" s="173"/>
      <c r="W45" s="174"/>
      <c r="X45" s="173"/>
      <c r="Y45" s="175">
        <f>+R43-U43-Y43</f>
        <v>-5.9709855122491717E-6</v>
      </c>
      <c r="Z45" s="1"/>
    </row>
    <row r="46" spans="1:26" ht="15.7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45">
    <mergeCell ref="P15:R15"/>
    <mergeCell ref="S15:U15"/>
    <mergeCell ref="V15:Y15"/>
    <mergeCell ref="P16:Q16"/>
    <mergeCell ref="S16:T16"/>
    <mergeCell ref="P17:Q17"/>
    <mergeCell ref="V18:X18"/>
    <mergeCell ref="S31:T31"/>
    <mergeCell ref="S39:U39"/>
    <mergeCell ref="S40:T40"/>
    <mergeCell ref="V31:X31"/>
    <mergeCell ref="V39:Y39"/>
    <mergeCell ref="V40:X40"/>
    <mergeCell ref="P39:R39"/>
    <mergeCell ref="P40:Q40"/>
    <mergeCell ref="S41:T41"/>
    <mergeCell ref="S42:T42"/>
    <mergeCell ref="S43:T43"/>
    <mergeCell ref="S17:T17"/>
    <mergeCell ref="S18:T18"/>
    <mergeCell ref="S19:T19"/>
    <mergeCell ref="S27:U27"/>
    <mergeCell ref="S28:T28"/>
    <mergeCell ref="S29:T29"/>
    <mergeCell ref="S30:T30"/>
    <mergeCell ref="V41:X41"/>
    <mergeCell ref="V42:X42"/>
    <mergeCell ref="V43:X43"/>
    <mergeCell ref="V16:X16"/>
    <mergeCell ref="V17:X17"/>
    <mergeCell ref="V19:X19"/>
    <mergeCell ref="V27:Y27"/>
    <mergeCell ref="V28:X28"/>
    <mergeCell ref="V29:X29"/>
    <mergeCell ref="V30:X30"/>
    <mergeCell ref="P41:Q41"/>
    <mergeCell ref="P42:Q42"/>
    <mergeCell ref="P43:Q43"/>
    <mergeCell ref="P18:Q18"/>
    <mergeCell ref="P19:Q19"/>
    <mergeCell ref="P27:R27"/>
    <mergeCell ref="P28:Q28"/>
    <mergeCell ref="P29:Q29"/>
    <mergeCell ref="P30:Q30"/>
    <mergeCell ref="P31:Q31"/>
  </mergeCells>
  <pageMargins left="0.7" right="0.7" top="0.75" bottom="0.75" header="0" footer="0"/>
  <pageSetup paperSize="9" orientation="portrait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C1000"/>
  <sheetViews>
    <sheetView workbookViewId="0"/>
  </sheetViews>
  <sheetFormatPr baseColWidth="10" defaultColWidth="14.5" defaultRowHeight="15" customHeight="1" x14ac:dyDescent="0.2"/>
  <cols>
    <col min="1" max="3" width="11.5" customWidth="1"/>
    <col min="4" max="4" width="8.6640625" customWidth="1"/>
    <col min="5" max="5" width="4.5" customWidth="1"/>
    <col min="6" max="6" width="30.83203125" customWidth="1"/>
    <col min="7" max="7" width="11.83203125" customWidth="1"/>
    <col min="8" max="8" width="12.33203125" customWidth="1"/>
    <col min="9" max="9" width="10" customWidth="1"/>
    <col min="10" max="11" width="11.83203125" customWidth="1"/>
    <col min="12" max="13" width="11.5" customWidth="1"/>
    <col min="14" max="14" width="12.5" customWidth="1"/>
    <col min="15" max="15" width="11.5" customWidth="1"/>
    <col min="16" max="16" width="15.33203125" customWidth="1"/>
    <col min="17" max="20" width="11.5" customWidth="1"/>
    <col min="21" max="21" width="19.83203125" customWidth="1"/>
    <col min="22" max="29" width="11.5" customWidth="1"/>
  </cols>
  <sheetData>
    <row r="1" spans="1:29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x14ac:dyDescent="0.2">
      <c r="A2" s="1"/>
      <c r="B2" s="1"/>
      <c r="C2" s="1"/>
      <c r="D2" s="1"/>
      <c r="E2" s="1"/>
      <c r="F2" s="1"/>
      <c r="G2" s="185"/>
      <c r="H2" s="185"/>
      <c r="I2" s="185"/>
      <c r="J2" s="185"/>
      <c r="K2" s="185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x14ac:dyDescent="0.2">
      <c r="A3" s="1"/>
      <c r="B3" s="1"/>
      <c r="C3" s="1"/>
      <c r="D3" s="1"/>
      <c r="E3" s="1"/>
      <c r="F3" s="1"/>
      <c r="G3" s="25"/>
      <c r="H3" s="25"/>
      <c r="I3" s="25"/>
      <c r="J3" s="25"/>
      <c r="K3" s="25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x14ac:dyDescent="0.2">
      <c r="A4" s="1"/>
      <c r="B4" s="1"/>
      <c r="C4" s="1"/>
      <c r="D4" s="1"/>
      <c r="E4" s="1"/>
      <c r="F4" s="1"/>
      <c r="G4" s="25"/>
      <c r="H4" s="25"/>
      <c r="I4" s="25"/>
      <c r="J4" s="25"/>
      <c r="K4" s="25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x14ac:dyDescent="0.2">
      <c r="A5" s="1"/>
      <c r="B5" s="1"/>
      <c r="C5" s="1"/>
      <c r="D5" s="1"/>
      <c r="E5" s="1"/>
      <c r="F5" s="1"/>
      <c r="G5" s="25"/>
      <c r="H5" s="25"/>
      <c r="I5" s="25"/>
      <c r="J5" s="25"/>
      <c r="K5" s="25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x14ac:dyDescent="0.2">
      <c r="A6" s="1"/>
      <c r="B6" s="1"/>
      <c r="C6" s="1"/>
      <c r="D6" s="1"/>
      <c r="E6" s="1"/>
      <c r="F6" s="1"/>
      <c r="G6" s="25"/>
      <c r="H6" s="25"/>
      <c r="I6" s="25"/>
      <c r="J6" s="25"/>
      <c r="K6" s="25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x14ac:dyDescent="0.2">
      <c r="A7" s="1"/>
      <c r="B7" s="1"/>
      <c r="C7" s="1"/>
      <c r="D7" s="1"/>
      <c r="E7" s="1"/>
      <c r="F7" s="1"/>
      <c r="G7" s="25"/>
      <c r="H7" s="25"/>
      <c r="I7" s="25"/>
      <c r="J7" s="25"/>
      <c r="K7" s="25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x14ac:dyDescent="0.2">
      <c r="A8" s="1"/>
      <c r="B8" s="1"/>
      <c r="C8" s="1"/>
      <c r="D8" s="1"/>
      <c r="E8" s="1"/>
      <c r="F8" s="1"/>
      <c r="G8" s="25"/>
      <c r="H8" s="25"/>
      <c r="I8" s="25"/>
      <c r="J8" s="25"/>
      <c r="K8" s="25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x14ac:dyDescent="0.2">
      <c r="A9" s="1"/>
      <c r="B9" s="1"/>
      <c r="C9" s="1"/>
      <c r="D9" s="1"/>
      <c r="E9" s="1"/>
      <c r="F9" s="1"/>
      <c r="G9" s="25"/>
      <c r="H9" s="25"/>
      <c r="I9" s="25"/>
      <c r="J9" s="25"/>
      <c r="K9" s="25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5"/>
      <c r="Z9" s="15"/>
      <c r="AA9" s="1"/>
      <c r="AB9" s="1"/>
      <c r="AC9" s="1"/>
    </row>
    <row r="10" spans="1:29" x14ac:dyDescent="0.2">
      <c r="A10" s="1"/>
      <c r="B10" s="1"/>
      <c r="C10" s="1"/>
      <c r="D10" s="1"/>
      <c r="E10" s="1"/>
      <c r="F10" s="1"/>
      <c r="G10" s="25"/>
      <c r="H10" s="25"/>
      <c r="I10" s="25"/>
      <c r="J10" s="25"/>
      <c r="K10" s="25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5"/>
      <c r="Z10" s="15"/>
      <c r="AA10" s="1"/>
      <c r="AB10" s="1"/>
      <c r="AC10" s="1"/>
    </row>
    <row r="11" spans="1:29" x14ac:dyDescent="0.2">
      <c r="A11" s="1"/>
      <c r="B11" s="1"/>
      <c r="C11" s="1"/>
      <c r="D11" s="1"/>
      <c r="E11" s="1"/>
      <c r="F11" s="1"/>
      <c r="G11" s="25"/>
      <c r="H11" s="25"/>
      <c r="I11" s="25"/>
      <c r="J11" s="25"/>
      <c r="K11" s="25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5"/>
      <c r="Z11" s="15"/>
      <c r="AA11" s="1"/>
      <c r="AB11" s="1"/>
      <c r="AC11" s="1"/>
    </row>
    <row r="12" spans="1:29" x14ac:dyDescent="0.2">
      <c r="A12" s="1"/>
      <c r="B12" s="1"/>
      <c r="C12" s="1"/>
      <c r="D12" s="1"/>
      <c r="E12" s="1"/>
      <c r="F12" s="1"/>
      <c r="G12" s="25"/>
      <c r="H12" s="25"/>
      <c r="I12" s="25"/>
      <c r="J12" s="25"/>
      <c r="K12" s="25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5"/>
      <c r="Z12" s="15"/>
      <c r="AA12" s="1"/>
      <c r="AB12" s="1"/>
      <c r="AC12" s="1"/>
    </row>
    <row r="13" spans="1:29" x14ac:dyDescent="0.2">
      <c r="A13" s="1"/>
      <c r="B13" s="1"/>
      <c r="C13" s="1"/>
      <c r="D13" s="1"/>
      <c r="E13" s="1"/>
      <c r="F13" s="1"/>
      <c r="G13" s="25"/>
      <c r="H13" s="25"/>
      <c r="I13" s="25"/>
      <c r="J13" s="25"/>
      <c r="K13" s="25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5"/>
      <c r="Z13" s="15"/>
      <c r="AA13" s="1"/>
      <c r="AB13" s="1"/>
      <c r="AC13" s="1"/>
    </row>
    <row r="14" spans="1:29" x14ac:dyDescent="0.2">
      <c r="A14" s="1"/>
      <c r="B14" s="1"/>
      <c r="C14" s="1"/>
      <c r="D14" s="1"/>
      <c r="E14" s="1"/>
      <c r="F14" s="1"/>
      <c r="G14" s="25"/>
      <c r="H14" s="25"/>
      <c r="I14" s="25"/>
      <c r="J14" s="25"/>
      <c r="K14" s="25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5"/>
      <c r="Z14" s="15"/>
      <c r="AA14" s="1"/>
      <c r="AB14" s="1"/>
      <c r="AC14" s="1"/>
    </row>
    <row r="15" spans="1:29" x14ac:dyDescent="0.2">
      <c r="A15" s="1"/>
      <c r="B15" s="1"/>
      <c r="C15" s="1"/>
      <c r="D15" s="1"/>
      <c r="E15" s="1"/>
      <c r="F15" s="1"/>
      <c r="G15" s="25"/>
      <c r="H15" s="25"/>
      <c r="I15" s="25"/>
      <c r="J15" s="25"/>
      <c r="K15" s="25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5"/>
      <c r="Z15" s="15"/>
      <c r="AA15" s="1"/>
      <c r="AB15" s="1"/>
      <c r="AC15" s="1"/>
    </row>
    <row r="16" spans="1:29" x14ac:dyDescent="0.2">
      <c r="A16" s="1"/>
      <c r="B16" s="1"/>
      <c r="C16" s="1"/>
      <c r="D16" s="1"/>
      <c r="E16" s="1"/>
      <c r="F16" s="1"/>
      <c r="G16" s="25"/>
      <c r="H16" s="25"/>
      <c r="I16" s="186">
        <f>+G24-J24</f>
        <v>18399.339051499999</v>
      </c>
      <c r="J16" s="58"/>
      <c r="K16" s="25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5"/>
      <c r="Z16" s="15"/>
      <c r="AA16" s="1"/>
      <c r="AB16" s="1"/>
      <c r="AC16" s="1"/>
    </row>
    <row r="17" spans="1:29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5"/>
      <c r="Z17" s="15"/>
      <c r="AA17" s="1"/>
      <c r="AB17" s="1"/>
      <c r="AC17" s="1"/>
    </row>
    <row r="18" spans="1:29" ht="19" x14ac:dyDescent="0.25">
      <c r="A18" s="1"/>
      <c r="B18" s="1"/>
      <c r="C18" s="1">
        <v>32846</v>
      </c>
      <c r="D18" s="1"/>
      <c r="E18" s="1"/>
      <c r="F18" s="1"/>
      <c r="G18" s="362" t="s">
        <v>165</v>
      </c>
      <c r="H18" s="273"/>
      <c r="I18" s="1"/>
      <c r="J18" s="365" t="s">
        <v>166</v>
      </c>
      <c r="K18" s="366"/>
      <c r="L18" s="367"/>
      <c r="M18" s="1"/>
      <c r="N18" s="364"/>
      <c r="O18" s="276"/>
      <c r="P18" s="1"/>
      <c r="Q18" s="1"/>
      <c r="R18" s="142"/>
      <c r="S18" s="1"/>
      <c r="T18" s="1"/>
      <c r="U18" s="1"/>
      <c r="V18" s="1"/>
      <c r="W18" s="1"/>
      <c r="X18" s="1"/>
      <c r="Y18" s="15"/>
      <c r="Z18" s="15"/>
      <c r="AA18" s="1"/>
      <c r="AB18" s="1"/>
      <c r="AC18" s="1"/>
    </row>
    <row r="19" spans="1:29" x14ac:dyDescent="0.2">
      <c r="A19" s="1"/>
      <c r="B19" s="1"/>
      <c r="C19" s="1"/>
      <c r="D19" s="1"/>
      <c r="E19" s="1"/>
      <c r="F19" s="1"/>
      <c r="G19" s="143" t="s">
        <v>8</v>
      </c>
      <c r="H19" s="143" t="s">
        <v>56</v>
      </c>
      <c r="I19" s="1"/>
      <c r="J19" s="152" t="s">
        <v>8</v>
      </c>
      <c r="K19" s="144" t="s">
        <v>56</v>
      </c>
      <c r="L19" s="153" t="s">
        <v>167</v>
      </c>
      <c r="M19" s="1"/>
      <c r="N19" s="25"/>
      <c r="O19" s="25"/>
      <c r="P19" s="145"/>
      <c r="Q19" s="146"/>
      <c r="R19" s="147"/>
      <c r="S19" s="146"/>
      <c r="T19" s="1"/>
      <c r="U19" s="1"/>
      <c r="V19" s="1"/>
      <c r="W19" s="1"/>
      <c r="X19" s="1"/>
      <c r="Y19" s="15"/>
      <c r="Z19" s="15"/>
      <c r="AA19" s="1"/>
      <c r="AB19" s="1"/>
      <c r="AC19" s="1"/>
    </row>
    <row r="20" spans="1:29" x14ac:dyDescent="0.2">
      <c r="A20" s="1"/>
      <c r="B20" s="1"/>
      <c r="C20" s="1"/>
      <c r="D20" s="1"/>
      <c r="E20" s="1">
        <f t="shared" ref="E20:F20" si="0">+E3</f>
        <v>0</v>
      </c>
      <c r="F20" s="1">
        <f t="shared" si="0"/>
        <v>0</v>
      </c>
      <c r="G20" s="148">
        <f>+'Info Planta'!D18</f>
        <v>26924</v>
      </c>
      <c r="H20" s="149">
        <f>+'Info Planta'!E18</f>
        <v>0.441342081414351</v>
      </c>
      <c r="I20" s="23"/>
      <c r="J20" s="90">
        <f>Utilidad!B18</f>
        <v>20375.175738000002</v>
      </c>
      <c r="K20" s="154">
        <f>IF(Utilidad!D18&gt;1,Utilidad!D18/100,Utilidad!D18)</f>
        <v>0.42830678239000003</v>
      </c>
      <c r="L20" s="90">
        <f t="shared" ref="L20:L30" si="1">+J20*K20</f>
        <v>8726.8259609735742</v>
      </c>
      <c r="M20" s="23"/>
      <c r="N20" s="21"/>
      <c r="O20" s="22"/>
      <c r="P20" s="21"/>
      <c r="Q20" s="146"/>
      <c r="R20" s="150"/>
      <c r="S20" s="146"/>
      <c r="T20" s="1"/>
      <c r="U20" s="1"/>
      <c r="V20" s="1"/>
      <c r="W20" s="1"/>
      <c r="X20" s="1"/>
      <c r="Y20" s="15"/>
      <c r="Z20" s="15"/>
      <c r="AA20" s="1"/>
      <c r="AB20" s="1"/>
      <c r="AC20" s="1"/>
    </row>
    <row r="21" spans="1:29" ht="15.75" customHeight="1" x14ac:dyDescent="0.2">
      <c r="A21" s="1"/>
      <c r="B21" s="1"/>
      <c r="C21" s="1"/>
      <c r="D21" s="1"/>
      <c r="E21" s="1">
        <f t="shared" ref="E21:F21" si="2">+E4</f>
        <v>0</v>
      </c>
      <c r="F21" s="1">
        <f t="shared" si="2"/>
        <v>0</v>
      </c>
      <c r="G21" s="148">
        <f>+'Info Planta'!D19</f>
        <v>9033</v>
      </c>
      <c r="H21" s="149">
        <f>+'Info Planta'!E19</f>
        <v>0.42468630576774002</v>
      </c>
      <c r="I21" s="1"/>
      <c r="J21" s="90">
        <f>Utilidad!B19</f>
        <v>16522.937223000001</v>
      </c>
      <c r="K21" s="154">
        <f>IF(Utilidad!D19&gt;1,Utilidad!D19/100,Utilidad!D19)</f>
        <v>0.43059465885999998</v>
      </c>
      <c r="L21" s="90">
        <f t="shared" si="1"/>
        <v>7114.688516902881</v>
      </c>
      <c r="M21" s="1"/>
      <c r="N21" s="21"/>
      <c r="O21" s="22"/>
      <c r="P21" s="21"/>
      <c r="Q21" s="146"/>
      <c r="R21" s="150"/>
      <c r="S21" s="146"/>
      <c r="T21" s="1"/>
      <c r="U21" s="1"/>
      <c r="V21" s="1"/>
      <c r="W21" s="1"/>
      <c r="X21" s="1"/>
      <c r="Y21" s="15"/>
      <c r="Z21" s="15"/>
      <c r="AA21" s="1"/>
      <c r="AB21" s="1"/>
      <c r="AC21" s="1"/>
    </row>
    <row r="22" spans="1:29" ht="15.75" customHeight="1" x14ac:dyDescent="0.2">
      <c r="A22" s="1"/>
      <c r="B22" s="1"/>
      <c r="C22" s="1"/>
      <c r="D22" s="1"/>
      <c r="E22" s="1">
        <f t="shared" ref="E22:F22" si="3">+E5</f>
        <v>0</v>
      </c>
      <c r="F22" s="1">
        <f t="shared" si="3"/>
        <v>0</v>
      </c>
      <c r="G22" s="148">
        <f>+G24+A23</f>
        <v>19699.46</v>
      </c>
      <c r="H22" s="149">
        <f>+IF(G22&lt;&gt;0,(G24*H24+A23*H23)/G22,0)</f>
        <v>0.46239999999999992</v>
      </c>
      <c r="I22" s="1"/>
      <c r="J22" s="90">
        <f>Utilidad!B20</f>
        <v>13114.856148000001</v>
      </c>
      <c r="K22" s="154">
        <f>IF(Utilidad!D20&gt;1,Utilidad!D20/100,Utilidad!D20)</f>
        <v>0.35974301740999998</v>
      </c>
      <c r="L22" s="90">
        <f t="shared" si="1"/>
        <v>4717.9779235796095</v>
      </c>
      <c r="M22" s="1"/>
      <c r="N22" s="21"/>
      <c r="O22" s="22"/>
      <c r="P22" s="21"/>
      <c r="Q22" s="146"/>
      <c r="R22" s="150"/>
      <c r="S22" s="146"/>
      <c r="T22" s="1"/>
      <c r="U22" s="1"/>
      <c r="V22" s="1"/>
      <c r="W22" s="1"/>
      <c r="X22" s="1"/>
      <c r="Y22" s="15"/>
      <c r="Z22" s="15"/>
      <c r="AA22" s="1"/>
      <c r="AB22" s="1"/>
      <c r="AC22" s="1"/>
    </row>
    <row r="23" spans="1:29" ht="15.75" customHeight="1" x14ac:dyDescent="0.2">
      <c r="A23" s="15">
        <f>+'Calc Nodos'!F8</f>
        <v>-80</v>
      </c>
      <c r="B23" s="1"/>
      <c r="C23" s="1"/>
      <c r="D23" s="1">
        <f>+IF(A23&gt;0,1,IF(A23&lt;&gt;0,-1,0))</f>
        <v>-1</v>
      </c>
      <c r="E23" s="1">
        <f t="shared" ref="E23:F23" si="4">+E6</f>
        <v>0</v>
      </c>
      <c r="F23" s="116">
        <f t="shared" si="4"/>
        <v>0</v>
      </c>
      <c r="G23" s="148">
        <f>+ABS(A23)</f>
        <v>80</v>
      </c>
      <c r="H23" s="149">
        <f>+H24</f>
        <v>0.46239999999999998</v>
      </c>
      <c r="I23" s="1"/>
      <c r="J23" s="90">
        <f>Utilidad!B21</f>
        <v>28977.250949000001</v>
      </c>
      <c r="K23" s="154">
        <f>IF(Utilidad!D21&gt;1,Utilidad!D21/100,Utilidad!D21)</f>
        <v>0.44839042526</v>
      </c>
      <c r="L23" s="90">
        <f t="shared" si="1"/>
        <v>12993.121875887849</v>
      </c>
      <c r="M23" s="1"/>
      <c r="N23" s="21"/>
      <c r="O23" s="22"/>
      <c r="P23" s="21"/>
      <c r="Q23" s="146"/>
      <c r="R23" s="150"/>
      <c r="S23" s="146"/>
      <c r="T23" s="1"/>
      <c r="U23" s="1"/>
      <c r="V23" s="1"/>
      <c r="W23" s="1"/>
      <c r="X23" s="1"/>
      <c r="Y23" s="15"/>
      <c r="Z23" s="1"/>
      <c r="AA23" s="1"/>
      <c r="AB23" s="1"/>
      <c r="AC23" s="1"/>
    </row>
    <row r="24" spans="1:29" ht="15.75" customHeight="1" x14ac:dyDescent="0.2">
      <c r="A24" s="15"/>
      <c r="B24" s="15"/>
      <c r="C24" s="15"/>
      <c r="D24" s="1"/>
      <c r="E24" s="1">
        <f t="shared" ref="E24:F24" si="5">+E7</f>
        <v>0</v>
      </c>
      <c r="F24" s="187">
        <f t="shared" si="5"/>
        <v>0</v>
      </c>
      <c r="G24" s="188">
        <f>+'Info Planta'!D24</f>
        <v>19779.46</v>
      </c>
      <c r="H24" s="189">
        <f>+'Info Planta'!E24</f>
        <v>0.46239999999999998</v>
      </c>
      <c r="I24" s="187"/>
      <c r="J24" s="90">
        <f>Utilidad!B22</f>
        <v>1380.1209484999999</v>
      </c>
      <c r="K24" s="154">
        <f>IF(Utilidad!D22&gt;1,Utilidad!D22/100,Utilidad!D22)</f>
        <v>0.46564941982000002</v>
      </c>
      <c r="L24" s="188">
        <f t="shared" si="1"/>
        <v>642.6525189504531</v>
      </c>
      <c r="M24" s="1"/>
      <c r="N24" s="21"/>
      <c r="O24" s="22"/>
      <c r="P24" s="21"/>
      <c r="Q24" s="146"/>
      <c r="R24" s="150"/>
      <c r="S24" s="146"/>
      <c r="T24" s="1"/>
      <c r="U24" s="1"/>
      <c r="V24" s="1"/>
      <c r="W24" s="1"/>
      <c r="X24" s="1"/>
      <c r="Y24" s="15"/>
      <c r="Z24" s="1"/>
      <c r="AA24" s="1"/>
      <c r="AB24" s="1"/>
      <c r="AC24" s="1"/>
    </row>
    <row r="25" spans="1:29" ht="15.75" customHeight="1" x14ac:dyDescent="0.2">
      <c r="A25" s="1"/>
      <c r="B25" s="1"/>
      <c r="C25" s="1"/>
      <c r="D25" s="1"/>
      <c r="E25" s="1">
        <f t="shared" ref="E25:F25" si="6">+E8</f>
        <v>0</v>
      </c>
      <c r="F25" s="1">
        <f t="shared" si="6"/>
        <v>0</v>
      </c>
      <c r="G25" s="148">
        <f>+G27+A26</f>
        <v>8922.43</v>
      </c>
      <c r="H25" s="149">
        <f>+IF(G25&lt;&gt;0,(G27*H27+A26*H26)/G25,0)</f>
        <v>0.47120000000000006</v>
      </c>
      <c r="I25" s="1"/>
      <c r="J25" s="90">
        <f>Utilidad!B23</f>
        <v>27597.13</v>
      </c>
      <c r="K25" s="154">
        <f>IF(Utilidad!D23&gt;1,Utilidad!D23/100,Utilidad!D23)</f>
        <v>0.44752731015999997</v>
      </c>
      <c r="L25" s="90">
        <f t="shared" si="1"/>
        <v>12350.469357035841</v>
      </c>
      <c r="M25" s="1"/>
      <c r="N25" s="21"/>
      <c r="O25" s="22"/>
      <c r="P25" s="21"/>
      <c r="Q25" s="146"/>
      <c r="R25" s="150"/>
      <c r="S25" s="146"/>
      <c r="T25" s="1"/>
      <c r="U25" s="1"/>
      <c r="V25" s="1"/>
      <c r="W25" s="1"/>
      <c r="X25" s="1"/>
      <c r="Y25" s="15"/>
      <c r="Z25" s="1"/>
      <c r="AA25" s="1"/>
      <c r="AB25" s="1"/>
      <c r="AC25" s="1"/>
    </row>
    <row r="26" spans="1:29" ht="15.75" customHeight="1" x14ac:dyDescent="0.2">
      <c r="A26" s="15">
        <f>+'Calc Nodos'!F9</f>
        <v>1067</v>
      </c>
      <c r="B26" s="1"/>
      <c r="C26" s="1"/>
      <c r="D26" s="1">
        <f>+IF(A26&gt;0,1,IF(A26&lt;&gt;0,-1,0))</f>
        <v>1</v>
      </c>
      <c r="E26" s="1">
        <f t="shared" ref="E26:F26" si="7">+E9</f>
        <v>0</v>
      </c>
      <c r="F26" s="116">
        <f t="shared" si="7"/>
        <v>0</v>
      </c>
      <c r="G26" s="148">
        <f>+ABS(A26)</f>
        <v>1067</v>
      </c>
      <c r="H26" s="149">
        <f>+H27</f>
        <v>0.47120000000000001</v>
      </c>
      <c r="I26" s="1"/>
      <c r="J26" s="90">
        <f>Utilidad!B24</f>
        <v>10995.718161000001</v>
      </c>
      <c r="K26" s="154">
        <f>IF(Utilidad!D24&gt;1,Utilidad!D24/100,Utilidad!D24)</f>
        <v>0.48052470984000001</v>
      </c>
      <c r="L26" s="90">
        <f t="shared" si="1"/>
        <v>5283.7142787969442</v>
      </c>
      <c r="M26" s="1"/>
      <c r="N26" s="21"/>
      <c r="O26" s="22"/>
      <c r="P26" s="21"/>
      <c r="Q26" s="146"/>
      <c r="R26" s="150"/>
      <c r="S26" s="146"/>
      <c r="T26" s="1"/>
      <c r="U26" s="1"/>
      <c r="V26" s="1"/>
      <c r="W26" s="1"/>
      <c r="X26" s="1"/>
      <c r="Y26" s="15"/>
      <c r="Z26" s="1"/>
      <c r="AA26" s="1"/>
      <c r="AB26" s="1"/>
      <c r="AC26" s="1"/>
    </row>
    <row r="27" spans="1:29" ht="15.75" customHeight="1" x14ac:dyDescent="0.2">
      <c r="A27" s="1"/>
      <c r="B27" s="1"/>
      <c r="C27" s="1"/>
      <c r="D27" s="1"/>
      <c r="E27" s="1">
        <f t="shared" ref="E27:F27" si="8">+E10</f>
        <v>0</v>
      </c>
      <c r="F27" s="187">
        <f t="shared" si="8"/>
        <v>0</v>
      </c>
      <c r="G27" s="188">
        <f>+'Info Planta'!D25</f>
        <v>7855.43</v>
      </c>
      <c r="H27" s="189">
        <f>+'Info Planta'!E25</f>
        <v>0.47120000000000001</v>
      </c>
      <c r="I27" s="187"/>
      <c r="J27" s="90">
        <f>Utilidad!B25</f>
        <v>-370.94183871000001</v>
      </c>
      <c r="K27" s="154">
        <f>IF(Utilidad!D25&gt;1,Utilidad!D25/100,Utilidad!D25)</f>
        <v>0.48907193792000003</v>
      </c>
      <c r="L27" s="188">
        <f t="shared" si="1"/>
        <v>-181.4172439135078</v>
      </c>
      <c r="M27" s="1"/>
      <c r="N27" s="21"/>
      <c r="O27" s="22"/>
      <c r="P27" s="21"/>
      <c r="Q27" s="146"/>
      <c r="R27" s="150"/>
      <c r="S27" s="146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5.75" customHeight="1" x14ac:dyDescent="0.2">
      <c r="A28" s="15"/>
      <c r="B28" s="15"/>
      <c r="C28" s="15"/>
      <c r="D28" s="1"/>
      <c r="E28" s="1">
        <f t="shared" ref="E28:F28" si="9">+E11</f>
        <v>0</v>
      </c>
      <c r="F28" s="1">
        <f t="shared" si="9"/>
        <v>0</v>
      </c>
      <c r="G28" s="148">
        <f>+G20+G21-(G22+G25)</f>
        <v>7335.1100000000006</v>
      </c>
      <c r="H28" s="149">
        <f>+IF(G28&lt;&gt;0,(G30*H30+G29*H29)/(G29+G30),0)</f>
        <v>0.196191304347826</v>
      </c>
      <c r="I28" s="1"/>
      <c r="J28" s="90">
        <f>Utilidad!B26</f>
        <v>11366.66</v>
      </c>
      <c r="K28" s="154">
        <f>IF(Utilidad!D26&gt;1,Utilidad!D26/100,Utilidad!D26)</f>
        <v>0.48080364181000002</v>
      </c>
      <c r="L28" s="90">
        <f t="shared" si="1"/>
        <v>5465.131523216055</v>
      </c>
      <c r="M28" s="1"/>
      <c r="N28" s="21"/>
      <c r="O28" s="22"/>
      <c r="P28" s="21"/>
      <c r="Q28" s="146"/>
      <c r="R28" s="150"/>
      <c r="S28" s="146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5.75" customHeight="1" x14ac:dyDescent="0.2">
      <c r="A29" s="15">
        <f>+'Calc Nodos'!F10</f>
        <v>176</v>
      </c>
      <c r="B29" s="1"/>
      <c r="C29" s="1"/>
      <c r="D29" s="1">
        <f>+IF(A29&gt;0,1,IF(A29&lt;&gt;0,-1,0))</f>
        <v>1</v>
      </c>
      <c r="E29" s="1">
        <f t="shared" ref="E29:F29" si="10">+E12</f>
        <v>0</v>
      </c>
      <c r="F29" s="116">
        <f t="shared" si="10"/>
        <v>0</v>
      </c>
      <c r="G29" s="148">
        <f>+ABS(A29)</f>
        <v>176</v>
      </c>
      <c r="H29" s="149">
        <f>+H30</f>
        <v>0.196191304347826</v>
      </c>
      <c r="I29" s="1"/>
      <c r="J29" s="90">
        <f>Utilidad!B27</f>
        <v>10040</v>
      </c>
      <c r="K29" s="154">
        <f>IF(Utilidad!D27&gt;1,Utilidad!D27/100,Utilidad!D27)</f>
        <v>0.22735620000000001</v>
      </c>
      <c r="L29" s="90">
        <f t="shared" si="1"/>
        <v>2282.6562480000002</v>
      </c>
      <c r="M29" s="1"/>
      <c r="N29" s="21"/>
      <c r="O29" s="22"/>
      <c r="P29" s="21"/>
      <c r="Q29" s="146"/>
      <c r="R29" s="150"/>
      <c r="S29" s="146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5.75" customHeight="1" x14ac:dyDescent="0.2">
      <c r="A30" s="1"/>
      <c r="B30" s="1"/>
      <c r="C30" s="1"/>
      <c r="D30" s="1"/>
      <c r="E30" s="1">
        <f t="shared" ref="E30:F30" si="11">+E13</f>
        <v>0</v>
      </c>
      <c r="F30" s="1">
        <f t="shared" si="11"/>
        <v>0</v>
      </c>
      <c r="G30" s="148">
        <f>+'Info Planta'!D26</f>
        <v>11126</v>
      </c>
      <c r="H30" s="149">
        <f>+'Info Planta'!E26</f>
        <v>0.196191304347826</v>
      </c>
      <c r="I30" s="1"/>
      <c r="J30" s="90">
        <f>Utilidad!B28</f>
        <v>1227.7583999999999</v>
      </c>
      <c r="K30" s="154">
        <f>IF(Utilidad!D28&gt;1,Utilidad!D28/100,Utilidad!D28)</f>
        <v>0.27787980000000001</v>
      </c>
      <c r="L30" s="90">
        <f t="shared" si="1"/>
        <v>341.16925864031998</v>
      </c>
      <c r="M30" s="1"/>
      <c r="N30" s="21"/>
      <c r="O30" s="22"/>
      <c r="P30" s="21"/>
      <c r="Q30" s="146"/>
      <c r="R30" s="150"/>
      <c r="S30" s="146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5.75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5.75" customHeight="1" x14ac:dyDescent="0.2">
      <c r="A32" s="1"/>
      <c r="B32" s="1"/>
      <c r="C32" s="1"/>
      <c r="D32" s="1"/>
      <c r="E32" s="1"/>
      <c r="F32" s="138"/>
      <c r="G32" s="361"/>
      <c r="H32" s="276"/>
      <c r="I32" s="1"/>
      <c r="J32" s="361"/>
      <c r="K32" s="276"/>
      <c r="L32" s="1"/>
      <c r="M32" s="1"/>
      <c r="N32" s="15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5.75" customHeight="1" x14ac:dyDescent="0.2">
      <c r="A33" s="1"/>
      <c r="B33" s="1"/>
      <c r="C33" s="1"/>
      <c r="D33" s="1"/>
      <c r="E33" s="1"/>
      <c r="F33" s="138"/>
      <c r="G33" s="25"/>
      <c r="H33" s="25"/>
      <c r="I33" s="1"/>
      <c r="J33" s="25"/>
      <c r="K33" s="25"/>
      <c r="L33" s="1"/>
      <c r="M33" s="15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5.7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5"/>
      <c r="K34" s="23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5.7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5"/>
      <c r="K35" s="23"/>
      <c r="L35" s="1"/>
      <c r="M35" s="1"/>
      <c r="N35" s="1"/>
      <c r="O35" s="1"/>
      <c r="P35" s="15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5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5"/>
      <c r="K36" s="23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5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5"/>
      <c r="K37" s="23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5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5"/>
      <c r="K38" s="23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5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5"/>
      <c r="K39" s="23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5.7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5"/>
      <c r="K40" s="23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5.7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5"/>
      <c r="K41" s="23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5.7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5"/>
      <c r="K42" s="23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5.7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5"/>
      <c r="K43" s="23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5.7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5"/>
      <c r="K44" s="23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5.7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5.75" customHeight="1" x14ac:dyDescent="0.2">
      <c r="A46" s="1"/>
      <c r="B46" s="1"/>
      <c r="C46" s="1"/>
      <c r="D46" s="1"/>
      <c r="E46" s="1"/>
      <c r="F46" s="138"/>
      <c r="G46" s="361"/>
      <c r="H46" s="276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5.75" customHeight="1" x14ac:dyDescent="0.2">
      <c r="A47" s="1"/>
      <c r="B47" s="1"/>
      <c r="C47" s="1"/>
      <c r="D47" s="1"/>
      <c r="E47" s="1"/>
      <c r="F47" s="138"/>
      <c r="G47" s="25"/>
      <c r="H47" s="25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5.7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5.7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5.7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5.7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5.7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5.7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5.7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5.7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5.7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5.7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5.7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5.7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5.7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5.7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5.7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5.7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5.7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5.7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5.7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5.7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5.7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5.7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5.7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5.7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5.7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5.7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5.7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5.7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5.7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5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5.7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5.7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5.7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5.7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5.7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5.7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5.7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5.7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5.7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5.7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5.7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5.7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5.7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5.7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5.7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5.7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5.7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5.7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5.7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5.7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5.7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5.7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5.7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5.7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5.7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5.7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5.7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5.7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5.7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5.7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5.7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5.7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5.7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5.7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5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5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5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5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5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5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5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5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5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5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5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5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5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5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5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5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5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5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5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5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5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5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5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5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5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5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5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5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5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5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5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5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5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5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5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5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5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5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5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5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5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5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5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5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5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5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5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5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5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5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5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5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5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5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5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5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5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5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5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5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5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5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5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5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5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5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5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5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5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5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5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5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5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5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5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5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5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5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5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5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5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5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5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5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5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5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5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5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5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5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5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5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5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5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5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5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5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5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5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5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5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5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5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5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5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5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5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5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5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5.7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5.7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5.7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5.7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5.7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5.7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5.7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5.7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5.7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5.7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5.7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5.7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5.7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5.7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5.7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5.7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5.7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5.7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5.7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5.7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5.7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5.7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5.7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5.7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5.7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5.7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5.7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5.7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5.7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5.7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5.7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5.7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5.7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5.7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5.7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5.7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5.7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5.7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5.7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5.7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5.7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5.7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5.7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5.7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5.7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5.7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5.7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5.7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5.7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5.7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5.7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5.7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5.7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5.7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5.7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5.7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5.7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5.7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5.7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5.7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5.7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5.7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5.7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5.7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5.7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5.7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5.7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5.7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5.7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5.7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5.7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5.7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5.7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5.7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5.7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5.7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5.7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5.7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5.7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5.7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5.7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5.7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5.7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5.7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5.7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5.7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5.7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5.7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5.7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5.7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5.7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5.7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5.7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5.7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5.7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5.7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5.7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5.7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5.7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5.7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5.7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5.7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5.7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5.7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5.7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5.7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5.7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5.7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5.7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5.7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5.7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5.7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5.7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5.7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5.7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5.7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5.7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5.7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5.7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5.7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5.7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5.7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5.7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5.7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5.7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5.7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5.7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5.7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5.7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5.7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5.7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5.7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5.7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5.7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5.7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5.7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5.7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5.7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5.7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5.7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5.7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5.7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5.7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5.7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5.7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5.7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5.7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5.7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5.7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5.7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5.7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5.7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5.7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5.7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5.7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5.7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5.7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5.7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5.7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5.7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5.7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5.7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5.7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5.7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5.7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5.7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5.7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5.7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5.7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5.7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5.7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5.7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5.7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5.7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5.7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5.7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5.7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5.7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5.7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5.7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5.7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5.7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5.7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5.7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5.7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5.7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5.7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5.7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5.7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5.7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5.7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5.7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5.7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5.7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5.7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5.7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5.7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5.7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5.7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5.7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5.7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5.7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5.7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5.7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5.7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5.7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5.7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5.7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5.7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5.7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5.7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5.7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5.7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5.7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5.7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5.7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5.7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5.7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5.7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5.7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5.7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5.7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5.7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5.7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5.7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5.7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5.7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5.7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5.7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5.7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5.7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5.7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5.7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5.7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5.7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5.7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5.7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5.7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5.7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5.7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5.7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5.7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5.7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5.7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5.7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5.7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5.7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5.7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5.7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5.7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5.7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5.7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5.7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5.7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5.7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5.7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5.7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5.7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5.7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5.7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5.7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5.7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5.7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5.7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5.7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5.7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5.7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5.7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5.7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5.7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5.7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5.7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5.7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5.7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5.7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5.7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5.7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5.7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5.7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5.7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5.7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5.7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5.7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5.7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5.7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5.7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5.7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5.7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5.7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5.7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5.7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5.7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5.7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5.7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5.7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5.7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5.7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5.7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5.7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5.7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5.7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5.7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5.7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5.7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5.7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5.7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5.7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5.7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5.7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5.7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5.7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5.7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5.7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5.7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5.7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5.7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5.7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5.7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5.7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5.7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5.7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5.7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5.7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5.7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5.7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5.7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5.7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5.7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5.7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5.7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5.7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5.7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5.7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5.7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5.7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5.7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5.7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5.7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5.7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5.7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5.7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5.7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5.7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5.7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5.7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5.7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5.7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5.7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5.7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5.7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5.7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5.7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5.7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5.7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5.7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5.7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5.7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5.7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5.7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5.7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5.7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5.7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5.7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5.7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5.7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5.7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5.7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5.7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5.7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5.7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5.7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5.7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5.7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5.7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5.7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5.7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5.7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5.7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5.7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5.7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5.7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5.7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5.7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5.7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5.7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5.7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5.7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5.7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5.7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5.7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5.7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5.7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5.7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5.7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5.7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5.7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5.7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5.7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5.7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5.7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5.7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5.7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5.7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5.7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5.7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5.7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5.7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5.7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5.7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5.7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5.7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5.7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5.7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5.7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5.7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5.7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5.7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5.7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5.7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5.7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5.7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5.7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5.7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5.7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5.7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5.7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5.7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5.7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5.7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5.7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5.7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5.7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5.7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5.7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5.7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5.7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5.7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5.7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5.7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5.7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5.7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5.7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5.7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5.7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5.7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5.7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5.7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5.7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5.7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5.7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5.7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5.7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5.7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5.7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5.7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5.7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5.7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5.7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5.7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5.7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5.7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5.7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5.7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5.7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5.7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5.7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5.7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5.7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5.7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5.7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5.7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5.7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5.7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5.7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5.7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5.7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5.7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5.7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5.7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5.7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5.7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5.7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5.7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5.7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5.7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5.7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5.7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5.7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5.7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5.7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5.7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5.7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5.7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5.7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5.7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5.7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5.7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5.7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5.7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5.7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5.7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5.7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5.7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5.7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5.7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5.7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5.7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5.7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5.7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5.7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5.7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5.7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5.7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5.7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5.7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5.7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5.7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5.7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5.7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5.7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5.7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5.7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5.7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5.7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5.7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5.7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5.7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5.7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5.7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5.7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5.7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5.7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5.7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5.7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5.7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5.7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5.7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5.7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5.7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5.7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5.7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5.7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5.7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5.7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5.7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5.7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5.7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5.7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5.7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5.7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5.7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5.7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5.7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5.7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5.7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5.7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5.7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5.7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5.7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5.7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5.7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5.7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5.7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5.7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5.7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5.7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5.7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5.7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5.7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5.7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5.7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5.7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5.7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5.7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5.7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5.7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5.7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5.7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5.7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5.7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5.7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5.7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5.7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5.7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5.7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5.7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5.7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5.7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5.7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5.7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5.7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5.7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5.7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5.7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5.7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5.7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5.7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5.7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5.7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5.7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5.7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5.7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5.7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5.7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5.7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5.7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5.7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5.7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5.7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5.7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5.7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5.7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5.7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5.7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5.7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5.7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5.7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5.7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5.7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5.7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5.7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5.7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5.7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5.7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5.7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5.7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5.7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5.7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5.7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5.7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5.7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5.7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5.7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5.7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5.7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5.7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5.7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5.7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5.7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5.7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5.7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5.7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5.7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5.7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5.7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5.7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5.7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5.7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5.7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5.7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5.7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5.7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5.7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5.7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5.7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5.7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5.7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5.7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5.7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5.7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5.7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5.7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5.7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5.7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5.7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5.7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5.7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5.7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5.7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5.7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5.7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5.7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5.7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5.7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5.7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5.7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5.7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5.7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5.7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5.7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5.7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5.7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5.7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5.7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5.7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5.7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5.7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5.7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5.7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5.7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5.7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5.7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5.7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5.7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5.7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5.7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5.7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5.7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5.7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5.7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5.7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5.7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5.7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5.7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5.7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5.7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5.7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5.7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5.7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5.7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5.7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5.7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5.7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5.7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5.7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5.7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5.7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5.7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5.7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5.7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5.7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5.7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5.7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5.7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5.7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5.7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5.7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5.7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5.7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5.7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5.7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5.7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5.7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5.7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5.7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5.7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5.7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5.7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5.7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5.7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5.7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5.7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5.7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5.7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5.7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5.7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5.7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5.7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5.7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5.7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5.7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5.7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5.7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5.7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5.7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5.7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5.7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5.7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5.7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5.7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5.7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5.7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5.7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5.7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5.7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5.7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5.7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5.7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5.7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5.7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spans="1:29" ht="15.7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spans="1:29" ht="15.7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spans="1:29" ht="15.7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spans="1:29" ht="15.7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spans="1:29" ht="15.7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spans="1:29" ht="15.7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spans="1:29" ht="15.7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spans="1:29" ht="15.7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 spans="1:29" ht="15.7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 spans="1:29" ht="15.75" customHeight="1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</sheetData>
  <mergeCells count="6">
    <mergeCell ref="G46:H46"/>
    <mergeCell ref="G18:H18"/>
    <mergeCell ref="J18:L18"/>
    <mergeCell ref="N18:O18"/>
    <mergeCell ref="G32:H32"/>
    <mergeCell ref="J32:K32"/>
  </mergeCells>
  <conditionalFormatting sqref="N20:O30">
    <cfRule type="expression" dxfId="1" priority="1">
      <formula>ABS(N20)&gt;=10%</formula>
    </cfRule>
  </conditionalFormatting>
  <pageMargins left="0.7" right="0.7" top="0.75" bottom="0.75" header="0" footer="0"/>
  <pageSetup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F1000"/>
  <sheetViews>
    <sheetView workbookViewId="0"/>
  </sheetViews>
  <sheetFormatPr baseColWidth="10" defaultColWidth="14.5" defaultRowHeight="15" customHeight="1" x14ac:dyDescent="0.2"/>
  <cols>
    <col min="1" max="3" width="11.5" customWidth="1"/>
    <col min="4" max="4" width="8.6640625" customWidth="1"/>
    <col min="5" max="5" width="4.5" customWidth="1"/>
    <col min="6" max="6" width="30.83203125" customWidth="1"/>
    <col min="7" max="7" width="11.83203125" customWidth="1"/>
    <col min="8" max="8" width="12.33203125" customWidth="1"/>
    <col min="9" max="9" width="10" customWidth="1"/>
    <col min="10" max="11" width="11.83203125" customWidth="1"/>
    <col min="12" max="20" width="11.5" customWidth="1"/>
    <col min="21" max="21" width="19.83203125" customWidth="1"/>
    <col min="22" max="32" width="11.5" customWidth="1"/>
  </cols>
  <sheetData>
    <row r="1" spans="1:32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</row>
    <row r="2" spans="1:32" x14ac:dyDescent="0.2">
      <c r="A2" s="1"/>
      <c r="B2" s="1"/>
      <c r="C2" s="1"/>
      <c r="D2" s="1"/>
      <c r="E2" s="1"/>
      <c r="F2" s="1"/>
      <c r="G2" s="185"/>
      <c r="H2" s="185"/>
      <c r="I2" s="185"/>
      <c r="J2" s="185"/>
      <c r="K2" s="185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</row>
    <row r="3" spans="1:32" x14ac:dyDescent="0.2">
      <c r="A3" s="1"/>
      <c r="B3" s="1"/>
      <c r="C3" s="1"/>
      <c r="D3" s="1"/>
      <c r="E3" s="1"/>
      <c r="F3" s="1"/>
      <c r="G3" s="25"/>
      <c r="H3" s="25"/>
      <c r="I3" s="25"/>
      <c r="J3" s="25"/>
      <c r="K3" s="25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</row>
    <row r="4" spans="1:32" x14ac:dyDescent="0.2">
      <c r="A4" s="1"/>
      <c r="B4" s="1"/>
      <c r="C4" s="1"/>
      <c r="D4" s="1"/>
      <c r="E4" s="1"/>
      <c r="F4" s="1"/>
      <c r="G4" s="25"/>
      <c r="H4" s="25"/>
      <c r="I4" s="25"/>
      <c r="J4" s="25"/>
      <c r="K4" s="25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</row>
    <row r="5" spans="1:32" x14ac:dyDescent="0.2">
      <c r="A5" s="1"/>
      <c r="B5" s="1"/>
      <c r="C5" s="1"/>
      <c r="D5" s="1"/>
      <c r="E5" s="1"/>
      <c r="F5" s="1"/>
      <c r="G5" s="25"/>
      <c r="H5" s="25"/>
      <c r="I5" s="25"/>
      <c r="J5" s="25"/>
      <c r="K5" s="25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</row>
    <row r="6" spans="1:32" x14ac:dyDescent="0.2">
      <c r="A6" s="1"/>
      <c r="B6" s="1"/>
      <c r="C6" s="1"/>
      <c r="D6" s="1"/>
      <c r="E6" s="1"/>
      <c r="F6" s="1"/>
      <c r="G6" s="25"/>
      <c r="H6" s="25"/>
      <c r="I6" s="25"/>
      <c r="J6" s="25"/>
      <c r="K6" s="25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</row>
    <row r="7" spans="1:32" x14ac:dyDescent="0.2">
      <c r="A7" s="1"/>
      <c r="B7" s="1"/>
      <c r="C7" s="1"/>
      <c r="D7" s="1"/>
      <c r="E7" s="1"/>
      <c r="F7" s="1"/>
      <c r="G7" s="25"/>
      <c r="H7" s="25"/>
      <c r="I7" s="25"/>
      <c r="J7" s="25"/>
      <c r="K7" s="25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</row>
    <row r="8" spans="1:32" x14ac:dyDescent="0.2">
      <c r="A8" s="1"/>
      <c r="B8" s="1"/>
      <c r="C8" s="1"/>
      <c r="D8" s="1"/>
      <c r="E8" s="1"/>
      <c r="F8" s="1"/>
      <c r="G8" s="25"/>
      <c r="H8" s="25"/>
      <c r="I8" s="25"/>
      <c r="J8" s="25"/>
      <c r="K8" s="25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</row>
    <row r="9" spans="1:32" x14ac:dyDescent="0.2">
      <c r="A9" s="1"/>
      <c r="B9" s="1"/>
      <c r="C9" s="1"/>
      <c r="D9" s="1"/>
      <c r="E9" s="1"/>
      <c r="F9" s="1"/>
      <c r="G9" s="25"/>
      <c r="H9" s="25"/>
      <c r="I9" s="25"/>
      <c r="J9" s="25"/>
      <c r="K9" s="25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5"/>
      <c r="Z9" s="15"/>
      <c r="AA9" s="1"/>
      <c r="AB9" s="1"/>
      <c r="AC9" s="1"/>
      <c r="AD9" s="1"/>
      <c r="AE9" s="1"/>
      <c r="AF9" s="1"/>
    </row>
    <row r="10" spans="1:32" x14ac:dyDescent="0.2">
      <c r="A10" s="1"/>
      <c r="B10" s="1"/>
      <c r="C10" s="1"/>
      <c r="D10" s="1"/>
      <c r="E10" s="1"/>
      <c r="F10" s="1"/>
      <c r="G10" s="25"/>
      <c r="H10" s="25"/>
      <c r="I10" s="25"/>
      <c r="J10" s="25"/>
      <c r="K10" s="25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5"/>
      <c r="Z10" s="15"/>
      <c r="AA10" s="1"/>
      <c r="AB10" s="1"/>
      <c r="AC10" s="1"/>
      <c r="AD10" s="1"/>
      <c r="AE10" s="1"/>
      <c r="AF10" s="1"/>
    </row>
    <row r="11" spans="1:32" x14ac:dyDescent="0.2">
      <c r="A11" s="1"/>
      <c r="B11" s="1"/>
      <c r="C11" s="1"/>
      <c r="D11" s="1"/>
      <c r="E11" s="1"/>
      <c r="F11" s="1"/>
      <c r="G11" s="25"/>
      <c r="H11" s="25"/>
      <c r="I11" s="25"/>
      <c r="J11" s="25"/>
      <c r="K11" s="25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5"/>
      <c r="Z11" s="15"/>
      <c r="AA11" s="1"/>
      <c r="AB11" s="1"/>
      <c r="AC11" s="1"/>
      <c r="AD11" s="1"/>
      <c r="AE11" s="1"/>
      <c r="AF11" s="1"/>
    </row>
    <row r="12" spans="1:32" x14ac:dyDescent="0.2">
      <c r="A12" s="1"/>
      <c r="B12" s="1"/>
      <c r="C12" s="1"/>
      <c r="D12" s="1"/>
      <c r="E12" s="1"/>
      <c r="F12" s="1"/>
      <c r="G12" s="25"/>
      <c r="H12" s="25"/>
      <c r="I12" s="25"/>
      <c r="J12" s="25"/>
      <c r="K12" s="25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5"/>
      <c r="Z12" s="15"/>
      <c r="AA12" s="1"/>
      <c r="AB12" s="1"/>
      <c r="AC12" s="1"/>
      <c r="AD12" s="1"/>
      <c r="AE12" s="1"/>
      <c r="AF12" s="1"/>
    </row>
    <row r="13" spans="1:32" x14ac:dyDescent="0.2">
      <c r="A13" s="1"/>
      <c r="B13" s="1"/>
      <c r="C13" s="1"/>
      <c r="D13" s="1"/>
      <c r="E13" s="1"/>
      <c r="F13" s="1"/>
      <c r="G13" s="25"/>
      <c r="H13" s="25"/>
      <c r="I13" s="25"/>
      <c r="J13" s="25"/>
      <c r="K13" s="25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5"/>
      <c r="Z13" s="15"/>
      <c r="AA13" s="1"/>
      <c r="AB13" s="1"/>
      <c r="AC13" s="1"/>
      <c r="AD13" s="1"/>
      <c r="AE13" s="1"/>
      <c r="AF13" s="1"/>
    </row>
    <row r="14" spans="1:32" x14ac:dyDescent="0.2">
      <c r="A14" s="1"/>
      <c r="B14" s="1"/>
      <c r="C14" s="1"/>
      <c r="D14" s="1"/>
      <c r="E14" s="1"/>
      <c r="F14" s="1"/>
      <c r="G14" s="25"/>
      <c r="H14" s="25"/>
      <c r="I14" s="25"/>
      <c r="J14" s="25"/>
      <c r="K14" s="25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5"/>
      <c r="Z14" s="15"/>
      <c r="AA14" s="1"/>
      <c r="AB14" s="1"/>
      <c r="AC14" s="1"/>
      <c r="AD14" s="1"/>
      <c r="AE14" s="1"/>
      <c r="AF14" s="1"/>
    </row>
    <row r="15" spans="1:32" x14ac:dyDescent="0.2">
      <c r="A15" s="1"/>
      <c r="B15" s="1"/>
      <c r="C15" s="1"/>
      <c r="D15" s="1"/>
      <c r="E15" s="1"/>
      <c r="F15" s="1"/>
      <c r="G15" s="25"/>
      <c r="H15" s="25"/>
      <c r="I15" s="25"/>
      <c r="J15" s="25"/>
      <c r="K15" s="25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5"/>
      <c r="Z15" s="15"/>
      <c r="AA15" s="1"/>
      <c r="AB15" s="1"/>
      <c r="AC15" s="1"/>
      <c r="AD15" s="1"/>
      <c r="AE15" s="1"/>
      <c r="AF15" s="1"/>
    </row>
    <row r="16" spans="1:32" x14ac:dyDescent="0.2">
      <c r="A16" s="1"/>
      <c r="B16" s="1"/>
      <c r="C16" s="1"/>
      <c r="D16" s="1"/>
      <c r="E16" s="1"/>
      <c r="F16" s="1"/>
      <c r="G16" s="25"/>
      <c r="H16" s="25"/>
      <c r="I16" s="25"/>
      <c r="J16" s="25"/>
      <c r="K16" s="25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5"/>
      <c r="Z16" s="15"/>
      <c r="AA16" s="1"/>
      <c r="AB16" s="1"/>
      <c r="AC16" s="1"/>
      <c r="AD16" s="1"/>
      <c r="AE16" s="1"/>
      <c r="AF16" s="1"/>
    </row>
    <row r="17" spans="1:32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5"/>
      <c r="Z17" s="15"/>
      <c r="AA17" s="1"/>
      <c r="AB17" s="1"/>
      <c r="AC17" s="1"/>
      <c r="AD17" s="1"/>
      <c r="AE17" s="1"/>
      <c r="AF17" s="1"/>
    </row>
    <row r="18" spans="1:32" ht="19" x14ac:dyDescent="0.25">
      <c r="A18" s="1"/>
      <c r="B18" s="1"/>
      <c r="C18" s="1">
        <v>32846</v>
      </c>
      <c r="D18" s="1"/>
      <c r="E18" s="1"/>
      <c r="F18" s="1"/>
      <c r="G18" s="362" t="s">
        <v>165</v>
      </c>
      <c r="H18" s="273"/>
      <c r="I18" s="1"/>
      <c r="J18" s="365" t="s">
        <v>166</v>
      </c>
      <c r="K18" s="366"/>
      <c r="L18" s="379"/>
      <c r="M18" s="1"/>
      <c r="N18" s="364"/>
      <c r="O18" s="276"/>
      <c r="P18" s="1"/>
      <c r="Q18" s="1"/>
      <c r="R18" s="142"/>
      <c r="S18" s="1"/>
      <c r="T18" s="1"/>
      <c r="U18" s="1"/>
      <c r="V18" s="1"/>
      <c r="W18" s="1"/>
      <c r="X18" s="1"/>
      <c r="Y18" s="15"/>
      <c r="Z18" s="15"/>
      <c r="AA18" s="1"/>
      <c r="AB18" s="1"/>
      <c r="AC18" s="1"/>
      <c r="AD18" s="1"/>
      <c r="AE18" s="1"/>
      <c r="AF18" s="1"/>
    </row>
    <row r="19" spans="1:32" x14ac:dyDescent="0.2">
      <c r="A19" s="1"/>
      <c r="B19" s="1"/>
      <c r="C19" s="1"/>
      <c r="D19" s="1"/>
      <c r="E19" s="1"/>
      <c r="F19" s="1"/>
      <c r="G19" s="143" t="s">
        <v>8</v>
      </c>
      <c r="H19" s="143" t="s">
        <v>168</v>
      </c>
      <c r="I19" s="1"/>
      <c r="J19" s="152" t="s">
        <v>8</v>
      </c>
      <c r="K19" s="144" t="s">
        <v>168</v>
      </c>
      <c r="L19" s="190" t="s">
        <v>169</v>
      </c>
      <c r="M19" s="1"/>
      <c r="N19" s="25"/>
      <c r="O19" s="25"/>
      <c r="P19" s="145"/>
      <c r="Q19" s="146"/>
      <c r="R19" s="147"/>
      <c r="S19" s="146"/>
      <c r="T19" s="1"/>
      <c r="U19" s="1"/>
      <c r="V19" s="1"/>
      <c r="W19" s="1"/>
      <c r="X19" s="1"/>
      <c r="Y19" s="15"/>
      <c r="Z19" s="15"/>
      <c r="AA19" s="1"/>
      <c r="AB19" s="1"/>
      <c r="AC19" s="1"/>
      <c r="AD19" s="1"/>
      <c r="AE19" s="1"/>
      <c r="AF19" s="1"/>
    </row>
    <row r="20" spans="1:32" x14ac:dyDescent="0.2">
      <c r="A20" s="1"/>
      <c r="B20" s="1"/>
      <c r="C20" s="1"/>
      <c r="D20" s="1"/>
      <c r="E20" s="1">
        <f t="shared" ref="E20:E30" si="0">+E3</f>
        <v>0</v>
      </c>
      <c r="F20" s="1" t="s">
        <v>30</v>
      </c>
      <c r="G20" s="148">
        <f>+'Bal ML FeT'!J20</f>
        <v>20375.175738000002</v>
      </c>
      <c r="H20" s="149">
        <f>+'Info Planta'!F18</f>
        <v>0.40327125984251999</v>
      </c>
      <c r="I20" s="23"/>
      <c r="J20" s="90">
        <f>'Bal ML FeT'!J20</f>
        <v>20375.175738000002</v>
      </c>
      <c r="K20" s="154">
        <f>IF(Utilidad!F18&gt;1,Utilidad!F18/100,Utilidad!F18)</f>
        <v>0.39709560000000005</v>
      </c>
      <c r="L20" s="191">
        <f t="shared" ref="L20:L30" si="1">+J20*K20</f>
        <v>8090.8926347865545</v>
      </c>
      <c r="M20" s="23"/>
      <c r="N20" s="21"/>
      <c r="O20" s="22"/>
      <c r="P20" s="21"/>
      <c r="Q20" s="146"/>
      <c r="R20" s="150"/>
      <c r="S20" s="146"/>
      <c r="T20" s="1"/>
      <c r="U20" s="1"/>
      <c r="V20" s="1"/>
      <c r="W20" s="1"/>
      <c r="X20" s="1"/>
      <c r="Y20" s="15"/>
      <c r="Z20" s="15"/>
      <c r="AA20" s="1"/>
      <c r="AB20" s="1"/>
      <c r="AC20" s="1"/>
      <c r="AD20" s="1"/>
      <c r="AE20" s="1"/>
      <c r="AF20" s="1"/>
    </row>
    <row r="21" spans="1:32" ht="15.75" customHeight="1" x14ac:dyDescent="0.2">
      <c r="A21" s="1"/>
      <c r="B21" s="1"/>
      <c r="C21" s="1"/>
      <c r="D21" s="1"/>
      <c r="E21" s="1">
        <f t="shared" si="0"/>
        <v>0</v>
      </c>
      <c r="F21" s="1" t="s">
        <v>31</v>
      </c>
      <c r="G21" s="148">
        <f>+'Bal ML FeT'!J21</f>
        <v>16522.937223000001</v>
      </c>
      <c r="H21" s="149">
        <f>+'Info Planta'!F19</f>
        <v>0.37383114137052997</v>
      </c>
      <c r="I21" s="1"/>
      <c r="J21" s="90">
        <f>'Bal ML FeT'!J21</f>
        <v>16522.937223000001</v>
      </c>
      <c r="K21" s="154">
        <f>IF(Utilidad!F19&gt;1,Utilidad!F19/100,Utilidad!F19)</f>
        <v>0.38590782546000002</v>
      </c>
      <c r="L21" s="191">
        <f t="shared" si="1"/>
        <v>6376.3307739400216</v>
      </c>
      <c r="M21" s="1"/>
      <c r="N21" s="21"/>
      <c r="O21" s="22"/>
      <c r="P21" s="21"/>
      <c r="Q21" s="146"/>
      <c r="R21" s="150"/>
      <c r="S21" s="146"/>
      <c r="T21" s="1"/>
      <c r="U21" s="1"/>
      <c r="V21" s="1"/>
      <c r="W21" s="1"/>
      <c r="X21" s="1"/>
      <c r="Y21" s="15"/>
      <c r="Z21" s="15"/>
      <c r="AA21" s="1"/>
      <c r="AB21" s="1"/>
      <c r="AC21" s="1"/>
      <c r="AD21" s="1"/>
      <c r="AE21" s="1"/>
      <c r="AF21" s="1"/>
    </row>
    <row r="22" spans="1:32" ht="15.75" customHeight="1" x14ac:dyDescent="0.2">
      <c r="A22" s="1"/>
      <c r="B22" s="1"/>
      <c r="C22" s="1"/>
      <c r="D22" s="1"/>
      <c r="E22" s="1">
        <f t="shared" si="0"/>
        <v>0</v>
      </c>
      <c r="F22" s="1" t="s">
        <v>33</v>
      </c>
      <c r="G22" s="148">
        <f>+'Bal ML FeT'!J22</f>
        <v>13114.856148000001</v>
      </c>
      <c r="H22" s="149">
        <f>+IF(G22&lt;&gt;0,(G24*H24+A23*H23)/G22,0)</f>
        <v>4.300409101668326E-2</v>
      </c>
      <c r="I22" s="1"/>
      <c r="J22" s="90">
        <f>'Bal ML FeT'!J22</f>
        <v>13114.856148000001</v>
      </c>
      <c r="K22" s="154">
        <f>IF(Utilidad!F20&gt;1,Utilidad!F20/100,Utilidad!F20)</f>
        <v>0.29708978893999999</v>
      </c>
      <c r="L22" s="191">
        <f t="shared" si="1"/>
        <v>3896.2898449877816</v>
      </c>
      <c r="M22" s="1"/>
      <c r="N22" s="21"/>
      <c r="O22" s="22"/>
      <c r="P22" s="21"/>
      <c r="Q22" s="146"/>
      <c r="R22" s="150"/>
      <c r="S22" s="146"/>
      <c r="T22" s="1"/>
      <c r="U22" s="1"/>
      <c r="V22" s="1"/>
      <c r="W22" s="1"/>
      <c r="X22" s="1"/>
      <c r="Y22" s="15"/>
      <c r="Z22" s="15"/>
      <c r="AA22" s="1"/>
      <c r="AB22" s="1"/>
      <c r="AC22" s="1"/>
      <c r="AD22" s="1"/>
      <c r="AE22" s="1"/>
      <c r="AF22" s="1"/>
    </row>
    <row r="23" spans="1:32" ht="15.75" customHeight="1" x14ac:dyDescent="0.2">
      <c r="A23" s="15">
        <f>+'Calc Nodos'!F8</f>
        <v>-80</v>
      </c>
      <c r="B23" s="1"/>
      <c r="C23" s="1"/>
      <c r="D23" s="1">
        <f>+IF(A23&gt;0,1,IF(A23&lt;&gt;0,-1,0))</f>
        <v>-1</v>
      </c>
      <c r="E23" s="1">
        <f t="shared" si="0"/>
        <v>0</v>
      </c>
      <c r="F23" s="116" t="s">
        <v>34</v>
      </c>
      <c r="G23" s="148">
        <f>+'Bal ML FeT'!J23</f>
        <v>28977.250949000001</v>
      </c>
      <c r="H23" s="149">
        <f>+H24</f>
        <v>0.43380000000000002</v>
      </c>
      <c r="I23" s="1"/>
      <c r="J23" s="90">
        <f>'Bal ML FeT'!J23</f>
        <v>28977.250949000001</v>
      </c>
      <c r="K23" s="154">
        <f>IF(Utilidad!F21&gt;1,Utilidad!F21/100,Utilidad!F21)</f>
        <v>0.40946417496999998</v>
      </c>
      <c r="L23" s="191">
        <f t="shared" si="1"/>
        <v>11865.146152730935</v>
      </c>
      <c r="M23" s="1"/>
      <c r="N23" s="21"/>
      <c r="O23" s="22"/>
      <c r="P23" s="21"/>
      <c r="Q23" s="146"/>
      <c r="R23" s="150"/>
      <c r="S23" s="146"/>
      <c r="T23" s="1"/>
      <c r="U23" s="1"/>
      <c r="V23" s="1"/>
      <c r="W23" s="1"/>
      <c r="X23" s="1"/>
      <c r="Y23" s="15"/>
      <c r="Z23" s="1"/>
      <c r="AA23" s="1"/>
      <c r="AB23" s="1"/>
      <c r="AC23" s="1"/>
      <c r="AD23" s="1"/>
      <c r="AE23" s="1"/>
      <c r="AF23" s="1"/>
    </row>
    <row r="24" spans="1:32" ht="15.75" customHeight="1" x14ac:dyDescent="0.2">
      <c r="A24" s="15"/>
      <c r="B24" s="15"/>
      <c r="C24" s="15"/>
      <c r="D24" s="1"/>
      <c r="E24" s="1">
        <f t="shared" si="0"/>
        <v>0</v>
      </c>
      <c r="F24" s="1" t="s">
        <v>35</v>
      </c>
      <c r="G24" s="148">
        <f>+'Bal ML FeT'!J24</f>
        <v>1380.1209484999999</v>
      </c>
      <c r="H24" s="149">
        <f>+'Info Planta'!F24</f>
        <v>0.43380000000000002</v>
      </c>
      <c r="I24" s="1"/>
      <c r="J24" s="90">
        <f>'Bal ML FeT'!J24</f>
        <v>1380.1209484999999</v>
      </c>
      <c r="K24" s="154">
        <f>IF(Utilidad!F22&gt;1,Utilidad!F22/100,Utilidad!F22)</f>
        <v>0.42684434367000001</v>
      </c>
      <c r="L24" s="191">
        <f t="shared" si="1"/>
        <v>589.09682044770034</v>
      </c>
      <c r="M24" s="1"/>
      <c r="N24" s="21"/>
      <c r="O24" s="22"/>
      <c r="P24" s="21"/>
      <c r="Q24" s="146"/>
      <c r="R24" s="150"/>
      <c r="S24" s="146"/>
      <c r="T24" s="1"/>
      <c r="U24" s="1"/>
      <c r="V24" s="1"/>
      <c r="W24" s="1"/>
      <c r="X24" s="1"/>
      <c r="Y24" s="15"/>
      <c r="Z24" s="1"/>
      <c r="AA24" s="1"/>
      <c r="AB24" s="1"/>
      <c r="AC24" s="1"/>
      <c r="AD24" s="1"/>
      <c r="AE24" s="1"/>
      <c r="AF24" s="1"/>
    </row>
    <row r="25" spans="1:32" ht="15.75" customHeight="1" x14ac:dyDescent="0.2">
      <c r="A25" s="1"/>
      <c r="B25" s="1"/>
      <c r="C25" s="1"/>
      <c r="D25" s="1"/>
      <c r="E25" s="1">
        <f t="shared" si="0"/>
        <v>0</v>
      </c>
      <c r="F25" s="1" t="s">
        <v>36</v>
      </c>
      <c r="G25" s="148">
        <f>+'Bal ML FeT'!J25</f>
        <v>27597.13</v>
      </c>
      <c r="H25" s="149">
        <f>+IF(G25&lt;&gt;0,(G27*H27+A26*H26)/G25,0)</f>
        <v>1.0878300930726384E-2</v>
      </c>
      <c r="I25" s="1"/>
      <c r="J25" s="90">
        <f>'Bal ML FeT'!J25</f>
        <v>27597.13</v>
      </c>
      <c r="K25" s="154">
        <f>IF(Utilidad!F23&gt;1,Utilidad!F23/100,Utilidad!F23)</f>
        <v>0.40859499999999999</v>
      </c>
      <c r="L25" s="191">
        <f t="shared" si="1"/>
        <v>11276.04933235</v>
      </c>
      <c r="M25" s="1"/>
      <c r="N25" s="21"/>
      <c r="O25" s="22"/>
      <c r="P25" s="21"/>
      <c r="Q25" s="146"/>
      <c r="R25" s="150"/>
      <c r="S25" s="146"/>
      <c r="T25" s="1"/>
      <c r="U25" s="1"/>
      <c r="V25" s="1"/>
      <c r="W25" s="1"/>
      <c r="X25" s="1"/>
      <c r="Y25" s="15"/>
      <c r="Z25" s="1"/>
      <c r="AA25" s="1"/>
      <c r="AB25" s="1"/>
      <c r="AC25" s="1"/>
      <c r="AD25" s="1"/>
      <c r="AE25" s="1"/>
      <c r="AF25" s="1"/>
    </row>
    <row r="26" spans="1:32" ht="15.75" customHeight="1" x14ac:dyDescent="0.2">
      <c r="A26" s="15">
        <f>+'Calc Nodos'!F9</f>
        <v>1067</v>
      </c>
      <c r="B26" s="1"/>
      <c r="C26" s="1"/>
      <c r="D26" s="1">
        <f>+IF(A26&gt;0,1,IF(A26&lt;&gt;0,-1,0))</f>
        <v>1</v>
      </c>
      <c r="E26" s="1">
        <f t="shared" si="0"/>
        <v>0</v>
      </c>
      <c r="F26" s="116" t="s">
        <v>37</v>
      </c>
      <c r="G26" s="148">
        <f>+'Bal ML FeT'!J26</f>
        <v>10995.718161000001</v>
      </c>
      <c r="H26" s="149">
        <f>+H27</f>
        <v>0.43130000000000002</v>
      </c>
      <c r="I26" s="1"/>
      <c r="J26" s="90">
        <f>'Bal ML FeT'!J26</f>
        <v>10995.718161000001</v>
      </c>
      <c r="K26" s="154">
        <f>IF(Utilidad!F24&gt;1,Utilidad!F24/100,Utilidad!F24)</f>
        <v>0.42794433431000001</v>
      </c>
      <c r="L26" s="191">
        <f t="shared" si="1"/>
        <v>4705.5552886695232</v>
      </c>
      <c r="M26" s="1"/>
      <c r="N26" s="21"/>
      <c r="O26" s="22"/>
      <c r="P26" s="21"/>
      <c r="Q26" s="146"/>
      <c r="R26" s="150"/>
      <c r="S26" s="146"/>
      <c r="T26" s="1"/>
      <c r="U26" s="1"/>
      <c r="V26" s="1"/>
      <c r="W26" s="1"/>
      <c r="X26" s="1"/>
      <c r="Y26" s="15"/>
      <c r="Z26" s="1"/>
      <c r="AA26" s="1"/>
      <c r="AB26" s="1"/>
      <c r="AC26" s="1"/>
      <c r="AD26" s="1"/>
      <c r="AE26" s="1"/>
      <c r="AF26" s="1"/>
    </row>
    <row r="27" spans="1:32" ht="15.75" customHeight="1" x14ac:dyDescent="0.2">
      <c r="A27" s="1"/>
      <c r="B27" s="1"/>
      <c r="C27" s="1"/>
      <c r="D27" s="1"/>
      <c r="E27" s="1">
        <f t="shared" si="0"/>
        <v>0</v>
      </c>
      <c r="F27" s="1" t="s">
        <v>38</v>
      </c>
      <c r="G27" s="148">
        <f>+'Bal ML FeT'!J27</f>
        <v>-370.94183871000001</v>
      </c>
      <c r="H27" s="149">
        <f>+'Info Planta'!F25</f>
        <v>0.43130000000000002</v>
      </c>
      <c r="I27" s="1"/>
      <c r="J27" s="90">
        <f>'Bal ML FeT'!J27</f>
        <v>-370.94183871000001</v>
      </c>
      <c r="K27" s="154">
        <f>IF(Utilidad!F25&gt;1,Utilidad!F25/100,Utilidad!F25)</f>
        <v>0.44737161968</v>
      </c>
      <c r="L27" s="191">
        <f t="shared" si="1"/>
        <v>-165.94885119077003</v>
      </c>
      <c r="M27" s="1"/>
      <c r="N27" s="21"/>
      <c r="O27" s="22"/>
      <c r="P27" s="21"/>
      <c r="Q27" s="146"/>
      <c r="R27" s="150"/>
      <c r="S27" s="146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</row>
    <row r="28" spans="1:32" ht="15.75" customHeight="1" x14ac:dyDescent="0.2">
      <c r="A28" s="15"/>
      <c r="B28" s="15"/>
      <c r="C28" s="15"/>
      <c r="D28" s="1"/>
      <c r="E28" s="1">
        <f t="shared" si="0"/>
        <v>0</v>
      </c>
      <c r="F28" s="1" t="s">
        <v>39</v>
      </c>
      <c r="G28" s="148">
        <f>+'Bal ML FeT'!J28</f>
        <v>11366.66</v>
      </c>
      <c r="H28" s="149">
        <f>+IF(G28&lt;&gt;0,(G30*H30+A29*H29)/G28,0)</f>
        <v>1.730313531745829E-2</v>
      </c>
      <c r="I28" s="1"/>
      <c r="J28" s="90">
        <f>'Bal ML FeT'!J28</f>
        <v>11366.66</v>
      </c>
      <c r="K28" s="154">
        <f>IF(Utilidad!F26&gt;1,Utilidad!F26/100,Utilidad!F26)</f>
        <v>0.42857832819000002</v>
      </c>
      <c r="L28" s="191">
        <f t="shared" si="1"/>
        <v>4871.5041399041456</v>
      </c>
      <c r="M28" s="1"/>
      <c r="N28" s="21"/>
      <c r="O28" s="22"/>
      <c r="P28" s="21"/>
      <c r="Q28" s="146"/>
      <c r="R28" s="150"/>
      <c r="S28" s="146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</row>
    <row r="29" spans="1:32" ht="15.75" customHeight="1" x14ac:dyDescent="0.2">
      <c r="A29" s="15">
        <f>+'Calc Nodos'!F10</f>
        <v>176</v>
      </c>
      <c r="B29" s="1"/>
      <c r="C29" s="1"/>
      <c r="D29" s="1">
        <f>+IF(A29&gt;0,1,IF(A29&lt;&gt;0,-1,0))</f>
        <v>1</v>
      </c>
      <c r="E29" s="1">
        <f t="shared" si="0"/>
        <v>0</v>
      </c>
      <c r="F29" s="116" t="s">
        <v>40</v>
      </c>
      <c r="G29" s="148">
        <f>+'Bal ML FeT'!J29</f>
        <v>10040</v>
      </c>
      <c r="H29" s="149">
        <f>+H30</f>
        <v>0.14010876521739099</v>
      </c>
      <c r="I29" s="1"/>
      <c r="J29" s="90">
        <f>'Bal ML FeT'!J29</f>
        <v>10040</v>
      </c>
      <c r="K29" s="154">
        <f>IF(Utilidad!F27&gt;1,Utilidad!F27/100,Utilidad!F27)</f>
        <v>0.17856691416000001</v>
      </c>
      <c r="L29" s="191">
        <f t="shared" si="1"/>
        <v>1792.8118181664001</v>
      </c>
      <c r="M29" s="1"/>
      <c r="N29" s="21"/>
      <c r="O29" s="22"/>
      <c r="P29" s="21"/>
      <c r="Q29" s="146"/>
      <c r="R29" s="150"/>
      <c r="S29" s="146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</row>
    <row r="30" spans="1:32" ht="15.75" customHeight="1" x14ac:dyDescent="0.2">
      <c r="A30" s="1"/>
      <c r="B30" s="1"/>
      <c r="C30" s="1"/>
      <c r="D30" s="1"/>
      <c r="E30" s="1">
        <f t="shared" si="0"/>
        <v>0</v>
      </c>
      <c r="F30" s="1" t="s">
        <v>41</v>
      </c>
      <c r="G30" s="148">
        <f>+'Bal ML FeT'!J30</f>
        <v>1227.7583999999999</v>
      </c>
      <c r="H30" s="149">
        <f>+'Info Planta'!F26</f>
        <v>0.14010876521739099</v>
      </c>
      <c r="I30" s="1"/>
      <c r="J30" s="90">
        <f>'Bal ML FeT'!J30</f>
        <v>1227.7583999999999</v>
      </c>
      <c r="K30" s="154">
        <f>IF(Utilidad!F28&gt;1,Utilidad!F28/100,Utilidad!F28)</f>
        <v>0.16213340120000003</v>
      </c>
      <c r="L30" s="191">
        <f t="shared" si="1"/>
        <v>199.06064524387011</v>
      </c>
      <c r="M30" s="1"/>
      <c r="N30" s="21"/>
      <c r="O30" s="22"/>
      <c r="P30" s="21"/>
      <c r="Q30" s="146"/>
      <c r="R30" s="150"/>
      <c r="S30" s="146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</row>
    <row r="31" spans="1:32" ht="15.75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</row>
    <row r="32" spans="1:32" ht="15.75" customHeight="1" x14ac:dyDescent="0.2">
      <c r="A32" s="1"/>
      <c r="B32" s="1"/>
      <c r="C32" s="1"/>
      <c r="D32" s="1"/>
      <c r="E32" s="1"/>
      <c r="F32" s="138"/>
      <c r="G32" s="361"/>
      <c r="H32" s="276"/>
      <c r="I32" s="1"/>
      <c r="J32" s="361"/>
      <c r="K32" s="276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</row>
    <row r="33" spans="1:32" ht="15.75" customHeight="1" x14ac:dyDescent="0.2">
      <c r="A33" s="1"/>
      <c r="B33" s="1"/>
      <c r="C33" s="1"/>
      <c r="D33" s="1"/>
      <c r="E33" s="1"/>
      <c r="F33" s="138"/>
      <c r="G33" s="25"/>
      <c r="H33" s="25"/>
      <c r="I33" s="1"/>
      <c r="J33" s="25"/>
      <c r="K33" s="25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</row>
    <row r="34" spans="1:32" ht="15.7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5"/>
      <c r="K34" s="23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</row>
    <row r="35" spans="1:32" ht="15.7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5"/>
      <c r="K35" s="23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</row>
    <row r="36" spans="1:32" ht="15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5"/>
      <c r="K36" s="23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</row>
    <row r="37" spans="1:32" ht="15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5"/>
      <c r="K37" s="23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</row>
    <row r="38" spans="1:32" ht="15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5"/>
      <c r="K38" s="23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</row>
    <row r="39" spans="1:32" ht="15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5"/>
      <c r="K39" s="23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</row>
    <row r="40" spans="1:32" ht="15.7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5"/>
      <c r="K40" s="23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</row>
    <row r="41" spans="1:32" ht="15.7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5"/>
      <c r="K41" s="23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</row>
    <row r="42" spans="1:32" ht="15.7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5"/>
      <c r="K42" s="23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</row>
    <row r="43" spans="1:32" ht="15.7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5"/>
      <c r="K43" s="23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</row>
    <row r="44" spans="1:32" ht="15.7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5"/>
      <c r="K44" s="23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</row>
    <row r="45" spans="1:32" ht="15.7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</row>
    <row r="46" spans="1:32" ht="15.75" customHeight="1" x14ac:dyDescent="0.2">
      <c r="A46" s="1"/>
      <c r="B46" s="1"/>
      <c r="C46" s="1"/>
      <c r="D46" s="1"/>
      <c r="E46" s="1"/>
      <c r="F46" s="138"/>
      <c r="G46" s="361"/>
      <c r="H46" s="276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</row>
    <row r="47" spans="1:32" ht="15.75" customHeight="1" x14ac:dyDescent="0.2">
      <c r="A47" s="1"/>
      <c r="B47" s="1"/>
      <c r="C47" s="1"/>
      <c r="D47" s="1"/>
      <c r="E47" s="1"/>
      <c r="F47" s="138"/>
      <c r="G47" s="25"/>
      <c r="H47" s="25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</row>
    <row r="48" spans="1:32" ht="15.7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</row>
    <row r="49" spans="1:32" ht="15.7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</row>
    <row r="50" spans="1:32" ht="15.7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</row>
    <row r="51" spans="1:32" ht="15.7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</row>
    <row r="52" spans="1:32" ht="15.7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</row>
    <row r="53" spans="1:32" ht="15.7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</row>
    <row r="54" spans="1:32" ht="15.7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</row>
    <row r="55" spans="1:32" ht="15.7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</row>
    <row r="56" spans="1:32" ht="15.7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</row>
    <row r="57" spans="1:32" ht="15.7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</row>
    <row r="58" spans="1:32" ht="15.7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</row>
    <row r="59" spans="1:32" ht="15.7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</row>
    <row r="60" spans="1:32" ht="15.7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</row>
    <row r="61" spans="1:32" ht="15.7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</row>
    <row r="62" spans="1:32" ht="15.7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</row>
    <row r="63" spans="1:32" ht="15.7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</row>
    <row r="64" spans="1:32" ht="15.7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</row>
    <row r="65" spans="1:32" ht="15.7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</row>
    <row r="66" spans="1:32" ht="15.7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</row>
    <row r="67" spans="1:32" ht="15.7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</row>
    <row r="68" spans="1:32" ht="15.7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</row>
    <row r="69" spans="1:32" ht="15.7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</row>
    <row r="70" spans="1:32" ht="15.7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</row>
    <row r="71" spans="1:32" ht="15.7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</row>
    <row r="72" spans="1:32" ht="15.7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</row>
    <row r="73" spans="1:32" ht="15.7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</row>
    <row r="74" spans="1:32" ht="15.7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</row>
    <row r="75" spans="1:32" ht="15.7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</row>
    <row r="76" spans="1:32" ht="15.7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</row>
    <row r="77" spans="1:32" ht="15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</row>
    <row r="78" spans="1:32" ht="15.7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</row>
    <row r="79" spans="1:32" ht="15.7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</row>
    <row r="80" spans="1:32" ht="15.7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</row>
    <row r="81" spans="1:32" ht="15.7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</row>
    <row r="82" spans="1:32" ht="15.7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</row>
    <row r="83" spans="1:32" ht="15.7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</row>
    <row r="84" spans="1:32" ht="15.7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</row>
    <row r="85" spans="1:32" ht="15.7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</row>
    <row r="86" spans="1:32" ht="15.7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</row>
    <row r="87" spans="1:32" ht="15.7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</row>
    <row r="88" spans="1:32" ht="15.7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</row>
    <row r="89" spans="1:32" ht="15.7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</row>
    <row r="90" spans="1:32" ht="15.7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</row>
    <row r="91" spans="1:32" ht="15.7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</row>
    <row r="92" spans="1:32" ht="15.7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</row>
    <row r="93" spans="1:32" ht="15.7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</row>
    <row r="94" spans="1:32" ht="15.7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</row>
    <row r="95" spans="1:32" ht="15.7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</row>
    <row r="96" spans="1:32" ht="15.7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</row>
    <row r="97" spans="1:32" ht="15.7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</row>
    <row r="98" spans="1:32" ht="15.7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</row>
    <row r="99" spans="1:32" ht="15.7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</row>
    <row r="100" spans="1:32" ht="15.7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</row>
    <row r="101" spans="1:32" ht="15.7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</row>
    <row r="102" spans="1:32" ht="15.7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</row>
    <row r="103" spans="1:32" ht="15.7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</row>
    <row r="104" spans="1:32" ht="15.7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</row>
    <row r="105" spans="1:32" ht="15.7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</row>
    <row r="106" spans="1:32" ht="15.7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</row>
    <row r="107" spans="1:32" ht="15.7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</row>
    <row r="108" spans="1:32" ht="15.7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</row>
    <row r="109" spans="1:32" ht="15.7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</row>
    <row r="110" spans="1:32" ht="15.7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</row>
    <row r="111" spans="1:32" ht="15.7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</row>
    <row r="112" spans="1:32" ht="15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</row>
    <row r="113" spans="1:32" ht="15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</row>
    <row r="114" spans="1:32" ht="15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</row>
    <row r="115" spans="1:32" ht="15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</row>
    <row r="116" spans="1:32" ht="15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</row>
    <row r="117" spans="1:32" ht="15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</row>
    <row r="118" spans="1:32" ht="15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</row>
    <row r="119" spans="1:32" ht="15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</row>
    <row r="120" spans="1:32" ht="15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</row>
    <row r="121" spans="1:32" ht="15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</row>
    <row r="122" spans="1:32" ht="15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</row>
    <row r="123" spans="1:32" ht="15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</row>
    <row r="124" spans="1:32" ht="15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</row>
    <row r="125" spans="1:32" ht="15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</row>
    <row r="126" spans="1:32" ht="15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</row>
    <row r="127" spans="1:32" ht="15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</row>
    <row r="128" spans="1:32" ht="15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</row>
    <row r="129" spans="1:32" ht="15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</row>
    <row r="130" spans="1:32" ht="15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</row>
    <row r="131" spans="1:32" ht="15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</row>
    <row r="132" spans="1:32" ht="15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</row>
    <row r="133" spans="1:32" ht="15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</row>
    <row r="134" spans="1:32" ht="15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</row>
    <row r="135" spans="1:32" ht="15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</row>
    <row r="136" spans="1:32" ht="15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</row>
    <row r="137" spans="1:32" ht="15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</row>
    <row r="138" spans="1:32" ht="15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</row>
    <row r="139" spans="1:32" ht="15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</row>
    <row r="140" spans="1:32" ht="15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</row>
    <row r="141" spans="1:32" ht="15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</row>
    <row r="142" spans="1:32" ht="15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</row>
    <row r="143" spans="1:32" ht="15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</row>
    <row r="144" spans="1:32" ht="15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</row>
    <row r="145" spans="1:32" ht="15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</row>
    <row r="146" spans="1:32" ht="15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</row>
    <row r="147" spans="1:32" ht="15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</row>
    <row r="148" spans="1:32" ht="15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</row>
    <row r="149" spans="1:32" ht="15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</row>
    <row r="150" spans="1:32" ht="15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</row>
    <row r="151" spans="1:32" ht="15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</row>
    <row r="152" spans="1:32" ht="15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</row>
    <row r="153" spans="1:32" ht="15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</row>
    <row r="154" spans="1:32" ht="15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</row>
    <row r="155" spans="1:32" ht="15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</row>
    <row r="156" spans="1:32" ht="15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</row>
    <row r="157" spans="1:32" ht="15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</row>
    <row r="158" spans="1:32" ht="15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</row>
    <row r="159" spans="1:32" ht="15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</row>
    <row r="160" spans="1:32" ht="15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</row>
    <row r="161" spans="1:32" ht="15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</row>
    <row r="162" spans="1:32" ht="15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</row>
    <row r="163" spans="1:32" ht="15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</row>
    <row r="164" spans="1:32" ht="15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</row>
    <row r="165" spans="1:32" ht="15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</row>
    <row r="166" spans="1:32" ht="15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</row>
    <row r="167" spans="1:32" ht="15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</row>
    <row r="168" spans="1:32" ht="15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</row>
    <row r="169" spans="1:32" ht="15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</row>
    <row r="170" spans="1:32" ht="15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</row>
    <row r="171" spans="1:32" ht="15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</row>
    <row r="172" spans="1:32" ht="15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</row>
    <row r="173" spans="1:32" ht="15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</row>
    <row r="174" spans="1:32" ht="15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</row>
    <row r="175" spans="1:32" ht="15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</row>
    <row r="176" spans="1:32" ht="15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</row>
    <row r="177" spans="1:32" ht="15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</row>
    <row r="178" spans="1:32" ht="15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</row>
    <row r="179" spans="1:32" ht="15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</row>
    <row r="180" spans="1:32" ht="15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</row>
    <row r="181" spans="1:32" ht="15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</row>
    <row r="182" spans="1:32" ht="15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</row>
    <row r="183" spans="1:32" ht="15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</row>
    <row r="184" spans="1:32" ht="15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</row>
    <row r="185" spans="1:32" ht="15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</row>
    <row r="186" spans="1:32" ht="15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</row>
    <row r="187" spans="1:32" ht="15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</row>
    <row r="188" spans="1:32" ht="15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</row>
    <row r="189" spans="1:32" ht="15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</row>
    <row r="190" spans="1:32" ht="15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</row>
    <row r="191" spans="1:32" ht="15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</row>
    <row r="192" spans="1:32" ht="15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</row>
    <row r="193" spans="1:32" ht="15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</row>
    <row r="194" spans="1:32" ht="15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</row>
    <row r="195" spans="1:32" ht="15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</row>
    <row r="196" spans="1:32" ht="15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</row>
    <row r="197" spans="1:32" ht="15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</row>
    <row r="198" spans="1:32" ht="15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</row>
    <row r="199" spans="1:32" ht="15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</row>
    <row r="200" spans="1:32" ht="15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</row>
    <row r="201" spans="1:32" ht="15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</row>
    <row r="202" spans="1:32" ht="15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</row>
    <row r="203" spans="1:32" ht="15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</row>
    <row r="204" spans="1:32" ht="15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</row>
    <row r="205" spans="1:32" ht="15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</row>
    <row r="206" spans="1:32" ht="15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</row>
    <row r="207" spans="1:32" ht="15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</row>
    <row r="208" spans="1:32" ht="15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</row>
    <row r="209" spans="1:32" ht="15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</row>
    <row r="210" spans="1:32" ht="15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</row>
    <row r="211" spans="1:32" ht="15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</row>
    <row r="212" spans="1:32" ht="15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</row>
    <row r="213" spans="1:32" ht="15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</row>
    <row r="214" spans="1:32" ht="15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</row>
    <row r="215" spans="1:32" ht="15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</row>
    <row r="216" spans="1:32" ht="15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</row>
    <row r="217" spans="1:32" ht="15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</row>
    <row r="218" spans="1:32" ht="15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</row>
    <row r="219" spans="1:32" ht="15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</row>
    <row r="220" spans="1:32" ht="15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</row>
    <row r="221" spans="1:32" ht="15.7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</row>
    <row r="222" spans="1:32" ht="15.7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</row>
    <row r="223" spans="1:32" ht="15.7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</row>
    <row r="224" spans="1:32" ht="15.7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</row>
    <row r="225" spans="1:32" ht="15.7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</row>
    <row r="226" spans="1:32" ht="15.7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</row>
    <row r="227" spans="1:32" ht="15.7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</row>
    <row r="228" spans="1:32" ht="15.7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</row>
    <row r="229" spans="1:32" ht="15.7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</row>
    <row r="230" spans="1:32" ht="15.7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</row>
    <row r="231" spans="1:32" ht="15.7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</row>
    <row r="232" spans="1:32" ht="15.7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</row>
    <row r="233" spans="1:32" ht="15.7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</row>
    <row r="234" spans="1:32" ht="15.7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</row>
    <row r="235" spans="1:32" ht="15.7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</row>
    <row r="236" spans="1:32" ht="15.7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</row>
    <row r="237" spans="1:32" ht="15.7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</row>
    <row r="238" spans="1:32" ht="15.7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</row>
    <row r="239" spans="1:32" ht="15.7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</row>
    <row r="240" spans="1:32" ht="15.7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</row>
    <row r="241" spans="1:32" ht="15.7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</row>
    <row r="242" spans="1:32" ht="15.7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</row>
    <row r="243" spans="1:32" ht="15.7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</row>
    <row r="244" spans="1:32" ht="15.7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</row>
    <row r="245" spans="1:32" ht="15.7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</row>
    <row r="246" spans="1:32" ht="15.7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</row>
    <row r="247" spans="1:32" ht="15.7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</row>
    <row r="248" spans="1:32" ht="15.7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</row>
    <row r="249" spans="1:32" ht="15.7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</row>
    <row r="250" spans="1:32" ht="15.7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</row>
    <row r="251" spans="1:32" ht="15.7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</row>
    <row r="252" spans="1:32" ht="15.7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</row>
    <row r="253" spans="1:32" ht="15.7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</row>
    <row r="254" spans="1:32" ht="15.7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</row>
    <row r="255" spans="1:32" ht="15.7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</row>
    <row r="256" spans="1:32" ht="15.7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</row>
    <row r="257" spans="1:32" ht="15.7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</row>
    <row r="258" spans="1:32" ht="15.7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</row>
    <row r="259" spans="1:32" ht="15.7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</row>
    <row r="260" spans="1:32" ht="15.7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</row>
    <row r="261" spans="1:32" ht="15.7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</row>
    <row r="262" spans="1:32" ht="15.7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</row>
    <row r="263" spans="1:32" ht="15.7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</row>
    <row r="264" spans="1:32" ht="15.7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</row>
    <row r="265" spans="1:32" ht="15.7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</row>
    <row r="266" spans="1:32" ht="15.7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</row>
    <row r="267" spans="1:32" ht="15.7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</row>
    <row r="268" spans="1:32" ht="15.7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</row>
    <row r="269" spans="1:32" ht="15.7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</row>
    <row r="270" spans="1:32" ht="15.7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</row>
    <row r="271" spans="1:32" ht="15.7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</row>
    <row r="272" spans="1:32" ht="15.7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</row>
    <row r="273" spans="1:32" ht="15.7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</row>
    <row r="274" spans="1:32" ht="15.7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</row>
    <row r="275" spans="1:32" ht="15.7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</row>
    <row r="276" spans="1:32" ht="15.7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</row>
    <row r="277" spans="1:32" ht="15.7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</row>
    <row r="278" spans="1:32" ht="15.7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</row>
    <row r="279" spans="1:32" ht="15.7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</row>
    <row r="280" spans="1:32" ht="15.7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</row>
    <row r="281" spans="1:32" ht="15.7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</row>
    <row r="282" spans="1:32" ht="15.7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</row>
    <row r="283" spans="1:32" ht="15.7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</row>
    <row r="284" spans="1:32" ht="15.7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</row>
    <row r="285" spans="1:32" ht="15.7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</row>
    <row r="286" spans="1:32" ht="15.7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</row>
    <row r="287" spans="1:32" ht="15.7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</row>
    <row r="288" spans="1:32" ht="15.7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</row>
    <row r="289" spans="1:32" ht="15.7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</row>
    <row r="290" spans="1:32" ht="15.7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</row>
    <row r="291" spans="1:32" ht="15.7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</row>
    <row r="292" spans="1:32" ht="15.7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</row>
    <row r="293" spans="1:32" ht="15.7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</row>
    <row r="294" spans="1:32" ht="15.7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</row>
    <row r="295" spans="1:32" ht="15.7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</row>
    <row r="296" spans="1:32" ht="15.7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</row>
    <row r="297" spans="1:32" ht="15.7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</row>
    <row r="298" spans="1:32" ht="15.7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</row>
    <row r="299" spans="1:32" ht="15.7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</row>
    <row r="300" spans="1:32" ht="15.7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</row>
    <row r="301" spans="1:32" ht="15.7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</row>
    <row r="302" spans="1:32" ht="15.7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</row>
    <row r="303" spans="1:32" ht="15.7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</row>
    <row r="304" spans="1:32" ht="15.7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</row>
    <row r="305" spans="1:32" ht="15.7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</row>
    <row r="306" spans="1:32" ht="15.7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</row>
    <row r="307" spans="1:32" ht="15.7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</row>
    <row r="308" spans="1:32" ht="15.7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</row>
    <row r="309" spans="1:32" ht="15.7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</row>
    <row r="310" spans="1:32" ht="15.7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</row>
    <row r="311" spans="1:32" ht="15.7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</row>
    <row r="312" spans="1:32" ht="15.7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</row>
    <row r="313" spans="1:32" ht="15.7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</row>
    <row r="314" spans="1:32" ht="15.7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</row>
    <row r="315" spans="1:32" ht="15.7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</row>
    <row r="316" spans="1:32" ht="15.7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</row>
    <row r="317" spans="1:32" ht="15.7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</row>
    <row r="318" spans="1:32" ht="15.7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</row>
    <row r="319" spans="1:32" ht="15.7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</row>
    <row r="320" spans="1:32" ht="15.7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</row>
    <row r="321" spans="1:32" ht="15.7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</row>
    <row r="322" spans="1:32" ht="15.7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</row>
    <row r="323" spans="1:32" ht="15.7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</row>
    <row r="324" spans="1:32" ht="15.7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</row>
    <row r="325" spans="1:32" ht="15.7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</row>
    <row r="326" spans="1:32" ht="15.7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</row>
    <row r="327" spans="1:32" ht="15.7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</row>
    <row r="328" spans="1:32" ht="15.7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</row>
    <row r="329" spans="1:32" ht="15.7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</row>
    <row r="330" spans="1:32" ht="15.7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</row>
    <row r="331" spans="1:32" ht="15.7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</row>
    <row r="332" spans="1:32" ht="15.7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</row>
    <row r="333" spans="1:32" ht="15.7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</row>
    <row r="334" spans="1:32" ht="15.7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</row>
    <row r="335" spans="1:32" ht="15.7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</row>
    <row r="336" spans="1:32" ht="15.7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</row>
    <row r="337" spans="1:32" ht="15.7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</row>
    <row r="338" spans="1:32" ht="15.7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</row>
    <row r="339" spans="1:32" ht="15.7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</row>
    <row r="340" spans="1:32" ht="15.7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</row>
    <row r="341" spans="1:32" ht="15.7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</row>
    <row r="342" spans="1:32" ht="15.7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</row>
    <row r="343" spans="1:32" ht="15.7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</row>
    <row r="344" spans="1:32" ht="15.7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</row>
    <row r="345" spans="1:32" ht="15.7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</row>
    <row r="346" spans="1:32" ht="15.7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</row>
    <row r="347" spans="1:32" ht="15.7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</row>
    <row r="348" spans="1:32" ht="15.7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</row>
    <row r="349" spans="1:32" ht="15.7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</row>
    <row r="350" spans="1:32" ht="15.7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</row>
    <row r="351" spans="1:32" ht="15.7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</row>
    <row r="352" spans="1:32" ht="15.7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</row>
    <row r="353" spans="1:32" ht="15.7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</row>
    <row r="354" spans="1:32" ht="15.7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</row>
    <row r="355" spans="1:32" ht="15.7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</row>
    <row r="356" spans="1:32" ht="15.7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</row>
    <row r="357" spans="1:32" ht="15.7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</row>
    <row r="358" spans="1:32" ht="15.7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</row>
    <row r="359" spans="1:32" ht="15.7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</row>
    <row r="360" spans="1:32" ht="15.7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</row>
    <row r="361" spans="1:32" ht="15.7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</row>
    <row r="362" spans="1:32" ht="15.7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</row>
    <row r="363" spans="1:32" ht="15.7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</row>
    <row r="364" spans="1:32" ht="15.7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</row>
    <row r="365" spans="1:32" ht="15.7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</row>
    <row r="366" spans="1:32" ht="15.7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</row>
    <row r="367" spans="1:32" ht="15.7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</row>
    <row r="368" spans="1:32" ht="15.7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</row>
    <row r="369" spans="1:32" ht="15.7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</row>
    <row r="370" spans="1:32" ht="15.7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</row>
    <row r="371" spans="1:32" ht="15.7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</row>
    <row r="372" spans="1:32" ht="15.7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</row>
    <row r="373" spans="1:32" ht="15.7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</row>
    <row r="374" spans="1:32" ht="15.7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</row>
    <row r="375" spans="1:32" ht="15.7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</row>
    <row r="376" spans="1:32" ht="15.7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</row>
    <row r="377" spans="1:32" ht="15.7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</row>
    <row r="378" spans="1:32" ht="15.7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</row>
    <row r="379" spans="1:32" ht="15.7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</row>
    <row r="380" spans="1:32" ht="15.7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</row>
    <row r="381" spans="1:32" ht="15.7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</row>
    <row r="382" spans="1:32" ht="15.7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</row>
    <row r="383" spans="1:32" ht="15.7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</row>
    <row r="384" spans="1:32" ht="15.7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</row>
    <row r="385" spans="1:32" ht="15.7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</row>
    <row r="386" spans="1:32" ht="15.7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</row>
    <row r="387" spans="1:32" ht="15.7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</row>
    <row r="388" spans="1:32" ht="15.7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</row>
    <row r="389" spans="1:32" ht="15.7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</row>
    <row r="390" spans="1:32" ht="15.7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</row>
    <row r="391" spans="1:32" ht="15.7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</row>
    <row r="392" spans="1:32" ht="15.7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</row>
    <row r="393" spans="1:32" ht="15.7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</row>
    <row r="394" spans="1:32" ht="15.7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</row>
    <row r="395" spans="1:32" ht="15.7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</row>
    <row r="396" spans="1:32" ht="15.7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</row>
    <row r="397" spans="1:32" ht="15.7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</row>
    <row r="398" spans="1:32" ht="15.7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</row>
    <row r="399" spans="1:32" ht="15.7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</row>
    <row r="400" spans="1:32" ht="15.7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</row>
    <row r="401" spans="1:32" ht="15.7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</row>
    <row r="402" spans="1:32" ht="15.7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</row>
    <row r="403" spans="1:32" ht="15.7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</row>
    <row r="404" spans="1:32" ht="15.7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</row>
    <row r="405" spans="1:32" ht="15.7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</row>
    <row r="406" spans="1:32" ht="15.7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</row>
    <row r="407" spans="1:32" ht="15.7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</row>
    <row r="408" spans="1:32" ht="15.7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</row>
    <row r="409" spans="1:32" ht="15.7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</row>
    <row r="410" spans="1:32" ht="15.7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</row>
    <row r="411" spans="1:32" ht="15.7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</row>
    <row r="412" spans="1:32" ht="15.7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</row>
    <row r="413" spans="1:32" ht="15.7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</row>
    <row r="414" spans="1:32" ht="15.7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</row>
    <row r="415" spans="1:32" ht="15.7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</row>
    <row r="416" spans="1:32" ht="15.7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</row>
    <row r="417" spans="1:32" ht="15.7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</row>
    <row r="418" spans="1:32" ht="15.7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</row>
    <row r="419" spans="1:32" ht="15.7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</row>
    <row r="420" spans="1:32" ht="15.7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</row>
    <row r="421" spans="1:32" ht="15.7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</row>
    <row r="422" spans="1:32" ht="15.7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</row>
    <row r="423" spans="1:32" ht="15.7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</row>
    <row r="424" spans="1:32" ht="15.7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</row>
    <row r="425" spans="1:32" ht="15.7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</row>
    <row r="426" spans="1:32" ht="15.7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</row>
    <row r="427" spans="1:32" ht="15.7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</row>
    <row r="428" spans="1:32" ht="15.7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</row>
    <row r="429" spans="1:32" ht="15.7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</row>
    <row r="430" spans="1:32" ht="15.7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</row>
    <row r="431" spans="1:32" ht="15.7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</row>
    <row r="432" spans="1:32" ht="15.7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</row>
    <row r="433" spans="1:32" ht="15.7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</row>
    <row r="434" spans="1:32" ht="15.7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</row>
    <row r="435" spans="1:32" ht="15.7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</row>
    <row r="436" spans="1:32" ht="15.7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</row>
    <row r="437" spans="1:32" ht="15.7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</row>
    <row r="438" spans="1:32" ht="15.7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</row>
    <row r="439" spans="1:32" ht="15.7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</row>
    <row r="440" spans="1:32" ht="15.7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</row>
    <row r="441" spans="1:32" ht="15.7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</row>
    <row r="442" spans="1:32" ht="15.7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</row>
    <row r="443" spans="1:32" ht="15.7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</row>
    <row r="444" spans="1:32" ht="15.7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</row>
    <row r="445" spans="1:32" ht="15.7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</row>
    <row r="446" spans="1:32" ht="15.7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</row>
    <row r="447" spans="1:32" ht="15.7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</row>
    <row r="448" spans="1:32" ht="15.7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</row>
    <row r="449" spans="1:32" ht="15.7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</row>
    <row r="450" spans="1:32" ht="15.7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</row>
    <row r="451" spans="1:32" ht="15.7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</row>
    <row r="452" spans="1:32" ht="15.7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</row>
    <row r="453" spans="1:32" ht="15.7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</row>
    <row r="454" spans="1:32" ht="15.7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</row>
    <row r="455" spans="1:32" ht="15.7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</row>
    <row r="456" spans="1:32" ht="15.7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</row>
    <row r="457" spans="1:32" ht="15.7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</row>
    <row r="458" spans="1:32" ht="15.7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</row>
    <row r="459" spans="1:32" ht="15.7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</row>
    <row r="460" spans="1:32" ht="15.7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</row>
    <row r="461" spans="1:32" ht="15.7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</row>
    <row r="462" spans="1:32" ht="15.7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</row>
    <row r="463" spans="1:32" ht="15.7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</row>
    <row r="464" spans="1:32" ht="15.7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</row>
    <row r="465" spans="1:32" ht="15.7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</row>
    <row r="466" spans="1:32" ht="15.7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</row>
    <row r="467" spans="1:32" ht="15.7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</row>
    <row r="468" spans="1:32" ht="15.7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</row>
    <row r="469" spans="1:32" ht="15.7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</row>
    <row r="470" spans="1:32" ht="15.7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</row>
    <row r="471" spans="1:32" ht="15.7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</row>
    <row r="472" spans="1:32" ht="15.7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</row>
    <row r="473" spans="1:32" ht="15.7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</row>
    <row r="474" spans="1:32" ht="15.7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</row>
    <row r="475" spans="1:32" ht="15.7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</row>
    <row r="476" spans="1:32" ht="15.7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</row>
    <row r="477" spans="1:32" ht="15.7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</row>
    <row r="478" spans="1:32" ht="15.7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</row>
    <row r="479" spans="1:32" ht="15.7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</row>
    <row r="480" spans="1:32" ht="15.7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</row>
    <row r="481" spans="1:32" ht="15.7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</row>
    <row r="482" spans="1:32" ht="15.7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</row>
    <row r="483" spans="1:32" ht="15.7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</row>
    <row r="484" spans="1:32" ht="15.7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</row>
    <row r="485" spans="1:32" ht="15.7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</row>
    <row r="486" spans="1:32" ht="15.7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</row>
    <row r="487" spans="1:32" ht="15.7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</row>
    <row r="488" spans="1:32" ht="15.7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</row>
    <row r="489" spans="1:32" ht="15.7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</row>
    <row r="490" spans="1:32" ht="15.7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</row>
    <row r="491" spans="1:32" ht="15.7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</row>
    <row r="492" spans="1:32" ht="15.7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</row>
    <row r="493" spans="1:32" ht="15.7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</row>
    <row r="494" spans="1:32" ht="15.7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</row>
    <row r="495" spans="1:32" ht="15.7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</row>
    <row r="496" spans="1:32" ht="15.7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</row>
    <row r="497" spans="1:32" ht="15.7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</row>
    <row r="498" spans="1:32" ht="15.7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</row>
    <row r="499" spans="1:32" ht="15.7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</row>
    <row r="500" spans="1:32" ht="15.7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</row>
    <row r="501" spans="1:32" ht="15.7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</row>
    <row r="502" spans="1:32" ht="15.7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</row>
    <row r="503" spans="1:32" ht="15.7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</row>
    <row r="504" spans="1:32" ht="15.7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</row>
    <row r="505" spans="1:32" ht="15.7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</row>
    <row r="506" spans="1:32" ht="15.7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</row>
    <row r="507" spans="1:32" ht="15.7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</row>
    <row r="508" spans="1:32" ht="15.7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</row>
    <row r="509" spans="1:32" ht="15.7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</row>
    <row r="510" spans="1:32" ht="15.7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</row>
    <row r="511" spans="1:32" ht="15.7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</row>
    <row r="512" spans="1:32" ht="15.7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</row>
    <row r="513" spans="1:32" ht="15.7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</row>
    <row r="514" spans="1:32" ht="15.7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</row>
    <row r="515" spans="1:32" ht="15.7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</row>
    <row r="516" spans="1:32" ht="15.7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</row>
    <row r="517" spans="1:32" ht="15.7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</row>
    <row r="518" spans="1:32" ht="15.7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</row>
    <row r="519" spans="1:32" ht="15.7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</row>
    <row r="520" spans="1:32" ht="15.7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</row>
    <row r="521" spans="1:32" ht="15.7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</row>
    <row r="522" spans="1:32" ht="15.7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</row>
    <row r="523" spans="1:32" ht="15.7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</row>
    <row r="524" spans="1:32" ht="15.7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</row>
    <row r="525" spans="1:32" ht="15.7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</row>
    <row r="526" spans="1:32" ht="15.7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</row>
    <row r="527" spans="1:32" ht="15.7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</row>
    <row r="528" spans="1:32" ht="15.7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</row>
    <row r="529" spans="1:32" ht="15.7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</row>
    <row r="530" spans="1:32" ht="15.7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</row>
    <row r="531" spans="1:32" ht="15.7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</row>
    <row r="532" spans="1:32" ht="15.7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</row>
    <row r="533" spans="1:32" ht="15.7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</row>
    <row r="534" spans="1:32" ht="15.7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</row>
    <row r="535" spans="1:32" ht="15.7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</row>
    <row r="536" spans="1:32" ht="15.7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</row>
    <row r="537" spans="1:32" ht="15.7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</row>
    <row r="538" spans="1:32" ht="15.7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</row>
    <row r="539" spans="1:32" ht="15.7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</row>
    <row r="540" spans="1:32" ht="15.7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</row>
    <row r="541" spans="1:32" ht="15.7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</row>
    <row r="542" spans="1:32" ht="15.7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</row>
    <row r="543" spans="1:32" ht="15.7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</row>
    <row r="544" spans="1:32" ht="15.7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</row>
    <row r="545" spans="1:32" ht="15.7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</row>
    <row r="546" spans="1:32" ht="15.7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</row>
    <row r="547" spans="1:32" ht="15.7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</row>
    <row r="548" spans="1:32" ht="15.7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</row>
    <row r="549" spans="1:32" ht="15.7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</row>
    <row r="550" spans="1:32" ht="15.7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</row>
    <row r="551" spans="1:32" ht="15.7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</row>
    <row r="552" spans="1:32" ht="15.7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</row>
    <row r="553" spans="1:32" ht="15.7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</row>
    <row r="554" spans="1:32" ht="15.7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</row>
    <row r="555" spans="1:32" ht="15.7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</row>
    <row r="556" spans="1:32" ht="15.7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</row>
    <row r="557" spans="1:32" ht="15.7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</row>
    <row r="558" spans="1:32" ht="15.7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</row>
    <row r="559" spans="1:32" ht="15.7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</row>
    <row r="560" spans="1:32" ht="15.7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</row>
    <row r="561" spans="1:32" ht="15.7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</row>
    <row r="562" spans="1:32" ht="15.7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</row>
    <row r="563" spans="1:32" ht="15.7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</row>
    <row r="564" spans="1:32" ht="15.7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</row>
    <row r="565" spans="1:32" ht="15.7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</row>
    <row r="566" spans="1:32" ht="15.7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</row>
    <row r="567" spans="1:32" ht="15.7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</row>
    <row r="568" spans="1:32" ht="15.7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</row>
    <row r="569" spans="1:32" ht="15.7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</row>
    <row r="570" spans="1:32" ht="15.7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</row>
    <row r="571" spans="1:32" ht="15.7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</row>
    <row r="572" spans="1:32" ht="15.7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</row>
    <row r="573" spans="1:32" ht="15.7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</row>
    <row r="574" spans="1:32" ht="15.7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</row>
    <row r="575" spans="1:32" ht="15.7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</row>
    <row r="576" spans="1:32" ht="15.7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</row>
    <row r="577" spans="1:32" ht="15.7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</row>
    <row r="578" spans="1:32" ht="15.7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</row>
    <row r="579" spans="1:32" ht="15.7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</row>
    <row r="580" spans="1:32" ht="15.7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</row>
    <row r="581" spans="1:32" ht="15.7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</row>
    <row r="582" spans="1:32" ht="15.7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</row>
    <row r="583" spans="1:32" ht="15.7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</row>
    <row r="584" spans="1:32" ht="15.7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</row>
    <row r="585" spans="1:32" ht="15.7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</row>
    <row r="586" spans="1:32" ht="15.7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</row>
    <row r="587" spans="1:32" ht="15.7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</row>
    <row r="588" spans="1:32" ht="15.7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</row>
    <row r="589" spans="1:32" ht="15.7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</row>
    <row r="590" spans="1:32" ht="15.7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</row>
    <row r="591" spans="1:32" ht="15.7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</row>
    <row r="592" spans="1:32" ht="15.7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</row>
    <row r="593" spans="1:32" ht="15.7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</row>
    <row r="594" spans="1:32" ht="15.7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</row>
    <row r="595" spans="1:32" ht="15.7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</row>
    <row r="596" spans="1:32" ht="15.7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</row>
    <row r="597" spans="1:32" ht="15.7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</row>
    <row r="598" spans="1:32" ht="15.7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</row>
    <row r="599" spans="1:32" ht="15.7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</row>
    <row r="600" spans="1:32" ht="15.7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</row>
    <row r="601" spans="1:32" ht="15.7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</row>
    <row r="602" spans="1:32" ht="15.7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</row>
    <row r="603" spans="1:32" ht="15.7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</row>
    <row r="604" spans="1:32" ht="15.7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</row>
    <row r="605" spans="1:32" ht="15.7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</row>
    <row r="606" spans="1:32" ht="15.7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</row>
    <row r="607" spans="1:32" ht="15.7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</row>
    <row r="608" spans="1:32" ht="15.7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</row>
    <row r="609" spans="1:32" ht="15.7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</row>
    <row r="610" spans="1:32" ht="15.7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</row>
    <row r="611" spans="1:32" ht="15.7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</row>
    <row r="612" spans="1:32" ht="15.7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</row>
    <row r="613" spans="1:32" ht="15.7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</row>
    <row r="614" spans="1:32" ht="15.7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</row>
    <row r="615" spans="1:32" ht="15.7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</row>
    <row r="616" spans="1:32" ht="15.7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</row>
    <row r="617" spans="1:32" ht="15.7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</row>
    <row r="618" spans="1:32" ht="15.7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</row>
    <row r="619" spans="1:32" ht="15.7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</row>
    <row r="620" spans="1:32" ht="15.7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</row>
    <row r="621" spans="1:32" ht="15.7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</row>
    <row r="622" spans="1:32" ht="15.7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</row>
    <row r="623" spans="1:32" ht="15.7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</row>
    <row r="624" spans="1:32" ht="15.7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</row>
    <row r="625" spans="1:32" ht="15.7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</row>
    <row r="626" spans="1:32" ht="15.7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</row>
    <row r="627" spans="1:32" ht="15.7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</row>
    <row r="628" spans="1:32" ht="15.7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</row>
    <row r="629" spans="1:32" ht="15.7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</row>
    <row r="630" spans="1:32" ht="15.7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</row>
    <row r="631" spans="1:32" ht="15.7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</row>
    <row r="632" spans="1:32" ht="15.7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</row>
    <row r="633" spans="1:32" ht="15.7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</row>
    <row r="634" spans="1:32" ht="15.7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</row>
    <row r="635" spans="1:32" ht="15.7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</row>
    <row r="636" spans="1:32" ht="15.7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</row>
    <row r="637" spans="1:32" ht="15.7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</row>
    <row r="638" spans="1:32" ht="15.7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</row>
    <row r="639" spans="1:32" ht="15.7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</row>
    <row r="640" spans="1:32" ht="15.7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</row>
    <row r="641" spans="1:32" ht="15.7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</row>
    <row r="642" spans="1:32" ht="15.7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</row>
    <row r="643" spans="1:32" ht="15.7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</row>
    <row r="644" spans="1:32" ht="15.7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</row>
    <row r="645" spans="1:32" ht="15.7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</row>
    <row r="646" spans="1:32" ht="15.7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</row>
    <row r="647" spans="1:32" ht="15.7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</row>
    <row r="648" spans="1:32" ht="15.7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</row>
    <row r="649" spans="1:32" ht="15.7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</row>
    <row r="650" spans="1:32" ht="15.7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</row>
    <row r="651" spans="1:32" ht="15.7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</row>
    <row r="652" spans="1:32" ht="15.7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</row>
    <row r="653" spans="1:32" ht="15.7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</row>
    <row r="654" spans="1:32" ht="15.7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</row>
    <row r="655" spans="1:32" ht="15.7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</row>
    <row r="656" spans="1:32" ht="15.7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</row>
    <row r="657" spans="1:32" ht="15.7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</row>
    <row r="658" spans="1:32" ht="15.7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</row>
    <row r="659" spans="1:32" ht="15.7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</row>
    <row r="660" spans="1:32" ht="15.7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</row>
    <row r="661" spans="1:32" ht="15.7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</row>
    <row r="662" spans="1:32" ht="15.7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</row>
    <row r="663" spans="1:32" ht="15.7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</row>
    <row r="664" spans="1:32" ht="15.7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</row>
    <row r="665" spans="1:32" ht="15.7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</row>
    <row r="666" spans="1:32" ht="15.7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</row>
    <row r="667" spans="1:32" ht="15.7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</row>
    <row r="668" spans="1:32" ht="15.7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</row>
    <row r="669" spans="1:32" ht="15.7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</row>
    <row r="670" spans="1:32" ht="15.7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</row>
    <row r="671" spans="1:32" ht="15.7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</row>
    <row r="672" spans="1:32" ht="15.7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</row>
    <row r="673" spans="1:32" ht="15.7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</row>
    <row r="674" spans="1:32" ht="15.7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</row>
    <row r="675" spans="1:32" ht="15.7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</row>
    <row r="676" spans="1:32" ht="15.7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</row>
    <row r="677" spans="1:32" ht="15.7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</row>
    <row r="678" spans="1:32" ht="15.7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</row>
    <row r="679" spans="1:32" ht="15.7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</row>
    <row r="680" spans="1:32" ht="15.7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</row>
    <row r="681" spans="1:32" ht="15.7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</row>
    <row r="682" spans="1:32" ht="15.7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</row>
    <row r="683" spans="1:32" ht="15.7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</row>
    <row r="684" spans="1:32" ht="15.7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</row>
    <row r="685" spans="1:32" ht="15.7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</row>
    <row r="686" spans="1:32" ht="15.7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</row>
    <row r="687" spans="1:32" ht="15.7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</row>
    <row r="688" spans="1:32" ht="15.7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</row>
    <row r="689" spans="1:32" ht="15.7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</row>
    <row r="690" spans="1:32" ht="15.7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</row>
    <row r="691" spans="1:32" ht="15.7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</row>
    <row r="692" spans="1:32" ht="15.7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</row>
    <row r="693" spans="1:32" ht="15.7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</row>
    <row r="694" spans="1:32" ht="15.7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</row>
    <row r="695" spans="1:32" ht="15.7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</row>
    <row r="696" spans="1:32" ht="15.7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</row>
    <row r="697" spans="1:32" ht="15.7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</row>
    <row r="698" spans="1:32" ht="15.7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</row>
    <row r="699" spans="1:32" ht="15.7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</row>
    <row r="700" spans="1:32" ht="15.7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</row>
    <row r="701" spans="1:32" ht="15.7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</row>
    <row r="702" spans="1:32" ht="15.7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</row>
    <row r="703" spans="1:32" ht="15.7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</row>
    <row r="704" spans="1:32" ht="15.7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</row>
    <row r="705" spans="1:32" ht="15.7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</row>
    <row r="706" spans="1:32" ht="15.7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</row>
    <row r="707" spans="1:32" ht="15.7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</row>
    <row r="708" spans="1:32" ht="15.7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</row>
    <row r="709" spans="1:32" ht="15.7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</row>
    <row r="710" spans="1:32" ht="15.7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</row>
    <row r="711" spans="1:32" ht="15.7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</row>
    <row r="712" spans="1:32" ht="15.7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</row>
    <row r="713" spans="1:32" ht="15.7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</row>
    <row r="714" spans="1:32" ht="15.7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</row>
    <row r="715" spans="1:32" ht="15.7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</row>
    <row r="716" spans="1:32" ht="15.7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</row>
    <row r="717" spans="1:32" ht="15.7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</row>
    <row r="718" spans="1:32" ht="15.7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</row>
    <row r="719" spans="1:32" ht="15.7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</row>
    <row r="720" spans="1:32" ht="15.7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</row>
    <row r="721" spans="1:32" ht="15.7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</row>
    <row r="722" spans="1:32" ht="15.7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</row>
    <row r="723" spans="1:32" ht="15.7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</row>
    <row r="724" spans="1:32" ht="15.7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</row>
    <row r="725" spans="1:32" ht="15.7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</row>
    <row r="726" spans="1:32" ht="15.7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</row>
    <row r="727" spans="1:32" ht="15.7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</row>
    <row r="728" spans="1:32" ht="15.7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</row>
    <row r="729" spans="1:32" ht="15.7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</row>
    <row r="730" spans="1:32" ht="15.7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</row>
    <row r="731" spans="1:32" ht="15.7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</row>
    <row r="732" spans="1:32" ht="15.7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</row>
    <row r="733" spans="1:32" ht="15.7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</row>
    <row r="734" spans="1:32" ht="15.7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</row>
    <row r="735" spans="1:32" ht="15.7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</row>
    <row r="736" spans="1:32" ht="15.7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</row>
    <row r="737" spans="1:32" ht="15.7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</row>
    <row r="738" spans="1:32" ht="15.7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</row>
    <row r="739" spans="1:32" ht="15.7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</row>
    <row r="740" spans="1:32" ht="15.7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</row>
    <row r="741" spans="1:32" ht="15.7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</row>
    <row r="742" spans="1:32" ht="15.7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</row>
    <row r="743" spans="1:32" ht="15.7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</row>
    <row r="744" spans="1:32" ht="15.7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</row>
    <row r="745" spans="1:32" ht="15.7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</row>
    <row r="746" spans="1:32" ht="15.7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</row>
    <row r="747" spans="1:32" ht="15.7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</row>
    <row r="748" spans="1:32" ht="15.7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</row>
    <row r="749" spans="1:32" ht="15.7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</row>
    <row r="750" spans="1:32" ht="15.7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</row>
    <row r="751" spans="1:32" ht="15.7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</row>
    <row r="752" spans="1:32" ht="15.7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</row>
    <row r="753" spans="1:32" ht="15.7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</row>
    <row r="754" spans="1:32" ht="15.7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</row>
    <row r="755" spans="1:32" ht="15.7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</row>
    <row r="756" spans="1:32" ht="15.7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</row>
    <row r="757" spans="1:32" ht="15.7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</row>
    <row r="758" spans="1:32" ht="15.7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</row>
    <row r="759" spans="1:32" ht="15.7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</row>
    <row r="760" spans="1:32" ht="15.7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</row>
    <row r="761" spans="1:32" ht="15.7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</row>
    <row r="762" spans="1:32" ht="15.7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</row>
    <row r="763" spans="1:32" ht="15.7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</row>
    <row r="764" spans="1:32" ht="15.7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</row>
    <row r="765" spans="1:32" ht="15.7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</row>
    <row r="766" spans="1:32" ht="15.7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</row>
    <row r="767" spans="1:32" ht="15.7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</row>
    <row r="768" spans="1:32" ht="15.7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</row>
    <row r="769" spans="1:32" ht="15.7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</row>
    <row r="770" spans="1:32" ht="15.7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</row>
    <row r="771" spans="1:32" ht="15.7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</row>
    <row r="772" spans="1:32" ht="15.7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</row>
    <row r="773" spans="1:32" ht="15.7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</row>
    <row r="774" spans="1:32" ht="15.7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</row>
    <row r="775" spans="1:32" ht="15.7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</row>
    <row r="776" spans="1:32" ht="15.7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</row>
    <row r="777" spans="1:32" ht="15.7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</row>
    <row r="778" spans="1:32" ht="15.7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</row>
    <row r="779" spans="1:32" ht="15.7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</row>
    <row r="780" spans="1:32" ht="15.7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</row>
    <row r="781" spans="1:32" ht="15.7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</row>
    <row r="782" spans="1:32" ht="15.7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</row>
    <row r="783" spans="1:32" ht="15.7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</row>
    <row r="784" spans="1:32" ht="15.7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</row>
    <row r="785" spans="1:32" ht="15.7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</row>
    <row r="786" spans="1:32" ht="15.7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</row>
    <row r="787" spans="1:32" ht="15.7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</row>
    <row r="788" spans="1:32" ht="15.7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</row>
    <row r="789" spans="1:32" ht="15.7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</row>
    <row r="790" spans="1:32" ht="15.7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</row>
    <row r="791" spans="1:32" ht="15.7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</row>
    <row r="792" spans="1:32" ht="15.7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</row>
    <row r="793" spans="1:32" ht="15.7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</row>
    <row r="794" spans="1:32" ht="15.7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</row>
    <row r="795" spans="1:32" ht="15.7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</row>
    <row r="796" spans="1:32" ht="15.7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</row>
    <row r="797" spans="1:32" ht="15.7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</row>
    <row r="798" spans="1:32" ht="15.7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</row>
    <row r="799" spans="1:32" ht="15.7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</row>
    <row r="800" spans="1:32" ht="15.7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</row>
    <row r="801" spans="1:32" ht="15.7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</row>
    <row r="802" spans="1:32" ht="15.7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</row>
    <row r="803" spans="1:32" ht="15.7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</row>
    <row r="804" spans="1:32" ht="15.7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</row>
    <row r="805" spans="1:32" ht="15.7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</row>
    <row r="806" spans="1:32" ht="15.7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</row>
    <row r="807" spans="1:32" ht="15.7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</row>
    <row r="808" spans="1:32" ht="15.7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</row>
    <row r="809" spans="1:32" ht="15.7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</row>
    <row r="810" spans="1:32" ht="15.7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</row>
    <row r="811" spans="1:32" ht="15.7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</row>
    <row r="812" spans="1:32" ht="15.7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</row>
    <row r="813" spans="1:32" ht="15.7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</row>
    <row r="814" spans="1:32" ht="15.7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</row>
    <row r="815" spans="1:32" ht="15.7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</row>
    <row r="816" spans="1:32" ht="15.7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</row>
    <row r="817" spans="1:32" ht="15.7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</row>
    <row r="818" spans="1:32" ht="15.7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</row>
    <row r="819" spans="1:32" ht="15.7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</row>
    <row r="820" spans="1:32" ht="15.7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</row>
    <row r="821" spans="1:32" ht="15.7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</row>
    <row r="822" spans="1:32" ht="15.7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</row>
    <row r="823" spans="1:32" ht="15.7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</row>
    <row r="824" spans="1:32" ht="15.7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</row>
    <row r="825" spans="1:32" ht="15.7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</row>
    <row r="826" spans="1:32" ht="15.7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</row>
    <row r="827" spans="1:32" ht="15.7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</row>
    <row r="828" spans="1:32" ht="15.7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</row>
    <row r="829" spans="1:32" ht="15.7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</row>
    <row r="830" spans="1:32" ht="15.7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</row>
    <row r="831" spans="1:32" ht="15.7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</row>
    <row r="832" spans="1:32" ht="15.7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</row>
    <row r="833" spans="1:32" ht="15.7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</row>
    <row r="834" spans="1:32" ht="15.7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</row>
    <row r="835" spans="1:32" ht="15.7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</row>
    <row r="836" spans="1:32" ht="15.7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</row>
    <row r="837" spans="1:32" ht="15.7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</row>
    <row r="838" spans="1:32" ht="15.7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</row>
    <row r="839" spans="1:32" ht="15.7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</row>
    <row r="840" spans="1:32" ht="15.7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</row>
    <row r="841" spans="1:32" ht="15.7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</row>
    <row r="842" spans="1:32" ht="15.7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</row>
    <row r="843" spans="1:32" ht="15.7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</row>
    <row r="844" spans="1:32" ht="15.7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</row>
    <row r="845" spans="1:32" ht="15.7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</row>
    <row r="846" spans="1:32" ht="15.7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</row>
    <row r="847" spans="1:32" ht="15.7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</row>
    <row r="848" spans="1:32" ht="15.7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</row>
    <row r="849" spans="1:32" ht="15.7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</row>
    <row r="850" spans="1:32" ht="15.7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</row>
    <row r="851" spans="1:32" ht="15.7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</row>
    <row r="852" spans="1:32" ht="15.7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</row>
    <row r="853" spans="1:32" ht="15.7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</row>
    <row r="854" spans="1:32" ht="15.7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</row>
    <row r="855" spans="1:32" ht="15.7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</row>
    <row r="856" spans="1:32" ht="15.7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</row>
    <row r="857" spans="1:32" ht="15.7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</row>
    <row r="858" spans="1:32" ht="15.7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</row>
    <row r="859" spans="1:32" ht="15.7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</row>
    <row r="860" spans="1:32" ht="15.7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</row>
    <row r="861" spans="1:32" ht="15.7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</row>
    <row r="862" spans="1:32" ht="15.7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</row>
    <row r="863" spans="1:32" ht="15.7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</row>
    <row r="864" spans="1:32" ht="15.7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</row>
    <row r="865" spans="1:32" ht="15.7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</row>
    <row r="866" spans="1:32" ht="15.7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</row>
    <row r="867" spans="1:32" ht="15.7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</row>
    <row r="868" spans="1:32" ht="15.7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</row>
    <row r="869" spans="1:32" ht="15.7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</row>
    <row r="870" spans="1:32" ht="15.7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</row>
    <row r="871" spans="1:32" ht="15.7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</row>
    <row r="872" spans="1:32" ht="15.7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</row>
    <row r="873" spans="1:32" ht="15.7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</row>
    <row r="874" spans="1:32" ht="15.7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</row>
    <row r="875" spans="1:32" ht="15.7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</row>
    <row r="876" spans="1:32" ht="15.7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</row>
    <row r="877" spans="1:32" ht="15.7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</row>
    <row r="878" spans="1:32" ht="15.7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</row>
    <row r="879" spans="1:32" ht="15.7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</row>
    <row r="880" spans="1:32" ht="15.7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</row>
    <row r="881" spans="1:32" ht="15.7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</row>
    <row r="882" spans="1:32" ht="15.7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</row>
    <row r="883" spans="1:32" ht="15.7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</row>
    <row r="884" spans="1:32" ht="15.7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</row>
    <row r="885" spans="1:32" ht="15.7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</row>
    <row r="886" spans="1:32" ht="15.7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</row>
    <row r="887" spans="1:32" ht="15.7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</row>
    <row r="888" spans="1:32" ht="15.7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</row>
    <row r="889" spans="1:32" ht="15.7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</row>
    <row r="890" spans="1:32" ht="15.7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</row>
    <row r="891" spans="1:32" ht="15.7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</row>
    <row r="892" spans="1:32" ht="15.7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</row>
    <row r="893" spans="1:32" ht="15.7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</row>
    <row r="894" spans="1:32" ht="15.7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</row>
    <row r="895" spans="1:32" ht="15.7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</row>
    <row r="896" spans="1:32" ht="15.7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</row>
    <row r="897" spans="1:32" ht="15.7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</row>
    <row r="898" spans="1:32" ht="15.7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</row>
    <row r="899" spans="1:32" ht="15.7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</row>
    <row r="900" spans="1:32" ht="15.7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</row>
    <row r="901" spans="1:32" ht="15.7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</row>
    <row r="902" spans="1:32" ht="15.7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</row>
    <row r="903" spans="1:32" ht="15.7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</row>
    <row r="904" spans="1:32" ht="15.7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</row>
    <row r="905" spans="1:32" ht="15.7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</row>
    <row r="906" spans="1:32" ht="15.7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</row>
    <row r="907" spans="1:32" ht="15.7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</row>
    <row r="908" spans="1:32" ht="15.7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</row>
    <row r="909" spans="1:32" ht="15.7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</row>
    <row r="910" spans="1:32" ht="15.7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</row>
    <row r="911" spans="1:32" ht="15.7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</row>
    <row r="912" spans="1:32" ht="15.7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</row>
    <row r="913" spans="1:32" ht="15.7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</row>
    <row r="914" spans="1:32" ht="15.7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</row>
    <row r="915" spans="1:32" ht="15.7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</row>
    <row r="916" spans="1:32" ht="15.7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</row>
    <row r="917" spans="1:32" ht="15.7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</row>
    <row r="918" spans="1:32" ht="15.7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</row>
    <row r="919" spans="1:32" ht="15.7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</row>
    <row r="920" spans="1:32" ht="15.7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</row>
    <row r="921" spans="1:32" ht="15.7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</row>
    <row r="922" spans="1:32" ht="15.7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</row>
    <row r="923" spans="1:32" ht="15.7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</row>
    <row r="924" spans="1:32" ht="15.7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</row>
    <row r="925" spans="1:32" ht="15.7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</row>
    <row r="926" spans="1:32" ht="15.7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</row>
    <row r="927" spans="1:32" ht="15.7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</row>
    <row r="928" spans="1:32" ht="15.7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</row>
    <row r="929" spans="1:32" ht="15.7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</row>
    <row r="930" spans="1:32" ht="15.7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</row>
    <row r="931" spans="1:32" ht="15.7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</row>
    <row r="932" spans="1:32" ht="15.7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</row>
    <row r="933" spans="1:32" ht="15.7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</row>
    <row r="934" spans="1:32" ht="15.7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</row>
    <row r="935" spans="1:32" ht="15.7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</row>
    <row r="936" spans="1:32" ht="15.7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</row>
    <row r="937" spans="1:32" ht="15.7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</row>
    <row r="938" spans="1:32" ht="15.7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</row>
    <row r="939" spans="1:32" ht="15.7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</row>
    <row r="940" spans="1:32" ht="15.7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</row>
    <row r="941" spans="1:32" ht="15.7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</row>
    <row r="942" spans="1:32" ht="15.7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</row>
    <row r="943" spans="1:32" ht="15.7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</row>
    <row r="944" spans="1:32" ht="15.7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</row>
    <row r="945" spans="1:32" ht="15.7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</row>
    <row r="946" spans="1:32" ht="15.7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</row>
    <row r="947" spans="1:32" ht="15.7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</row>
    <row r="948" spans="1:32" ht="15.7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</row>
    <row r="949" spans="1:32" ht="15.7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</row>
    <row r="950" spans="1:32" ht="15.7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</row>
    <row r="951" spans="1:32" ht="15.7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</row>
    <row r="952" spans="1:32" ht="15.7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</row>
    <row r="953" spans="1:32" ht="15.7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</row>
    <row r="954" spans="1:32" ht="15.7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</row>
    <row r="955" spans="1:32" ht="15.7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</row>
    <row r="956" spans="1:32" ht="15.7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</row>
    <row r="957" spans="1:32" ht="15.7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</row>
    <row r="958" spans="1:32" ht="15.7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</row>
    <row r="959" spans="1:32" ht="15.7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</row>
    <row r="960" spans="1:32" ht="15.7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</row>
    <row r="961" spans="1:32" ht="15.7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</row>
    <row r="962" spans="1:32" ht="15.7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</row>
    <row r="963" spans="1:32" ht="15.7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</row>
    <row r="964" spans="1:32" ht="15.7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</row>
    <row r="965" spans="1:32" ht="15.7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</row>
    <row r="966" spans="1:32" ht="15.7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</row>
    <row r="967" spans="1:32" ht="15.7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</row>
    <row r="968" spans="1:32" ht="15.7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</row>
    <row r="969" spans="1:32" ht="15.7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</row>
    <row r="970" spans="1:32" ht="15.7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</row>
    <row r="971" spans="1:32" ht="15.7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</row>
    <row r="972" spans="1:32" ht="15.7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</row>
    <row r="973" spans="1:32" ht="15.7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</row>
    <row r="974" spans="1:32" ht="15.7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</row>
    <row r="975" spans="1:32" ht="15.7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</row>
    <row r="976" spans="1:32" ht="15.7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</row>
    <row r="977" spans="1:32" ht="15.7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</row>
    <row r="978" spans="1:32" ht="15.7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</row>
    <row r="979" spans="1:32" ht="15.7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</row>
    <row r="980" spans="1:32" ht="15.7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</row>
    <row r="981" spans="1:32" ht="15.7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</row>
    <row r="982" spans="1:32" ht="15.7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</row>
    <row r="983" spans="1:32" ht="15.7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</row>
    <row r="984" spans="1:32" ht="15.7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</row>
    <row r="985" spans="1:32" ht="15.7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</row>
    <row r="986" spans="1:32" ht="15.7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</row>
    <row r="987" spans="1:32" ht="15.7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</row>
    <row r="988" spans="1:32" ht="15.7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</row>
    <row r="989" spans="1:32" ht="15.7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</row>
    <row r="990" spans="1:32" ht="15.7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</row>
    <row r="991" spans="1:32" ht="15.7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</row>
    <row r="992" spans="1:32" ht="15.7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</row>
    <row r="993" spans="1:32" ht="15.7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</row>
    <row r="994" spans="1:32" ht="15.7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</row>
    <row r="995" spans="1:32" ht="15.7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</row>
    <row r="996" spans="1:32" ht="15.7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</row>
    <row r="997" spans="1:32" ht="15.7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</row>
    <row r="998" spans="1:32" ht="15.7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</row>
    <row r="999" spans="1:32" ht="15.7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</row>
    <row r="1000" spans="1:32" ht="15.75" customHeight="1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</row>
  </sheetData>
  <mergeCells count="6">
    <mergeCell ref="G46:H46"/>
    <mergeCell ref="G18:H18"/>
    <mergeCell ref="J18:L18"/>
    <mergeCell ref="N18:O18"/>
    <mergeCell ref="G32:H32"/>
    <mergeCell ref="J32:K32"/>
  </mergeCells>
  <conditionalFormatting sqref="N20:O30">
    <cfRule type="expression" dxfId="0" priority="1">
      <formula>ABS(N20)&gt;=10%</formula>
    </cfRule>
  </conditionalFormatting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B1003"/>
  <sheetViews>
    <sheetView showGridLines="0" tabSelected="1" workbookViewId="0">
      <selection activeCell="D35" sqref="D35"/>
    </sheetView>
  </sheetViews>
  <sheetFormatPr baseColWidth="10" defaultColWidth="14.5" defaultRowHeight="15" customHeight="1" x14ac:dyDescent="0.2"/>
  <cols>
    <col min="1" max="2" width="11.5" customWidth="1"/>
    <col min="3" max="3" width="36.1640625" customWidth="1"/>
    <col min="4" max="7" width="11.5" customWidth="1"/>
    <col min="8" max="8" width="16.5" customWidth="1"/>
    <col min="9" max="12" width="11.5" customWidth="1"/>
    <col min="13" max="13" width="13" customWidth="1"/>
    <col min="14" max="15" width="11.5" customWidth="1"/>
    <col min="16" max="16" width="13" customWidth="1"/>
    <col min="17" max="17" width="15.6640625" customWidth="1"/>
    <col min="18" max="24" width="11.5" customWidth="1"/>
    <col min="25" max="28" width="14.5" customWidth="1"/>
  </cols>
  <sheetData>
    <row r="1" spans="1:28" x14ac:dyDescent="0.2">
      <c r="A1" s="1"/>
      <c r="B1" s="1"/>
      <c r="C1" s="1"/>
      <c r="D1" s="25"/>
      <c r="E1" s="25"/>
      <c r="F1" s="25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x14ac:dyDescent="0.2">
      <c r="A2" s="1"/>
      <c r="B2" s="26"/>
      <c r="C2" s="27"/>
      <c r="D2" s="28"/>
      <c r="E2" s="28"/>
      <c r="F2" s="28"/>
      <c r="G2" s="29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x14ac:dyDescent="0.2">
      <c r="A3" s="1"/>
      <c r="B3" s="30"/>
      <c r="C3" s="1"/>
      <c r="D3" s="25"/>
      <c r="E3" s="25"/>
      <c r="F3" s="25"/>
      <c r="G3" s="31"/>
      <c r="H3" s="1"/>
      <c r="I3" s="1"/>
      <c r="J3" s="1"/>
      <c r="K3" s="1"/>
      <c r="L3" s="1"/>
      <c r="M3" s="1" t="s">
        <v>42</v>
      </c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ht="16" x14ac:dyDescent="0.2">
      <c r="A4" s="1"/>
      <c r="B4" s="30"/>
      <c r="C4" s="293" t="s">
        <v>43</v>
      </c>
      <c r="D4" s="294"/>
      <c r="E4" s="294"/>
      <c r="F4" s="295"/>
      <c r="G4" s="31"/>
      <c r="H4" s="1"/>
      <c r="I4" s="1"/>
      <c r="J4" s="1"/>
      <c r="K4" s="1"/>
      <c r="L4" s="1"/>
      <c r="M4" s="32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x14ac:dyDescent="0.2">
      <c r="A5" s="1"/>
      <c r="B5" s="30"/>
      <c r="C5" s="1"/>
      <c r="D5" s="25"/>
      <c r="E5" s="25"/>
      <c r="F5" s="25"/>
      <c r="G5" s="31"/>
      <c r="H5" s="1"/>
      <c r="I5" s="1"/>
      <c r="J5" s="1"/>
      <c r="K5" s="1"/>
      <c r="L5" s="1"/>
      <c r="M5" s="25" t="s">
        <v>44</v>
      </c>
      <c r="N5" s="25" t="s">
        <v>45</v>
      </c>
      <c r="O5" s="25" t="s">
        <v>46</v>
      </c>
      <c r="P5" s="25" t="s">
        <v>47</v>
      </c>
      <c r="Q5" s="25" t="s">
        <v>48</v>
      </c>
      <c r="R5" s="25" t="s">
        <v>49</v>
      </c>
      <c r="S5" s="25" t="s">
        <v>50</v>
      </c>
      <c r="T5" s="25" t="s">
        <v>51</v>
      </c>
      <c r="U5" s="25" t="s">
        <v>52</v>
      </c>
      <c r="V5" s="1"/>
      <c r="W5" s="1"/>
      <c r="X5" s="1"/>
      <c r="Y5" s="1"/>
      <c r="Z5" s="1"/>
      <c r="AA5" s="1"/>
      <c r="AB5" s="1"/>
    </row>
    <row r="6" spans="1:28" x14ac:dyDescent="0.2">
      <c r="A6" s="1"/>
      <c r="B6" s="30"/>
      <c r="C6" s="1" t="s">
        <v>44</v>
      </c>
      <c r="D6" s="296" t="s">
        <v>198</v>
      </c>
      <c r="E6" s="276"/>
      <c r="F6" s="25"/>
      <c r="G6" s="31"/>
      <c r="H6" s="1"/>
      <c r="I6" s="1"/>
      <c r="J6" s="1"/>
      <c r="K6" s="1"/>
      <c r="L6" s="1"/>
      <c r="M6" s="33">
        <v>44566</v>
      </c>
      <c r="N6" s="34">
        <v>51.7</v>
      </c>
      <c r="O6" s="34">
        <v>25.2</v>
      </c>
      <c r="P6" s="34">
        <v>23.1</v>
      </c>
      <c r="Q6" s="34"/>
      <c r="R6" s="34"/>
      <c r="S6" s="34"/>
      <c r="T6" s="34"/>
      <c r="U6" s="34"/>
      <c r="V6" s="1"/>
      <c r="W6" s="1"/>
      <c r="X6" s="1"/>
      <c r="Y6" s="1"/>
      <c r="Z6" s="1"/>
      <c r="AA6" s="1"/>
      <c r="AB6" s="1"/>
    </row>
    <row r="7" spans="1:28" x14ac:dyDescent="0.2">
      <c r="A7" s="1"/>
      <c r="B7" s="30"/>
      <c r="C7" s="1"/>
      <c r="D7" s="25"/>
      <c r="E7" s="25"/>
      <c r="F7" s="25"/>
      <c r="G7" s="35"/>
      <c r="H7" s="1"/>
      <c r="I7" s="1"/>
      <c r="J7" s="1"/>
      <c r="K7" s="1"/>
      <c r="L7" s="1"/>
      <c r="M7" s="33">
        <v>44571</v>
      </c>
      <c r="N7" s="34">
        <v>43.3</v>
      </c>
      <c r="O7" s="34">
        <v>22.6</v>
      </c>
      <c r="P7" s="34">
        <v>34</v>
      </c>
      <c r="Q7" s="34"/>
      <c r="R7" s="34"/>
      <c r="S7" s="34"/>
      <c r="T7" s="34"/>
      <c r="U7" s="34"/>
      <c r="V7" s="1"/>
      <c r="W7" s="1"/>
      <c r="X7" s="1"/>
      <c r="Y7" s="1"/>
      <c r="Z7" s="1"/>
      <c r="AA7" s="1"/>
      <c r="AB7" s="1"/>
    </row>
    <row r="8" spans="1:28" x14ac:dyDescent="0.2">
      <c r="A8" s="1"/>
      <c r="B8" s="30"/>
      <c r="C8" s="281" t="s">
        <v>53</v>
      </c>
      <c r="D8" s="278"/>
      <c r="E8" s="278"/>
      <c r="F8" s="279"/>
      <c r="G8" s="31"/>
      <c r="H8" s="1"/>
      <c r="I8" s="1"/>
      <c r="J8" s="1"/>
      <c r="K8" s="1"/>
      <c r="L8" s="1"/>
      <c r="M8" s="33">
        <v>44574</v>
      </c>
      <c r="N8" s="34">
        <v>44.16</v>
      </c>
      <c r="O8" s="34">
        <v>23.87</v>
      </c>
      <c r="P8" s="34">
        <v>31.97</v>
      </c>
      <c r="Q8" s="34"/>
      <c r="R8" s="34"/>
      <c r="S8" s="34"/>
      <c r="T8" s="34"/>
      <c r="U8" s="34"/>
      <c r="V8" s="1"/>
      <c r="W8" s="1"/>
      <c r="X8" s="1"/>
      <c r="Y8" s="1"/>
      <c r="Z8" s="1"/>
      <c r="AA8" s="1"/>
      <c r="AB8" s="1"/>
    </row>
    <row r="9" spans="1:28" ht="16" x14ac:dyDescent="0.2">
      <c r="A9" s="1"/>
      <c r="B9" s="30"/>
      <c r="C9" s="36" t="s">
        <v>54</v>
      </c>
      <c r="D9" s="37" t="s">
        <v>55</v>
      </c>
      <c r="E9" s="37" t="s">
        <v>56</v>
      </c>
      <c r="F9" s="37" t="s">
        <v>57</v>
      </c>
      <c r="G9" s="31"/>
      <c r="H9" s="1"/>
      <c r="I9" s="1"/>
      <c r="J9" s="1"/>
      <c r="K9" s="1"/>
      <c r="L9" s="1"/>
      <c r="M9" s="33">
        <v>37273</v>
      </c>
      <c r="N9" s="34">
        <v>45.56</v>
      </c>
      <c r="O9" s="34">
        <v>22.1</v>
      </c>
      <c r="P9" s="34">
        <v>32.340000000000003</v>
      </c>
      <c r="Q9" s="34"/>
      <c r="R9" s="34"/>
      <c r="S9" s="34"/>
      <c r="T9" s="34"/>
      <c r="U9" s="34"/>
      <c r="V9" s="1"/>
      <c r="W9" s="1"/>
      <c r="X9" s="1"/>
      <c r="Y9" s="1"/>
      <c r="Z9" s="1"/>
      <c r="AA9" s="1"/>
      <c r="AB9" s="1"/>
    </row>
    <row r="10" spans="1:28" x14ac:dyDescent="0.2">
      <c r="A10" s="1"/>
      <c r="B10" s="30"/>
      <c r="C10" s="38" t="s">
        <v>58</v>
      </c>
      <c r="D10" s="39">
        <f>+'Bal AL FeT'!J26+'Bal AL FeT'!J27+'Bal AL FeT'!J28</f>
        <v>0</v>
      </c>
      <c r="E10" s="40" t="str">
        <f>IF(D10=0, "0", ('Bal AL FeT'!J26*'Bal AL FeT'!K26+'Bal AL FeT'!J27*'Bal AL FeT'!K27+'Bal AL FeT'!J28*'Bal AL FeT'!K28)/'Reporte '!D10)</f>
        <v>0</v>
      </c>
      <c r="F10" s="40" t="str">
        <f>IF(D10=0, "0",('Bal AL FeMag'!J26*'Bal AL FeMag'!K26+'Bal AL FeMag'!J27*'Bal AL FeMag'!K27+'Bal AL FeMag'!J28*'Bal AL FeMag'!K28)/'Reporte '!D10)</f>
        <v>0</v>
      </c>
      <c r="G10" s="31"/>
      <c r="H10" s="1"/>
      <c r="I10" s="1"/>
      <c r="J10" s="1"/>
      <c r="K10" s="1"/>
      <c r="L10" s="1"/>
      <c r="M10" s="33">
        <v>44585</v>
      </c>
      <c r="N10" s="34"/>
      <c r="O10" s="34"/>
      <c r="P10" s="34"/>
      <c r="Q10" s="34">
        <v>26.0305606917468</v>
      </c>
      <c r="R10" s="34">
        <v>24.127870543396401</v>
      </c>
      <c r="S10" s="34">
        <v>21.681077255402499</v>
      </c>
      <c r="T10" s="34">
        <v>28.1604915094543</v>
      </c>
      <c r="U10" s="34"/>
      <c r="V10" s="1"/>
      <c r="W10" s="1"/>
      <c r="X10" s="1"/>
      <c r="Y10" s="1"/>
      <c r="Z10" s="1"/>
      <c r="AA10" s="1"/>
      <c r="AB10" s="1"/>
    </row>
    <row r="11" spans="1:28" x14ac:dyDescent="0.2">
      <c r="A11" s="1"/>
      <c r="B11" s="30"/>
      <c r="C11" s="38" t="s">
        <v>59</v>
      </c>
      <c r="D11" s="39">
        <f>SUM(Flujos!H21:H23)</f>
        <v>50012.969109000005</v>
      </c>
      <c r="E11" s="40">
        <f>IF(D11=0, "0", ('Bal ML FeT'!K20*'Bal ML FeT'!J20+'Bal ML FeT'!K21*'Bal ML FeT'!J21+'Bal ML FeT'!K22*'Bal ML FeT'!J22)/'Reporte '!D11)</f>
        <v>0.41108322036726097</v>
      </c>
      <c r="F11" s="40">
        <f>IF(D11=0, "0",('Bal ML FeMag'!J20*'Bal ML FeMag'!K20+'Bal ML FeMag'!J21*'Bal ML FeMag'!K21+'Bal ML FeMag'!J22*'Bal ML FeMag'!K22)/'Reporte '!D11)</f>
        <v>0.36717502641549393</v>
      </c>
      <c r="G11" s="31"/>
      <c r="H11" s="193">
        <f t="shared" ref="H11:H13" si="0">+F11/E11</f>
        <v>0.89318903867557631</v>
      </c>
      <c r="I11" s="1"/>
      <c r="J11" s="1"/>
      <c r="K11" s="1"/>
      <c r="L11" s="1"/>
      <c r="M11" s="33">
        <v>44588</v>
      </c>
      <c r="N11" s="34"/>
      <c r="O11" s="34"/>
      <c r="P11" s="34"/>
      <c r="Q11" s="34">
        <v>26.944937345115701</v>
      </c>
      <c r="R11" s="34">
        <v>21.524750736682801</v>
      </c>
      <c r="S11" s="34">
        <v>21.8954078113413</v>
      </c>
      <c r="T11" s="34">
        <v>29.634904106860201</v>
      </c>
      <c r="U11" s="34"/>
      <c r="V11" s="1"/>
      <c r="W11" s="1"/>
      <c r="X11" s="1"/>
      <c r="Y11" s="1"/>
      <c r="Z11" s="1"/>
      <c r="AA11" s="1"/>
      <c r="AB11" s="1"/>
    </row>
    <row r="12" spans="1:28" x14ac:dyDescent="0.2">
      <c r="A12" s="1"/>
      <c r="B12" s="192"/>
      <c r="C12" s="194" t="s">
        <v>199</v>
      </c>
      <c r="D12" s="195">
        <v>20375.175738000002</v>
      </c>
      <c r="E12" s="196">
        <v>0.42830678239000003</v>
      </c>
      <c r="F12" s="196">
        <v>0.39709560000000005</v>
      </c>
      <c r="G12" s="31"/>
      <c r="H12" s="193">
        <f t="shared" si="0"/>
        <v>0.92712890929291836</v>
      </c>
      <c r="I12" s="1"/>
      <c r="J12" s="1"/>
      <c r="K12" s="1"/>
      <c r="L12" s="1"/>
      <c r="M12" s="33"/>
      <c r="N12" s="34"/>
      <c r="O12" s="34"/>
      <c r="P12" s="34"/>
      <c r="Q12" s="34"/>
      <c r="R12" s="34"/>
      <c r="S12" s="34"/>
      <c r="T12" s="34"/>
      <c r="U12" s="34"/>
      <c r="V12" s="1"/>
      <c r="W12" s="1"/>
      <c r="X12" s="1"/>
      <c r="Y12" s="1"/>
      <c r="Z12" s="1"/>
      <c r="AA12" s="1"/>
      <c r="AB12" s="1"/>
    </row>
    <row r="13" spans="1:28" x14ac:dyDescent="0.2">
      <c r="A13" s="1"/>
      <c r="B13" s="192"/>
      <c r="C13" s="194" t="s">
        <v>31</v>
      </c>
      <c r="D13" s="195">
        <v>16522.937223000001</v>
      </c>
      <c r="E13" s="196">
        <v>0.43059465885999998</v>
      </c>
      <c r="F13" s="196">
        <v>0.38590782546000002</v>
      </c>
      <c r="G13" s="31"/>
      <c r="H13" s="193">
        <f t="shared" si="0"/>
        <v>0.8962206509520847</v>
      </c>
      <c r="I13" s="1"/>
      <c r="J13" s="1"/>
      <c r="K13" s="1"/>
      <c r="L13" s="1"/>
      <c r="M13" s="33"/>
      <c r="N13" s="34"/>
      <c r="O13" s="34"/>
      <c r="P13" s="34"/>
      <c r="Q13" s="34"/>
      <c r="R13" s="34"/>
      <c r="S13" s="34"/>
      <c r="T13" s="34"/>
      <c r="U13" s="34"/>
      <c r="V13" s="1"/>
      <c r="W13" s="1"/>
      <c r="X13" s="1"/>
      <c r="Y13" s="1"/>
      <c r="Z13" s="1"/>
      <c r="AA13" s="1"/>
      <c r="AB13" s="1"/>
    </row>
    <row r="14" spans="1:28" x14ac:dyDescent="0.2">
      <c r="A14" s="1"/>
      <c r="B14" s="192"/>
      <c r="C14" s="194" t="s">
        <v>32</v>
      </c>
      <c r="D14" s="195">
        <v>13114.856148000001</v>
      </c>
      <c r="E14" s="196">
        <v>0.35974301740999998</v>
      </c>
      <c r="F14" s="196">
        <v>0.29708978893999999</v>
      </c>
      <c r="G14" s="31"/>
      <c r="H14" s="193">
        <f>+F14/E14</f>
        <v>0.82583893102060146</v>
      </c>
      <c r="I14" s="1"/>
      <c r="J14" s="1"/>
      <c r="K14" s="1"/>
      <c r="L14" s="1"/>
      <c r="M14" s="33"/>
      <c r="N14" s="34"/>
      <c r="O14" s="34"/>
      <c r="P14" s="34"/>
      <c r="Q14" s="34"/>
      <c r="R14" s="34"/>
      <c r="S14" s="34"/>
      <c r="T14" s="34"/>
      <c r="U14" s="34"/>
      <c r="V14" s="1"/>
      <c r="W14" s="1"/>
      <c r="X14" s="1"/>
      <c r="Y14" s="1"/>
      <c r="Z14" s="1"/>
      <c r="AA14" s="1"/>
      <c r="AB14" s="1"/>
    </row>
    <row r="15" spans="1:28" hidden="1" x14ac:dyDescent="0.2">
      <c r="A15" s="1"/>
      <c r="B15" s="30"/>
      <c r="C15" s="38" t="s">
        <v>60</v>
      </c>
      <c r="D15" s="39">
        <f>+D10+D11</f>
        <v>50012.969109000005</v>
      </c>
      <c r="E15" s="40">
        <f>+(D10*E10+D11*E11)/D15</f>
        <v>0.41108322036726097</v>
      </c>
      <c r="F15" s="40">
        <f>+(D10*F10+D11*F11)/D15</f>
        <v>0.36717502641549393</v>
      </c>
      <c r="G15" s="31"/>
      <c r="H15" s="1"/>
      <c r="I15" s="15"/>
      <c r="J15" s="1"/>
      <c r="K15" s="1"/>
      <c r="L15" s="1"/>
      <c r="M15" s="33">
        <v>44599</v>
      </c>
      <c r="N15" s="34">
        <v>48.1</v>
      </c>
      <c r="O15" s="34">
        <v>19.8</v>
      </c>
      <c r="P15" s="34">
        <v>32.1</v>
      </c>
      <c r="Q15" s="34"/>
      <c r="R15" s="34"/>
      <c r="S15" s="34"/>
      <c r="T15" s="34"/>
      <c r="U15" s="34"/>
      <c r="V15" s="1"/>
      <c r="W15" s="1"/>
      <c r="X15" s="1"/>
      <c r="Y15" s="1"/>
      <c r="Z15" s="1"/>
      <c r="AA15" s="1"/>
      <c r="AB15" s="1"/>
    </row>
    <row r="16" spans="1:28" ht="7.5" customHeight="1" x14ac:dyDescent="0.2">
      <c r="A16" s="1"/>
      <c r="B16" s="30"/>
      <c r="C16" s="41"/>
      <c r="D16" s="42"/>
      <c r="E16" s="43"/>
      <c r="F16" s="43"/>
      <c r="G16" s="31"/>
      <c r="H16" s="1"/>
      <c r="I16" s="1"/>
      <c r="J16" s="1"/>
      <c r="K16" s="1"/>
      <c r="L16" s="1"/>
      <c r="M16" s="1"/>
      <c r="N16" s="34"/>
      <c r="O16" s="34"/>
      <c r="P16" s="34"/>
      <c r="Q16" s="34"/>
      <c r="R16" s="34"/>
      <c r="S16" s="34"/>
      <c r="T16" s="34"/>
      <c r="U16" s="34"/>
      <c r="V16" s="1"/>
      <c r="W16" s="1"/>
      <c r="X16" s="1"/>
      <c r="Y16" s="1"/>
      <c r="Z16" s="1"/>
      <c r="AA16" s="1"/>
      <c r="AB16" s="1"/>
    </row>
    <row r="17" spans="1:28" x14ac:dyDescent="0.2">
      <c r="A17" s="1"/>
      <c r="B17" s="30"/>
      <c r="C17" s="281" t="s">
        <v>61</v>
      </c>
      <c r="D17" s="278"/>
      <c r="E17" s="278"/>
      <c r="F17" s="279"/>
      <c r="G17" s="31"/>
      <c r="H17" s="1"/>
      <c r="I17" s="1"/>
      <c r="J17" s="1"/>
      <c r="K17" s="1"/>
      <c r="L17" s="1"/>
      <c r="M17" s="33">
        <v>44608</v>
      </c>
      <c r="N17" s="34">
        <v>55.8</v>
      </c>
      <c r="O17" s="34">
        <v>24.2</v>
      </c>
      <c r="P17" s="34">
        <v>19.899999999999999</v>
      </c>
      <c r="Q17" s="34">
        <v>25.1</v>
      </c>
      <c r="R17" s="34">
        <v>21.3</v>
      </c>
      <c r="S17" s="34">
        <f>100-Q17-R17-T17</f>
        <v>28.300000000000008</v>
      </c>
      <c r="T17" s="34">
        <v>25.3</v>
      </c>
      <c r="U17" s="34"/>
      <c r="V17" s="1"/>
      <c r="W17" s="1"/>
      <c r="X17" s="1"/>
      <c r="Y17" s="1"/>
      <c r="Z17" s="1"/>
      <c r="AA17" s="1"/>
      <c r="AB17" s="1"/>
    </row>
    <row r="18" spans="1:28" x14ac:dyDescent="0.2">
      <c r="A18" s="1"/>
      <c r="B18" s="30"/>
      <c r="C18" s="280" t="s">
        <v>62</v>
      </c>
      <c r="D18" s="278"/>
      <c r="E18" s="278"/>
      <c r="F18" s="279"/>
      <c r="G18" s="31"/>
      <c r="H18" s="1" t="s">
        <v>63</v>
      </c>
      <c r="I18" s="1" t="s">
        <v>64</v>
      </c>
      <c r="J18" s="1"/>
      <c r="K18" s="1"/>
      <c r="L18" s="1"/>
      <c r="M18" s="33">
        <v>44620</v>
      </c>
      <c r="N18" s="34">
        <v>52.7704696842396</v>
      </c>
      <c r="O18" s="34">
        <v>23.429146980192701</v>
      </c>
      <c r="P18" s="34">
        <v>23.800383335567801</v>
      </c>
      <c r="Q18" s="34">
        <v>31.82099267712</v>
      </c>
      <c r="R18" s="34">
        <v>23.605751202300102</v>
      </c>
      <c r="S18" s="34">
        <v>18.352691205793601</v>
      </c>
      <c r="T18" s="34">
        <v>27.920221029251401</v>
      </c>
      <c r="U18" s="34"/>
      <c r="V18" s="1"/>
      <c r="W18" s="1"/>
      <c r="X18" s="1"/>
      <c r="Y18" s="1"/>
      <c r="Z18" s="1"/>
      <c r="AA18" s="1"/>
      <c r="AB18" s="1"/>
    </row>
    <row r="19" spans="1:28" x14ac:dyDescent="0.2">
      <c r="A19" s="1"/>
      <c r="B19" s="30"/>
      <c r="C19" s="38" t="s">
        <v>48</v>
      </c>
      <c r="D19" s="39">
        <f>+'Bal AL FeT'!J29</f>
        <v>0</v>
      </c>
      <c r="E19" s="40">
        <f>'Bal AL FeT'!K29</f>
        <v>0</v>
      </c>
      <c r="F19" s="40">
        <f>+'Bal AL FeMag'!K29</f>
        <v>0</v>
      </c>
      <c r="G19" s="31"/>
      <c r="H19" s="1" t="e">
        <f t="shared" ref="H19:H23" si="1">+D19/$D$10*100</f>
        <v>#DIV/0!</v>
      </c>
      <c r="I19" s="1" t="e">
        <f t="shared" ref="I19:I23" si="2">+H19*E19/$E$10</f>
        <v>#DIV/0!</v>
      </c>
      <c r="J19" s="1"/>
      <c r="K19" s="1"/>
      <c r="L19" s="1"/>
      <c r="M19" s="33">
        <v>44628</v>
      </c>
      <c r="N19" s="34">
        <v>50.123788472073301</v>
      </c>
      <c r="O19" s="34">
        <v>28.031570771681899</v>
      </c>
      <c r="P19" s="34">
        <v>21.8446407562448</v>
      </c>
      <c r="Q19" s="34">
        <v>19.553648470753402</v>
      </c>
      <c r="R19" s="34">
        <v>17.268254076296898</v>
      </c>
      <c r="S19" s="34">
        <v>25.4822896472865</v>
      </c>
      <c r="T19" s="34">
        <v>37.695807805665197</v>
      </c>
      <c r="U19" s="34"/>
      <c r="V19" s="1"/>
      <c r="W19" s="1"/>
      <c r="X19" s="1"/>
      <c r="Y19" s="1"/>
      <c r="Z19" s="1"/>
      <c r="AA19" s="1"/>
      <c r="AB19" s="1"/>
    </row>
    <row r="20" spans="1:28" x14ac:dyDescent="0.2">
      <c r="A20" s="1"/>
      <c r="B20" s="30"/>
      <c r="C20" s="38" t="s">
        <v>49</v>
      </c>
      <c r="D20" s="39">
        <f>+'Bal AL FeT'!J33</f>
        <v>0</v>
      </c>
      <c r="E20" s="40">
        <f>+'Bal AL FeT'!K33</f>
        <v>0</v>
      </c>
      <c r="F20" s="40">
        <f>+'Bal AL FeMag'!K33</f>
        <v>0</v>
      </c>
      <c r="G20" s="31"/>
      <c r="H20" s="1" t="e">
        <f t="shared" si="1"/>
        <v>#DIV/0!</v>
      </c>
      <c r="I20" s="1" t="e">
        <f t="shared" si="2"/>
        <v>#DIV/0!</v>
      </c>
      <c r="J20" s="1"/>
      <c r="K20" s="1"/>
      <c r="L20" s="1"/>
      <c r="M20" s="33">
        <v>44634</v>
      </c>
      <c r="N20" s="34">
        <v>42.020691003790198</v>
      </c>
      <c r="O20" s="34">
        <v>23.863622240954399</v>
      </c>
      <c r="P20" s="34">
        <v>34.115686755255403</v>
      </c>
      <c r="Q20" s="34"/>
      <c r="R20" s="34"/>
      <c r="S20" s="34"/>
      <c r="T20" s="34"/>
      <c r="U20" s="34"/>
      <c r="V20" s="1"/>
      <c r="W20" s="1"/>
      <c r="X20" s="1"/>
      <c r="Y20" s="1"/>
      <c r="Z20" s="1"/>
      <c r="AA20" s="1"/>
      <c r="AB20" s="1"/>
    </row>
    <row r="21" spans="1:28" x14ac:dyDescent="0.2">
      <c r="A21" s="1"/>
      <c r="B21" s="30"/>
      <c r="C21" s="38" t="s">
        <v>52</v>
      </c>
      <c r="D21" s="39">
        <f>+D23+D22</f>
        <v>0</v>
      </c>
      <c r="E21" s="40">
        <f>IFERROR((E22*D22+E23*D23)/D21, 0)</f>
        <v>0</v>
      </c>
      <c r="F21" s="40">
        <f>IFERROR((D22*F22+D23*F23)/D21, 0)</f>
        <v>0</v>
      </c>
      <c r="G21" s="31"/>
      <c r="H21" s="1" t="e">
        <f t="shared" si="1"/>
        <v>#DIV/0!</v>
      </c>
      <c r="I21" s="1" t="e">
        <f t="shared" si="2"/>
        <v>#DIV/0!</v>
      </c>
      <c r="J21" s="1"/>
      <c r="K21" s="1"/>
      <c r="L21" s="1"/>
      <c r="M21" s="33"/>
      <c r="N21" s="34"/>
      <c r="O21" s="34"/>
      <c r="P21" s="34"/>
      <c r="Q21" s="34"/>
      <c r="R21" s="34"/>
      <c r="S21" s="34"/>
      <c r="T21" s="34"/>
      <c r="U21" s="34"/>
      <c r="V21" s="1"/>
      <c r="W21" s="1"/>
      <c r="X21" s="1"/>
      <c r="Y21" s="1"/>
      <c r="Z21" s="1"/>
      <c r="AA21" s="1"/>
      <c r="AB21" s="1"/>
    </row>
    <row r="22" spans="1:28" x14ac:dyDescent="0.2">
      <c r="A22" s="1"/>
      <c r="B22" s="30"/>
      <c r="C22" s="38" t="s">
        <v>65</v>
      </c>
      <c r="D22" s="39">
        <f>+'Bal AL FeT'!J37</f>
        <v>0</v>
      </c>
      <c r="E22" s="40">
        <f>+'Bal AL FeT'!K37</f>
        <v>0</v>
      </c>
      <c r="F22" s="40">
        <f>+'Bal AL FeMag'!K37</f>
        <v>0</v>
      </c>
      <c r="G22" s="31"/>
      <c r="H22" s="1" t="e">
        <f t="shared" si="1"/>
        <v>#DIV/0!</v>
      </c>
      <c r="I22" s="1" t="e">
        <f t="shared" si="2"/>
        <v>#DIV/0!</v>
      </c>
      <c r="J22" s="1"/>
      <c r="K22" s="1"/>
      <c r="L22" s="1"/>
      <c r="M22" s="33">
        <v>44640</v>
      </c>
      <c r="N22" s="34">
        <v>40.9300344882245</v>
      </c>
      <c r="O22" s="34">
        <v>22.732547535538</v>
      </c>
      <c r="P22" s="34">
        <v>36.337417976237496</v>
      </c>
      <c r="Q22" s="34"/>
      <c r="R22" s="34"/>
      <c r="S22" s="34"/>
      <c r="T22" s="34"/>
      <c r="U22" s="34"/>
      <c r="V22" s="1"/>
      <c r="W22" s="1"/>
      <c r="X22" s="1"/>
      <c r="Y22" s="1"/>
      <c r="Z22" s="1"/>
      <c r="AA22" s="1"/>
      <c r="AB22" s="1"/>
    </row>
    <row r="23" spans="1:28" x14ac:dyDescent="0.2">
      <c r="A23" s="1"/>
      <c r="B23" s="30"/>
      <c r="C23" s="38" t="s">
        <v>66</v>
      </c>
      <c r="D23" s="39">
        <f>+'Bal AL FeT'!J40</f>
        <v>0</v>
      </c>
      <c r="E23" s="40">
        <f>+'Bal AL FeT'!K40</f>
        <v>0</v>
      </c>
      <c r="F23" s="40">
        <f>+'Bal AL FeMag'!K40</f>
        <v>0</v>
      </c>
      <c r="G23" s="31"/>
      <c r="H23" s="1" t="e">
        <f t="shared" si="1"/>
        <v>#DIV/0!</v>
      </c>
      <c r="I23" s="1" t="e">
        <f t="shared" si="2"/>
        <v>#DIV/0!</v>
      </c>
      <c r="J23" s="1"/>
      <c r="K23" s="1"/>
      <c r="L23" s="1"/>
      <c r="M23" s="33">
        <v>44651</v>
      </c>
      <c r="N23" s="34">
        <v>45.522044621819703</v>
      </c>
      <c r="O23" s="34">
        <v>22.565223189681699</v>
      </c>
      <c r="P23" s="34">
        <v>31.912732188498602</v>
      </c>
      <c r="Q23" s="34">
        <v>22.764828734766098</v>
      </c>
      <c r="R23" s="34">
        <v>18.8535088742181</v>
      </c>
      <c r="S23" s="34">
        <v>27.944074145335701</v>
      </c>
      <c r="T23" s="34">
        <v>30.437588245680001</v>
      </c>
      <c r="U23" s="34"/>
      <c r="V23" s="1"/>
      <c r="W23" s="1"/>
      <c r="X23" s="1"/>
      <c r="Y23" s="1"/>
      <c r="Z23" s="1"/>
      <c r="AA23" s="1"/>
      <c r="AB23" s="1"/>
    </row>
    <row r="24" spans="1:28" ht="15.75" customHeight="1" x14ac:dyDescent="0.2">
      <c r="A24" s="1"/>
      <c r="B24" s="30"/>
      <c r="C24" s="280" t="s">
        <v>67</v>
      </c>
      <c r="D24" s="278"/>
      <c r="E24" s="278"/>
      <c r="F24" s="279"/>
      <c r="G24" s="31"/>
      <c r="H24" s="44" t="s">
        <v>68</v>
      </c>
      <c r="I24" s="1"/>
      <c r="J24" s="1"/>
      <c r="K24" s="1"/>
      <c r="L24" s="1"/>
      <c r="M24" s="33">
        <v>44661</v>
      </c>
      <c r="N24" s="34">
        <v>48.1</v>
      </c>
      <c r="O24" s="34">
        <v>25.5</v>
      </c>
      <c r="P24" s="34">
        <v>26.4</v>
      </c>
      <c r="Q24" s="34">
        <v>21.1</v>
      </c>
      <c r="R24" s="34">
        <v>19.5</v>
      </c>
      <c r="S24" s="34">
        <v>10.9</v>
      </c>
      <c r="T24" s="34">
        <v>48.4</v>
      </c>
      <c r="U24" s="34"/>
      <c r="V24" s="1"/>
      <c r="W24" s="1"/>
      <c r="X24" s="1"/>
      <c r="Y24" s="1"/>
      <c r="Z24" s="1"/>
      <c r="AA24" s="1"/>
      <c r="AB24" s="1"/>
    </row>
    <row r="25" spans="1:28" ht="15.75" customHeight="1" x14ac:dyDescent="0.2">
      <c r="A25" s="1"/>
      <c r="B25" s="30"/>
      <c r="C25" s="38" t="str">
        <f>+C19</f>
        <v>Granzas</v>
      </c>
      <c r="D25" s="39"/>
      <c r="E25" s="45"/>
      <c r="F25" s="45"/>
      <c r="G25" s="31"/>
      <c r="H25" s="46">
        <f>+D23+D34+D35</f>
        <v>39972.969110000005</v>
      </c>
      <c r="I25" s="1"/>
      <c r="J25" s="15"/>
      <c r="K25" s="15">
        <f>+D23+D34+D35</f>
        <v>39972.969110000005</v>
      </c>
      <c r="L25" s="1"/>
      <c r="M25" s="33">
        <v>44669</v>
      </c>
      <c r="N25" s="34">
        <v>48.36</v>
      </c>
      <c r="O25" s="34">
        <v>25.32</v>
      </c>
      <c r="P25" s="34">
        <v>26.31</v>
      </c>
      <c r="Q25" s="34"/>
      <c r="R25" s="34"/>
      <c r="S25" s="34"/>
      <c r="T25" s="34"/>
      <c r="U25" s="34"/>
      <c r="V25" s="1"/>
      <c r="W25" s="1"/>
      <c r="X25" s="1"/>
      <c r="Y25" s="1"/>
      <c r="Z25" s="1"/>
      <c r="AA25" s="1"/>
      <c r="AB25" s="1"/>
    </row>
    <row r="26" spans="1:28" ht="15.75" customHeight="1" x14ac:dyDescent="0.2">
      <c r="A26" s="1"/>
      <c r="B26" s="30"/>
      <c r="C26" s="38" t="s">
        <v>49</v>
      </c>
      <c r="D26" s="39"/>
      <c r="E26" s="45"/>
      <c r="F26" s="45"/>
      <c r="G26" s="31"/>
      <c r="H26" s="15">
        <f>+D43+D44+D45</f>
        <v>40962.370000000003</v>
      </c>
      <c r="I26" s="1"/>
      <c r="J26" s="1"/>
      <c r="K26" s="15">
        <f>+D43+D44+D45</f>
        <v>40962.370000000003</v>
      </c>
      <c r="L26" s="1"/>
      <c r="M26" s="33">
        <v>44671</v>
      </c>
      <c r="N26" s="34">
        <v>48.112824867806303</v>
      </c>
      <c r="O26" s="34">
        <v>25.194419254709</v>
      </c>
      <c r="P26" s="34">
        <v>26.6927558774847</v>
      </c>
      <c r="Q26" s="34">
        <v>29.715602350719799</v>
      </c>
      <c r="R26" s="34">
        <v>16.8505727757932</v>
      </c>
      <c r="S26" s="34">
        <v>19.0939891823874</v>
      </c>
      <c r="T26" s="34">
        <v>34.339835691098102</v>
      </c>
      <c r="U26" s="34"/>
      <c r="V26" s="1"/>
      <c r="W26" s="1"/>
      <c r="X26" s="1"/>
      <c r="Y26" s="1"/>
      <c r="Z26" s="1"/>
      <c r="AA26" s="1"/>
      <c r="AB26" s="1"/>
    </row>
    <row r="27" spans="1:28" ht="15.75" customHeight="1" x14ac:dyDescent="0.2">
      <c r="A27" s="1"/>
      <c r="B27" s="30"/>
      <c r="C27" s="38" t="s">
        <v>65</v>
      </c>
      <c r="D27" s="39"/>
      <c r="E27" s="45"/>
      <c r="F27" s="45"/>
      <c r="G27" s="31"/>
      <c r="H27" s="15">
        <f>+H26-H25</f>
        <v>989.40088999999716</v>
      </c>
      <c r="I27" s="1"/>
      <c r="J27" s="1"/>
      <c r="K27" s="15">
        <f>+K25-K26</f>
        <v>-989.40088999999716</v>
      </c>
      <c r="L27" s="1"/>
      <c r="M27" s="33">
        <v>44675</v>
      </c>
      <c r="N27" s="34">
        <v>48.171989182455903</v>
      </c>
      <c r="O27" s="34">
        <v>24.394485494376301</v>
      </c>
      <c r="P27" s="34">
        <v>27.4335253231678</v>
      </c>
      <c r="Q27" s="34">
        <v>24.503351381736401</v>
      </c>
      <c r="R27" s="34">
        <v>20.475598157245098</v>
      </c>
      <c r="S27" s="34">
        <v>19.970313401727601</v>
      </c>
      <c r="T27" s="34">
        <v>35.050737059444103</v>
      </c>
      <c r="U27" s="34"/>
      <c r="V27" s="1"/>
      <c r="W27" s="1"/>
      <c r="X27" s="1"/>
      <c r="Y27" s="1"/>
      <c r="Z27" s="1"/>
      <c r="AA27" s="1"/>
      <c r="AB27" s="1"/>
    </row>
    <row r="28" spans="1:28" ht="15.75" customHeight="1" x14ac:dyDescent="0.2">
      <c r="A28" s="1"/>
      <c r="B28" s="30"/>
      <c r="C28" s="38" t="str">
        <f>+C23</f>
        <v>Prec Mixto 2</v>
      </c>
      <c r="D28" s="39"/>
      <c r="E28" s="45"/>
      <c r="F28" s="45"/>
      <c r="G28" s="31"/>
      <c r="H28" s="1"/>
      <c r="I28" s="1"/>
      <c r="J28" s="1"/>
      <c r="K28" s="1"/>
      <c r="L28" s="1"/>
      <c r="M28" s="33">
        <v>44681</v>
      </c>
      <c r="N28" s="34">
        <v>48.719831704506198</v>
      </c>
      <c r="O28" s="34">
        <v>24.600454531790898</v>
      </c>
      <c r="P28" s="34">
        <v>26.6797137637029</v>
      </c>
      <c r="Q28" s="34">
        <v>24.283004591258699</v>
      </c>
      <c r="R28" s="34">
        <v>20.649736965871298</v>
      </c>
      <c r="S28" s="1"/>
      <c r="T28" s="34"/>
      <c r="U28" s="34">
        <v>55.067258442869999</v>
      </c>
      <c r="V28" s="1"/>
      <c r="W28" s="1"/>
      <c r="X28" s="1"/>
      <c r="Y28" s="1"/>
      <c r="Z28" s="1"/>
      <c r="AA28" s="1"/>
      <c r="AB28" s="1"/>
    </row>
    <row r="29" spans="1:28" ht="15.75" customHeight="1" x14ac:dyDescent="0.2">
      <c r="A29" s="1"/>
      <c r="B29" s="30"/>
      <c r="C29" s="280" t="s">
        <v>69</v>
      </c>
      <c r="D29" s="278"/>
      <c r="E29" s="278"/>
      <c r="F29" s="279"/>
      <c r="G29" s="31"/>
      <c r="H29" s="1"/>
      <c r="I29" s="1"/>
      <c r="J29" s="1"/>
      <c r="K29" s="1"/>
      <c r="L29" s="1"/>
      <c r="M29" s="1"/>
      <c r="N29" s="34"/>
      <c r="O29" s="34"/>
      <c r="P29" s="34"/>
      <c r="Q29" s="34"/>
      <c r="R29" s="34"/>
      <c r="S29" s="34"/>
      <c r="T29" s="34"/>
      <c r="U29" s="34"/>
      <c r="V29" s="1"/>
      <c r="W29" s="1"/>
      <c r="X29" s="1"/>
      <c r="Y29" s="1"/>
      <c r="Z29" s="1"/>
      <c r="AA29" s="1"/>
      <c r="AB29" s="1"/>
    </row>
    <row r="30" spans="1:28" ht="15.75" customHeight="1" x14ac:dyDescent="0.2">
      <c r="A30" s="1"/>
      <c r="B30" s="30"/>
      <c r="C30" s="38" t="s">
        <v>70</v>
      </c>
      <c r="D30" s="39"/>
      <c r="E30" s="45"/>
      <c r="F30" s="45"/>
      <c r="G30" s="31"/>
      <c r="H30" s="1"/>
      <c r="I30" s="1"/>
      <c r="J30" s="1"/>
      <c r="K30" s="1"/>
      <c r="L30" s="1"/>
      <c r="M30" s="1"/>
      <c r="N30" s="34"/>
      <c r="O30" s="34"/>
      <c r="P30" s="34"/>
      <c r="Q30" s="34"/>
      <c r="R30" s="34"/>
      <c r="S30" s="34"/>
      <c r="T30" s="34"/>
      <c r="U30" s="34"/>
      <c r="V30" s="1"/>
      <c r="W30" s="1"/>
      <c r="X30" s="1"/>
      <c r="Y30" s="1"/>
      <c r="Z30" s="1"/>
      <c r="AA30" s="1"/>
      <c r="AB30" s="1"/>
    </row>
    <row r="31" spans="1:28" ht="15.75" customHeight="1" x14ac:dyDescent="0.2">
      <c r="A31" s="1"/>
      <c r="B31" s="30"/>
      <c r="C31" s="38" t="s">
        <v>49</v>
      </c>
      <c r="D31" s="39"/>
      <c r="E31" s="45"/>
      <c r="F31" s="45"/>
      <c r="G31" s="31"/>
      <c r="H31" s="1"/>
      <c r="I31" s="1"/>
      <c r="J31" s="1"/>
      <c r="K31" s="1"/>
      <c r="L31" s="1"/>
      <c r="M31" s="1"/>
      <c r="N31" s="34"/>
      <c r="O31" s="34"/>
      <c r="P31" s="34"/>
      <c r="Q31" s="34"/>
      <c r="R31" s="34"/>
      <c r="S31" s="34"/>
      <c r="T31" s="34"/>
      <c r="U31" s="34"/>
      <c r="V31" s="1"/>
      <c r="W31" s="1"/>
      <c r="X31" s="1"/>
      <c r="Y31" s="1"/>
      <c r="Z31" s="1"/>
      <c r="AA31" s="1"/>
      <c r="AB31" s="1"/>
    </row>
    <row r="32" spans="1:28" ht="15.75" customHeight="1" x14ac:dyDescent="0.2">
      <c r="A32" s="1"/>
      <c r="B32" s="30"/>
      <c r="C32" s="38" t="s">
        <v>47</v>
      </c>
      <c r="D32" s="39"/>
      <c r="E32" s="45"/>
      <c r="F32" s="45"/>
      <c r="G32" s="31"/>
      <c r="H32" s="1"/>
      <c r="I32" s="1"/>
      <c r="J32" s="1"/>
      <c r="K32" s="1"/>
      <c r="L32" s="1"/>
      <c r="M32" s="1"/>
      <c r="N32" s="34"/>
      <c r="O32" s="34"/>
      <c r="P32" s="34"/>
      <c r="Q32" s="34"/>
      <c r="R32" s="34"/>
      <c r="S32" s="34"/>
      <c r="T32" s="34"/>
      <c r="U32" s="34"/>
      <c r="V32" s="1"/>
      <c r="W32" s="1"/>
      <c r="X32" s="1"/>
      <c r="Y32" s="1"/>
      <c r="Z32" s="1"/>
      <c r="AA32" s="1"/>
      <c r="AB32" s="1"/>
    </row>
    <row r="33" spans="1:28" ht="15.75" customHeight="1" x14ac:dyDescent="0.2">
      <c r="A33" s="1"/>
      <c r="B33" s="30"/>
      <c r="C33" s="277" t="s">
        <v>200</v>
      </c>
      <c r="D33" s="278"/>
      <c r="E33" s="278"/>
      <c r="F33" s="279"/>
      <c r="G33" s="31"/>
      <c r="H33" s="1" t="s">
        <v>63</v>
      </c>
      <c r="I33" s="1"/>
      <c r="J33" s="1"/>
      <c r="K33" s="1"/>
      <c r="L33" s="1"/>
      <c r="M33" s="33">
        <v>44690</v>
      </c>
      <c r="N33" s="34">
        <v>44.899464237158597</v>
      </c>
      <c r="O33" s="34">
        <v>21.855867730827001</v>
      </c>
      <c r="P33" s="34">
        <v>33.244668032014303</v>
      </c>
      <c r="Q33" s="34"/>
      <c r="R33" s="34"/>
      <c r="S33" s="34"/>
      <c r="T33" s="34"/>
      <c r="U33" s="34"/>
      <c r="V33" s="1"/>
      <c r="W33" s="1"/>
      <c r="X33" s="1"/>
      <c r="Y33" s="1"/>
      <c r="Z33" s="1"/>
      <c r="AA33" s="1"/>
      <c r="AB33" s="1"/>
    </row>
    <row r="34" spans="1:28" ht="15.75" customHeight="1" x14ac:dyDescent="0.2">
      <c r="A34" s="1"/>
      <c r="B34" s="30"/>
      <c r="C34" s="38" t="str">
        <f>+C30</f>
        <v>Prec. Granzas</v>
      </c>
      <c r="D34" s="39">
        <f>+'Bal ML FeT'!J23</f>
        <v>28977.250949000001</v>
      </c>
      <c r="E34" s="40">
        <f>+'Bal ML FeT'!K23</f>
        <v>0.44839042526</v>
      </c>
      <c r="F34" s="40">
        <f>+'Bal ML FeMag'!K23</f>
        <v>0.40946417496999998</v>
      </c>
      <c r="G34" s="31"/>
      <c r="H34" s="1">
        <f t="shared" ref="H34:H36" si="3">+D34/$D$11*100</f>
        <v>57.939473431073395</v>
      </c>
      <c r="I34" s="15">
        <f t="shared" ref="I34:I36" si="4">+E34*H34/$E$11</f>
        <v>63.197678338438216</v>
      </c>
      <c r="J34" s="1"/>
      <c r="K34" s="1"/>
      <c r="L34" s="1"/>
      <c r="M34" s="33">
        <v>44692</v>
      </c>
      <c r="N34" s="34">
        <v>46.640092870449003</v>
      </c>
      <c r="O34" s="34">
        <v>22.4474905793018</v>
      </c>
      <c r="P34" s="34">
        <v>30.912416550249102</v>
      </c>
      <c r="Q34" s="34"/>
      <c r="R34" s="34"/>
      <c r="S34" s="34"/>
      <c r="T34" s="34"/>
      <c r="U34" s="34"/>
      <c r="V34" s="1"/>
      <c r="W34" s="1"/>
      <c r="X34" s="1"/>
      <c r="Y34" s="1"/>
      <c r="Z34" s="1"/>
      <c r="AA34" s="1"/>
      <c r="AB34" s="1"/>
    </row>
    <row r="35" spans="1:28" ht="15.75" customHeight="1" x14ac:dyDescent="0.2">
      <c r="A35" s="1"/>
      <c r="B35" s="30"/>
      <c r="C35" s="38" t="s">
        <v>71</v>
      </c>
      <c r="D35" s="39">
        <f>+'Bal ML FeT'!J26</f>
        <v>10995.718161000001</v>
      </c>
      <c r="E35" s="40">
        <f>+'Bal ML FeT'!K26</f>
        <v>0.48052470984000001</v>
      </c>
      <c r="F35" s="40">
        <f>+'Bal ML FeMag'!K26</f>
        <v>0.42794433431000001</v>
      </c>
      <c r="G35" s="31"/>
      <c r="H35" s="1">
        <f t="shared" si="3"/>
        <v>21.985733614486175</v>
      </c>
      <c r="I35" s="15">
        <f t="shared" si="4"/>
        <v>25.699633899632371</v>
      </c>
      <c r="J35" s="1"/>
      <c r="K35" s="1"/>
      <c r="L35" s="1"/>
      <c r="M35" s="33">
        <v>44696</v>
      </c>
      <c r="N35" s="34">
        <v>50.487428837127602</v>
      </c>
      <c r="O35" s="34">
        <v>25.420469946560399</v>
      </c>
      <c r="P35" s="34">
        <v>24.092101216311999</v>
      </c>
      <c r="Q35" s="34"/>
      <c r="R35" s="34"/>
      <c r="S35" s="34"/>
      <c r="T35" s="34"/>
      <c r="U35" s="34"/>
      <c r="V35" s="1"/>
      <c r="W35" s="1"/>
      <c r="X35" s="1"/>
      <c r="Y35" s="1"/>
      <c r="Z35" s="1"/>
      <c r="AA35" s="1"/>
      <c r="AB35" s="1"/>
    </row>
    <row r="36" spans="1:28" ht="15.75" customHeight="1" x14ac:dyDescent="0.2">
      <c r="A36" s="1"/>
      <c r="B36" s="30"/>
      <c r="C36" s="38" t="s">
        <v>47</v>
      </c>
      <c r="D36" s="39">
        <f>+'Bal ML FeT'!J29</f>
        <v>10040</v>
      </c>
      <c r="E36" s="40">
        <f>+'Bal ML FeT'!K29</f>
        <v>0.22735620000000001</v>
      </c>
      <c r="F36" s="40">
        <f>+'Bal ML FeMag'!K29</f>
        <v>0.17856691416000001</v>
      </c>
      <c r="G36" s="31"/>
      <c r="H36" s="1">
        <f t="shared" si="3"/>
        <v>20.074792956439907</v>
      </c>
      <c r="I36" s="15">
        <f t="shared" si="4"/>
        <v>11.102687767905872</v>
      </c>
      <c r="J36" s="1"/>
      <c r="K36" s="1"/>
      <c r="L36" s="1"/>
      <c r="M36" s="33">
        <v>44712</v>
      </c>
      <c r="N36" s="34">
        <v>45.901815259599402</v>
      </c>
      <c r="O36" s="34">
        <v>22.233155757739102</v>
      </c>
      <c r="P36" s="34">
        <v>31.8650289826614</v>
      </c>
      <c r="Q36" s="34">
        <v>20.828047696343599</v>
      </c>
      <c r="R36" s="34">
        <v>19.171440066485602</v>
      </c>
      <c r="S36" s="34">
        <v>28.103542694633902</v>
      </c>
      <c r="T36" s="34">
        <v>31.896969542537001</v>
      </c>
      <c r="U36" s="34"/>
      <c r="V36" s="1"/>
      <c r="W36" s="1"/>
      <c r="X36" s="1"/>
      <c r="Y36" s="1"/>
      <c r="Z36" s="1"/>
      <c r="AA36" s="1"/>
      <c r="AB36" s="1"/>
    </row>
    <row r="37" spans="1:28" ht="15.75" hidden="1" customHeight="1" x14ac:dyDescent="0.2">
      <c r="A37" s="1"/>
      <c r="B37" s="30"/>
      <c r="C37" s="280" t="s">
        <v>72</v>
      </c>
      <c r="D37" s="278"/>
      <c r="E37" s="278"/>
      <c r="F37" s="279"/>
      <c r="G37" s="31"/>
      <c r="H37" s="26" t="s">
        <v>73</v>
      </c>
      <c r="I37" s="47" t="s">
        <v>74</v>
      </c>
      <c r="J37" s="48" t="s">
        <v>75</v>
      </c>
      <c r="K37" s="1"/>
      <c r="L37" s="1"/>
      <c r="M37" s="33">
        <v>44725</v>
      </c>
      <c r="N37" s="34">
        <v>56.202944073361103</v>
      </c>
      <c r="O37" s="34">
        <v>24.491211128444299</v>
      </c>
      <c r="P37" s="34">
        <v>19.305844798194599</v>
      </c>
      <c r="Q37" s="34">
        <v>23.2024226049747</v>
      </c>
      <c r="R37" s="34">
        <v>20.104294645468599</v>
      </c>
      <c r="S37" s="34">
        <v>39.2866930167799</v>
      </c>
      <c r="T37" s="34">
        <v>17.406589732776698</v>
      </c>
      <c r="U37" s="34"/>
      <c r="V37" s="1"/>
      <c r="W37" s="1"/>
      <c r="X37" s="1"/>
      <c r="Y37" s="1"/>
      <c r="Z37" s="1"/>
      <c r="AA37" s="1"/>
      <c r="AB37" s="1"/>
    </row>
    <row r="38" spans="1:28" ht="15.75" hidden="1" customHeight="1" x14ac:dyDescent="0.2">
      <c r="A38" s="1"/>
      <c r="B38" s="30"/>
      <c r="C38" s="38" t="str">
        <f t="shared" ref="C38:C40" si="5">+C34</f>
        <v>Prec. Granzas</v>
      </c>
      <c r="D38" s="39"/>
      <c r="E38" s="45"/>
      <c r="F38" s="45"/>
      <c r="G38" s="31"/>
      <c r="H38" s="49">
        <f>+D19+D20+D23+D34+D35</f>
        <v>39972.969110000005</v>
      </c>
      <c r="I38" s="50">
        <f>+(D19*E19+D20*E20+D23*E23+D34*E34+D35*E35)/H38*100</f>
        <v>45.722988713671747</v>
      </c>
      <c r="J38" s="51">
        <f>+(D19*F19+D20*F20+D23*F23+D34*F34+D35*F35)/H38*100</f>
        <v>41.454767585065326</v>
      </c>
      <c r="K38" s="1"/>
      <c r="L38" s="1"/>
      <c r="M38" s="33">
        <v>44731</v>
      </c>
      <c r="N38" s="34">
        <v>54.583475517839503</v>
      </c>
      <c r="O38" s="34">
        <v>24.686504836078299</v>
      </c>
      <c r="P38" s="34">
        <v>20.730019646082201</v>
      </c>
      <c r="Q38" s="34">
        <v>28.956057554603898</v>
      </c>
      <c r="R38" s="34">
        <v>21.041734217209299</v>
      </c>
      <c r="S38" s="34">
        <v>29.119544357890501</v>
      </c>
      <c r="T38" s="34">
        <v>20.882663870296302</v>
      </c>
      <c r="U38" s="34"/>
      <c r="V38" s="1"/>
      <c r="W38" s="1"/>
      <c r="X38" s="1"/>
      <c r="Y38" s="1"/>
      <c r="Z38" s="1"/>
      <c r="AA38" s="1"/>
      <c r="AB38" s="1"/>
    </row>
    <row r="39" spans="1:28" ht="15.75" hidden="1" customHeight="1" x14ac:dyDescent="0.2">
      <c r="A39" s="1"/>
      <c r="B39" s="30"/>
      <c r="C39" s="38" t="str">
        <f t="shared" si="5"/>
        <v>Pre. Finos</v>
      </c>
      <c r="D39" s="39"/>
      <c r="E39" s="45"/>
      <c r="F39" s="45"/>
      <c r="G39" s="31"/>
      <c r="H39" s="52" t="s">
        <v>76</v>
      </c>
      <c r="I39" s="47" t="s">
        <v>74</v>
      </c>
      <c r="J39" s="48" t="s">
        <v>75</v>
      </c>
      <c r="K39" s="1"/>
      <c r="L39" s="1"/>
      <c r="M39" s="33">
        <v>44742</v>
      </c>
      <c r="N39" s="34">
        <v>47.863399193392503</v>
      </c>
      <c r="O39" s="34">
        <v>23.5810326900002</v>
      </c>
      <c r="P39" s="34">
        <v>28.555568116607301</v>
      </c>
      <c r="Q39" s="34">
        <v>31.811195526012298</v>
      </c>
      <c r="R39" s="34">
        <v>21.278001336779699</v>
      </c>
      <c r="S39" s="34">
        <v>23.9945820434436</v>
      </c>
      <c r="T39" s="34">
        <v>22.916221093765898</v>
      </c>
      <c r="U39" s="1"/>
      <c r="V39" s="1"/>
      <c r="W39" s="1" t="s">
        <v>44</v>
      </c>
      <c r="X39" s="1" t="s">
        <v>77</v>
      </c>
      <c r="Y39" s="1"/>
      <c r="Z39" s="1"/>
      <c r="AA39" s="1"/>
      <c r="AB39" s="1"/>
    </row>
    <row r="40" spans="1:28" ht="15.75" hidden="1" customHeight="1" x14ac:dyDescent="0.2">
      <c r="A40" s="1"/>
      <c r="B40" s="30"/>
      <c r="C40" s="38" t="str">
        <f t="shared" si="5"/>
        <v>Rechazo</v>
      </c>
      <c r="D40" s="39"/>
      <c r="E40" s="45"/>
      <c r="F40" s="45"/>
      <c r="G40" s="31"/>
      <c r="H40" s="49">
        <f>+D22+D36</f>
        <v>10040</v>
      </c>
      <c r="I40" s="53">
        <f>(D22*E22+D36*E36)/H40</f>
        <v>0.22735620000000004</v>
      </c>
      <c r="J40" s="54">
        <f>+(D22*F22+D36*F36)/H40</f>
        <v>0.17856691416000001</v>
      </c>
      <c r="K40" s="1"/>
      <c r="L40" s="1"/>
      <c r="M40" s="33">
        <v>44753</v>
      </c>
      <c r="N40" s="55">
        <v>48.823627076341999</v>
      </c>
      <c r="O40" s="55">
        <v>23.802861417600202</v>
      </c>
      <c r="P40" s="55">
        <v>27.373511506057799</v>
      </c>
      <c r="Q40" s="1"/>
      <c r="R40" s="1"/>
      <c r="S40" s="1"/>
      <c r="T40" s="1"/>
      <c r="U40" s="1"/>
      <c r="V40" s="1"/>
      <c r="W40" s="33">
        <v>44725</v>
      </c>
      <c r="X40" s="34">
        <v>23.2024226049747</v>
      </c>
      <c r="Y40" s="1"/>
      <c r="Z40" s="1"/>
      <c r="AA40" s="1"/>
      <c r="AB40" s="1"/>
    </row>
    <row r="41" spans="1:28" ht="7.5" customHeight="1" x14ac:dyDescent="0.2">
      <c r="A41" s="1"/>
      <c r="B41" s="30"/>
      <c r="C41" s="41"/>
      <c r="D41" s="42"/>
      <c r="E41" s="43"/>
      <c r="F41" s="43"/>
      <c r="G41" s="3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33">
        <v>44731</v>
      </c>
      <c r="X41" s="34">
        <v>28.956057554603898</v>
      </c>
      <c r="Y41" s="1"/>
      <c r="Z41" s="1"/>
      <c r="AA41" s="1"/>
      <c r="AB41" s="1"/>
    </row>
    <row r="42" spans="1:28" ht="15.75" customHeight="1" x14ac:dyDescent="0.2">
      <c r="A42" s="1"/>
      <c r="B42" s="30"/>
      <c r="C42" s="281" t="s">
        <v>78</v>
      </c>
      <c r="D42" s="278"/>
      <c r="E42" s="278"/>
      <c r="F42" s="279"/>
      <c r="G42" s="31"/>
      <c r="H42" s="15"/>
      <c r="I42" s="1"/>
      <c r="J42" s="1"/>
      <c r="K42" s="1"/>
      <c r="L42" s="1"/>
      <c r="M42" s="33">
        <v>44755</v>
      </c>
      <c r="N42" s="55"/>
      <c r="O42" s="55"/>
      <c r="P42" s="55"/>
      <c r="Q42" s="55">
        <v>33.090909090909101</v>
      </c>
      <c r="R42" s="55">
        <v>25.892045454545499</v>
      </c>
      <c r="S42" s="55">
        <v>18.171681028372401</v>
      </c>
      <c r="T42" s="55">
        <v>22.845364426173099</v>
      </c>
      <c r="U42" s="1"/>
      <c r="V42" s="1"/>
      <c r="W42" s="33">
        <v>44742</v>
      </c>
      <c r="X42" s="34">
        <v>31.811195526012298</v>
      </c>
      <c r="Y42" s="1"/>
      <c r="Z42" s="1"/>
      <c r="AA42" s="1"/>
      <c r="AB42" s="1"/>
    </row>
    <row r="43" spans="1:28" ht="15.75" customHeight="1" x14ac:dyDescent="0.2">
      <c r="A43" s="1"/>
      <c r="B43" s="30"/>
      <c r="C43" s="38" t="s">
        <v>79</v>
      </c>
      <c r="D43" s="39">
        <f>+'Bal ML FeT'!J25</f>
        <v>27597.13</v>
      </c>
      <c r="E43" s="40">
        <f>+'Bal ML FeT'!K25</f>
        <v>0.44752731015999997</v>
      </c>
      <c r="F43" s="40">
        <f>+'Bal ML FeMag'!K25</f>
        <v>0.40859499999999999</v>
      </c>
      <c r="G43" s="31"/>
      <c r="H43" s="15"/>
      <c r="I43" s="1"/>
      <c r="J43" s="1"/>
      <c r="K43" s="1"/>
      <c r="L43" s="1"/>
      <c r="M43" s="33">
        <v>44773</v>
      </c>
      <c r="N43" s="55">
        <v>62.561747486232697</v>
      </c>
      <c r="O43" s="55">
        <v>25.462690705596401</v>
      </c>
      <c r="P43" s="55">
        <v>11.975561808170999</v>
      </c>
      <c r="Q43" s="55">
        <v>29.311530250289199</v>
      </c>
      <c r="R43" s="55">
        <v>21.7531583793617</v>
      </c>
      <c r="S43" s="55">
        <v>31.0014346412487</v>
      </c>
      <c r="T43" s="55">
        <v>17.933876729127199</v>
      </c>
      <c r="U43" s="1"/>
      <c r="V43" s="1"/>
      <c r="W43" s="33">
        <v>44755</v>
      </c>
      <c r="X43" s="1">
        <v>33.090909090909101</v>
      </c>
      <c r="Y43" s="1"/>
      <c r="Z43" s="1"/>
      <c r="AA43" s="1"/>
      <c r="AB43" s="1"/>
    </row>
    <row r="44" spans="1:28" ht="15.75" customHeight="1" x14ac:dyDescent="0.2">
      <c r="A44" s="1"/>
      <c r="B44" s="30"/>
      <c r="C44" s="38" t="s">
        <v>80</v>
      </c>
      <c r="D44" s="39">
        <f>+'Bal ML FeT'!J28</f>
        <v>11366.66</v>
      </c>
      <c r="E44" s="40">
        <f>+'Bal ML FeT'!K28</f>
        <v>0.48080364181000002</v>
      </c>
      <c r="F44" s="40">
        <f>+'Bal ML FeMag'!K28</f>
        <v>0.42857832819000002</v>
      </c>
      <c r="G44" s="31"/>
      <c r="H44" s="1"/>
      <c r="I44" s="1"/>
      <c r="J44" s="15"/>
      <c r="K44" s="15"/>
      <c r="L44" s="1"/>
      <c r="M44" s="33">
        <v>44781</v>
      </c>
      <c r="N44" s="55">
        <v>58.241579747493603</v>
      </c>
      <c r="O44" s="55">
        <v>22.0130433800886</v>
      </c>
      <c r="P44" s="55">
        <v>19.7453768724179</v>
      </c>
      <c r="Q44" s="55"/>
      <c r="R44" s="55"/>
      <c r="S44" s="55"/>
      <c r="T44" s="55"/>
      <c r="U44" s="1"/>
      <c r="V44" s="1"/>
      <c r="W44" s="33">
        <v>44773</v>
      </c>
      <c r="X44" s="1">
        <v>29.311530250289199</v>
      </c>
      <c r="Y44" s="1"/>
      <c r="Z44" s="1"/>
      <c r="AA44" s="1"/>
      <c r="AB44" s="1"/>
    </row>
    <row r="45" spans="1:28" ht="15.75" customHeight="1" x14ac:dyDescent="0.2">
      <c r="A45" s="1"/>
      <c r="B45" s="30"/>
      <c r="C45" s="38" t="s">
        <v>81</v>
      </c>
      <c r="D45" s="39">
        <v>1998.58</v>
      </c>
      <c r="E45" s="40">
        <v>0.49</v>
      </c>
      <c r="F45" s="40">
        <v>0.45590000000000003</v>
      </c>
      <c r="G45" s="31"/>
      <c r="H45" s="15"/>
      <c r="I45" s="1"/>
      <c r="J45" s="15"/>
      <c r="K45" s="15"/>
      <c r="L45" s="1"/>
      <c r="M45" s="33">
        <v>44789</v>
      </c>
      <c r="N45" s="55">
        <v>56.753881655541797</v>
      </c>
      <c r="O45" s="55">
        <v>23.689882919757999</v>
      </c>
      <c r="P45" s="55">
        <v>19.556235424700201</v>
      </c>
      <c r="Q45" s="55">
        <v>36.897265505739803</v>
      </c>
      <c r="R45" s="55">
        <v>22.6992497530996</v>
      </c>
      <c r="S45" s="55">
        <v>13.157234010179801</v>
      </c>
      <c r="T45" s="55">
        <v>27.246250730981501</v>
      </c>
      <c r="U45" s="1"/>
      <c r="V45" s="1"/>
      <c r="W45" s="33">
        <v>44789</v>
      </c>
      <c r="X45" s="1">
        <v>36.897265505739803</v>
      </c>
      <c r="Y45" s="1"/>
      <c r="Z45" s="1"/>
      <c r="AA45" s="1"/>
      <c r="AB45" s="1"/>
    </row>
    <row r="46" spans="1:28" ht="15.75" customHeight="1" x14ac:dyDescent="0.2">
      <c r="A46" s="1"/>
      <c r="B46" s="30"/>
      <c r="C46" s="38" t="s">
        <v>82</v>
      </c>
      <c r="D46" s="39"/>
      <c r="E46" s="40"/>
      <c r="F46" s="40"/>
      <c r="G46" s="31"/>
      <c r="H46" s="1"/>
      <c r="I46" s="1"/>
      <c r="J46" s="15"/>
      <c r="K46" s="1"/>
      <c r="L46" s="1"/>
      <c r="M46" s="1"/>
      <c r="N46" s="55"/>
      <c r="O46" s="55"/>
      <c r="P46" s="55"/>
      <c r="Q46" s="55"/>
      <c r="R46" s="55"/>
      <c r="S46" s="55"/>
      <c r="T46" s="55"/>
      <c r="U46" s="1"/>
      <c r="V46" s="1"/>
      <c r="W46" s="1"/>
      <c r="X46" s="1"/>
      <c r="Y46" s="1"/>
      <c r="Z46" s="1"/>
      <c r="AA46" s="1"/>
      <c r="AB46" s="1"/>
    </row>
    <row r="47" spans="1:28" ht="15.75" customHeight="1" x14ac:dyDescent="0.2">
      <c r="A47" s="1"/>
      <c r="B47" s="30"/>
      <c r="C47" s="38" t="s">
        <v>83</v>
      </c>
      <c r="D47" s="39">
        <f>+'Bal AL FeT'!J32</f>
        <v>0</v>
      </c>
      <c r="E47" s="40">
        <f>+'Bal AL FeT'!K32</f>
        <v>0</v>
      </c>
      <c r="F47" s="40">
        <f>+'Bal AL FeMag'!K32</f>
        <v>0</v>
      </c>
      <c r="G47" s="31"/>
      <c r="H47" s="56">
        <f t="shared" ref="H47:H48" si="6">+D19-D47</f>
        <v>0</v>
      </c>
      <c r="I47" s="1"/>
      <c r="J47" s="1"/>
      <c r="K47" s="1"/>
      <c r="L47" s="1"/>
      <c r="M47" s="33">
        <v>44795</v>
      </c>
      <c r="N47" s="55"/>
      <c r="O47" s="55"/>
      <c r="P47" s="55"/>
      <c r="Q47" s="55">
        <v>32.239297525750501</v>
      </c>
      <c r="R47" s="55">
        <v>21.597812987342198</v>
      </c>
      <c r="S47" s="55">
        <v>13.7034365390438</v>
      </c>
      <c r="T47" s="55">
        <v>32.459452947864399</v>
      </c>
      <c r="U47" s="1"/>
      <c r="V47" s="1"/>
      <c r="W47" s="1"/>
      <c r="X47" s="1"/>
      <c r="Y47" s="1"/>
      <c r="Z47" s="1"/>
      <c r="AA47" s="1"/>
      <c r="AB47" s="1"/>
    </row>
    <row r="48" spans="1:28" ht="15.75" customHeight="1" x14ac:dyDescent="0.2">
      <c r="A48" s="1"/>
      <c r="B48" s="30"/>
      <c r="C48" s="38" t="s">
        <v>84</v>
      </c>
      <c r="D48" s="39">
        <f>+'Bal AL FeT'!J36</f>
        <v>0</v>
      </c>
      <c r="E48" s="40">
        <f>+'Bal AL FeT'!K36</f>
        <v>0</v>
      </c>
      <c r="F48" s="40">
        <f>+'Bal AL FeMag'!K36</f>
        <v>0</v>
      </c>
      <c r="G48" s="31"/>
      <c r="H48" s="56">
        <f t="shared" si="6"/>
        <v>0</v>
      </c>
      <c r="I48" s="1"/>
      <c r="J48" s="1"/>
      <c r="K48" s="1"/>
      <c r="L48" s="1"/>
      <c r="M48" s="33">
        <v>44804</v>
      </c>
      <c r="N48" s="55">
        <v>52.056233099948102</v>
      </c>
      <c r="O48" s="55">
        <v>21.506125485550001</v>
      </c>
      <c r="P48" s="55">
        <v>26.437641414501901</v>
      </c>
      <c r="Q48" s="55">
        <v>30.795335284818599</v>
      </c>
      <c r="R48" s="55">
        <v>20.351867137406899</v>
      </c>
      <c r="S48" s="55">
        <v>19.4051274711689</v>
      </c>
      <c r="T48" s="55">
        <v>29.447670106606299</v>
      </c>
      <c r="U48" s="1"/>
      <c r="V48" s="1"/>
      <c r="W48" s="1"/>
      <c r="X48" s="1"/>
      <c r="Y48" s="1"/>
      <c r="Z48" s="1"/>
      <c r="AA48" s="1"/>
      <c r="AB48" s="1"/>
    </row>
    <row r="49" spans="1:28" ht="6" customHeight="1" x14ac:dyDescent="0.2">
      <c r="A49" s="1"/>
      <c r="B49" s="30"/>
      <c r="C49" s="41"/>
      <c r="D49" s="42"/>
      <c r="E49" s="57"/>
      <c r="F49" s="43"/>
      <c r="G49" s="31"/>
      <c r="H49" s="1"/>
      <c r="I49" s="1"/>
      <c r="J49" s="1"/>
      <c r="K49" s="1"/>
      <c r="L49" s="1"/>
      <c r="M49" s="1"/>
      <c r="N49" s="55"/>
      <c r="O49" s="55"/>
      <c r="P49" s="55"/>
      <c r="Q49" s="55"/>
      <c r="R49" s="55"/>
      <c r="S49" s="55"/>
      <c r="T49" s="55"/>
      <c r="U49" s="1"/>
      <c r="V49" s="1"/>
      <c r="W49" s="1"/>
      <c r="X49" s="1"/>
      <c r="Y49" s="1"/>
      <c r="Z49" s="1"/>
      <c r="AA49" s="1"/>
      <c r="AB49" s="1"/>
    </row>
    <row r="50" spans="1:28" ht="15.75" customHeight="1" x14ac:dyDescent="0.2">
      <c r="A50" s="1"/>
      <c r="B50" s="30"/>
      <c r="C50" s="281" t="s">
        <v>85</v>
      </c>
      <c r="D50" s="278"/>
      <c r="E50" s="278"/>
      <c r="F50" s="279"/>
      <c r="G50" s="31"/>
      <c r="H50" s="1"/>
      <c r="I50" s="1"/>
      <c r="J50" s="1"/>
      <c r="K50" s="1"/>
      <c r="L50" s="1"/>
      <c r="M50" s="33">
        <v>44810</v>
      </c>
      <c r="N50" s="55">
        <v>46.380945200220403</v>
      </c>
      <c r="O50" s="55">
        <v>23.886311709324701</v>
      </c>
      <c r="P50" s="55">
        <v>29.732743090454999</v>
      </c>
      <c r="Q50" s="55"/>
      <c r="R50" s="55"/>
      <c r="S50" s="55"/>
      <c r="T50" s="55"/>
      <c r="U50" s="1"/>
      <c r="V50" s="1"/>
      <c r="W50" s="1"/>
      <c r="X50" s="1"/>
      <c r="Y50" s="1"/>
      <c r="Z50" s="1"/>
      <c r="AA50" s="1"/>
      <c r="AB50" s="1"/>
    </row>
    <row r="51" spans="1:28" ht="15.75" customHeight="1" x14ac:dyDescent="0.2">
      <c r="A51" s="1"/>
      <c r="B51" s="30"/>
      <c r="C51" s="38" t="s">
        <v>86</v>
      </c>
      <c r="D51" s="39">
        <f>'Datos Extra'!B1</f>
        <v>0</v>
      </c>
      <c r="E51" s="40">
        <f>'Datos Extra'!C1</f>
        <v>0</v>
      </c>
      <c r="F51" s="40">
        <f>'Datos Extra'!D1</f>
        <v>0</v>
      </c>
      <c r="G51" s="31"/>
      <c r="H51" s="15"/>
      <c r="I51" s="1"/>
      <c r="J51" s="1"/>
      <c r="K51" s="1"/>
      <c r="L51" s="1"/>
      <c r="M51" s="33">
        <v>44823</v>
      </c>
      <c r="N51" s="55">
        <v>48.980428141243898</v>
      </c>
      <c r="O51" s="55">
        <v>26.328297139623601</v>
      </c>
      <c r="P51" s="55">
        <v>24.691274719132601</v>
      </c>
      <c r="Q51" s="55"/>
      <c r="R51" s="55"/>
      <c r="S51" s="55"/>
      <c r="T51" s="55"/>
      <c r="U51" s="1"/>
      <c r="V51" s="1"/>
      <c r="W51" s="1"/>
      <c r="X51" s="1"/>
      <c r="Y51" s="1"/>
      <c r="Z51" s="1"/>
      <c r="AA51" s="1"/>
      <c r="AB51" s="1"/>
    </row>
    <row r="52" spans="1:28" ht="15.75" customHeight="1" x14ac:dyDescent="0.2">
      <c r="A52" s="1"/>
      <c r="B52" s="30"/>
      <c r="C52" s="38" t="s">
        <v>87</v>
      </c>
      <c r="D52" s="39">
        <f>'Datos Extra'!B2</f>
        <v>0</v>
      </c>
      <c r="E52" s="40">
        <f>'Datos Extra'!C2</f>
        <v>0</v>
      </c>
      <c r="F52" s="40">
        <f>'Datos Extra'!D2</f>
        <v>0</v>
      </c>
      <c r="G52" s="31"/>
      <c r="H52" s="1"/>
      <c r="I52" s="1"/>
      <c r="J52" s="1"/>
      <c r="K52" s="1"/>
      <c r="L52" s="1"/>
      <c r="M52" s="33">
        <v>44829</v>
      </c>
      <c r="N52" s="55">
        <v>48.724888884392698</v>
      </c>
      <c r="O52" s="55">
        <v>26.312031384906501</v>
      </c>
      <c r="P52" s="55">
        <v>24.963079730700802</v>
      </c>
      <c r="Q52" s="55">
        <v>30.335485825220701</v>
      </c>
      <c r="R52" s="55">
        <v>20.915121984478599</v>
      </c>
      <c r="S52" s="55">
        <v>20.0090967316318</v>
      </c>
      <c r="T52" s="55">
        <v>28.740295458668399</v>
      </c>
      <c r="U52" s="1"/>
      <c r="V52" s="1"/>
      <c r="W52" s="1"/>
      <c r="X52" s="1"/>
      <c r="Y52" s="1"/>
      <c r="Z52" s="1"/>
      <c r="AA52" s="1"/>
      <c r="AB52" s="1"/>
    </row>
    <row r="53" spans="1:28" ht="15.75" customHeight="1" x14ac:dyDescent="0.2">
      <c r="A53" s="1"/>
      <c r="B53" s="30"/>
      <c r="C53" s="1"/>
      <c r="D53" s="58"/>
      <c r="E53" s="59"/>
      <c r="F53" s="59"/>
      <c r="G53" s="31"/>
      <c r="H53" s="1"/>
      <c r="I53" s="1"/>
      <c r="J53" s="1"/>
      <c r="K53" s="1"/>
      <c r="L53" s="1"/>
      <c r="M53" s="33">
        <v>44834</v>
      </c>
      <c r="N53" s="55">
        <v>48.765604052665601</v>
      </c>
      <c r="O53" s="55">
        <v>24.372185256327899</v>
      </c>
      <c r="P53" s="55">
        <v>26.862210691006499</v>
      </c>
      <c r="Q53" s="55">
        <v>27.254216363695001</v>
      </c>
      <c r="R53" s="55">
        <v>22.992879622148902</v>
      </c>
      <c r="S53" s="55">
        <v>11.8134630469767</v>
      </c>
      <c r="T53" s="55">
        <v>37.939440967180197</v>
      </c>
      <c r="U53" s="1"/>
      <c r="V53" s="1"/>
      <c r="W53" s="1"/>
      <c r="X53" s="1"/>
      <c r="Y53" s="1"/>
      <c r="Z53" s="1"/>
      <c r="AA53" s="1"/>
      <c r="AB53" s="1"/>
    </row>
    <row r="54" spans="1:28" ht="15.75" customHeight="1" x14ac:dyDescent="0.2">
      <c r="A54" s="1"/>
      <c r="B54" s="30"/>
      <c r="C54" s="282" t="s">
        <v>88</v>
      </c>
      <c r="D54" s="283"/>
      <c r="E54" s="283"/>
      <c r="F54" s="284"/>
      <c r="G54" s="31"/>
      <c r="H54" s="1"/>
      <c r="I54" s="1"/>
      <c r="J54" s="1"/>
      <c r="K54" s="1"/>
      <c r="L54" s="1"/>
      <c r="M54" s="33">
        <v>44846</v>
      </c>
      <c r="N54" s="55">
        <v>57.413628230462798</v>
      </c>
      <c r="O54" s="55">
        <v>20.735217744194198</v>
      </c>
      <c r="P54" s="55">
        <v>21.851154025343</v>
      </c>
      <c r="Q54" s="55">
        <v>41.815922440231397</v>
      </c>
      <c r="R54" s="55">
        <v>24.4295516091133</v>
      </c>
      <c r="S54" s="55">
        <v>3.6936490621524798</v>
      </c>
      <c r="T54" s="1">
        <v>30.0608768885274</v>
      </c>
      <c r="U54" s="1"/>
      <c r="V54" s="1"/>
      <c r="W54" s="1"/>
      <c r="X54" s="1"/>
      <c r="Y54" s="1"/>
      <c r="Z54" s="1"/>
      <c r="AA54" s="1"/>
      <c r="AB54" s="1"/>
    </row>
    <row r="55" spans="1:28" ht="15" customHeight="1" x14ac:dyDescent="0.2">
      <c r="A55" s="1"/>
      <c r="B55" s="30"/>
      <c r="C55" s="285" t="s">
        <v>89</v>
      </c>
      <c r="D55" s="286"/>
      <c r="E55" s="286"/>
      <c r="F55" s="287"/>
      <c r="G55" s="31"/>
      <c r="H55" s="1"/>
      <c r="I55" s="1"/>
      <c r="J55" s="1"/>
      <c r="K55" s="1"/>
      <c r="L55" s="1"/>
      <c r="M55" s="33">
        <v>44851</v>
      </c>
      <c r="N55" s="55">
        <v>54.667164328292003</v>
      </c>
      <c r="O55" s="55">
        <v>21.989040320303801</v>
      </c>
      <c r="P55" s="55">
        <v>23.3437953514042</v>
      </c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1:28" ht="15.75" customHeight="1" x14ac:dyDescent="0.2">
      <c r="A56" s="1"/>
      <c r="B56" s="30"/>
      <c r="C56" s="60"/>
      <c r="D56" s="25"/>
      <c r="E56" s="25"/>
      <c r="F56" s="61"/>
      <c r="G56" s="31"/>
      <c r="H56" s="1"/>
      <c r="I56" s="275"/>
      <c r="J56" s="276"/>
      <c r="K56" s="1"/>
      <c r="L56" s="1"/>
      <c r="M56" s="33">
        <v>44860</v>
      </c>
      <c r="N56" s="1"/>
      <c r="O56" s="1"/>
      <c r="P56" s="1"/>
      <c r="Q56" s="55">
        <v>35.5980166619538</v>
      </c>
      <c r="R56" s="55">
        <v>23.560473996263301</v>
      </c>
      <c r="S56" s="55">
        <v>5.0254420131225697</v>
      </c>
      <c r="T56" s="55">
        <v>35.816067328606799</v>
      </c>
      <c r="U56" s="1"/>
      <c r="V56" s="1"/>
      <c r="W56" s="1"/>
      <c r="X56" s="1"/>
      <c r="Y56" s="1"/>
      <c r="Z56" s="1"/>
      <c r="AA56" s="1"/>
      <c r="AB56" s="1"/>
    </row>
    <row r="57" spans="1:28" ht="15.75" customHeight="1" x14ac:dyDescent="0.2">
      <c r="A57" s="1"/>
      <c r="B57" s="30"/>
      <c r="C57" s="63" t="s">
        <v>90</v>
      </c>
      <c r="D57" s="64" t="s">
        <v>63</v>
      </c>
      <c r="E57" s="64" t="s">
        <v>64</v>
      </c>
      <c r="F57" s="61"/>
      <c r="G57" s="31"/>
      <c r="H57" s="1"/>
      <c r="I57" s="275"/>
      <c r="J57" s="276"/>
      <c r="K57" s="1"/>
      <c r="L57" s="1"/>
      <c r="M57" s="33">
        <v>44865</v>
      </c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1:28" ht="15.75" hidden="1" customHeight="1" x14ac:dyDescent="0.2">
      <c r="A58" s="1"/>
      <c r="B58" s="30"/>
      <c r="C58" s="65" t="str">
        <f t="shared" ref="C58:C59" si="7">+C19</f>
        <v>Granzas</v>
      </c>
      <c r="D58" s="66">
        <f t="shared" ref="D58:E58" si="8">IFERROR(H19, 0)</f>
        <v>0</v>
      </c>
      <c r="E58" s="66">
        <f t="shared" si="8"/>
        <v>0</v>
      </c>
      <c r="F58" s="61"/>
      <c r="G58" s="31"/>
      <c r="H58" s="1"/>
      <c r="I58" s="62"/>
      <c r="J58" s="62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1:28" ht="15.75" hidden="1" customHeight="1" x14ac:dyDescent="0.2">
      <c r="A59" s="1"/>
      <c r="B59" s="30"/>
      <c r="C59" s="65" t="str">
        <f t="shared" si="7"/>
        <v>Finos</v>
      </c>
      <c r="D59" s="66">
        <f t="shared" ref="D59:E59" si="9">IFERROR(H20, 0)</f>
        <v>0</v>
      </c>
      <c r="E59" s="66">
        <f t="shared" si="9"/>
        <v>0</v>
      </c>
      <c r="F59" s="61"/>
      <c r="G59" s="31"/>
      <c r="H59" s="1"/>
      <c r="I59" s="62"/>
      <c r="J59" s="62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1:28" ht="15.75" hidden="1" customHeight="1" x14ac:dyDescent="0.2">
      <c r="A60" s="1"/>
      <c r="B60" s="30"/>
      <c r="C60" s="65" t="str">
        <f t="shared" ref="C60:C61" si="10">+C22</f>
        <v>Prec Mixto 1</v>
      </c>
      <c r="D60" s="66">
        <f t="shared" ref="D60:E60" si="11">IFERROR(H22, 0)</f>
        <v>0</v>
      </c>
      <c r="E60" s="66">
        <f t="shared" si="11"/>
        <v>0</v>
      </c>
      <c r="F60" s="61"/>
      <c r="G60" s="31"/>
      <c r="H60" s="1"/>
      <c r="I60" s="62"/>
      <c r="J60" s="62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1:28" ht="15.75" hidden="1" customHeight="1" x14ac:dyDescent="0.2">
      <c r="A61" s="1"/>
      <c r="B61" s="30"/>
      <c r="C61" s="65" t="str">
        <f t="shared" si="10"/>
        <v>Prec Mixto 2</v>
      </c>
      <c r="D61" s="66">
        <f t="shared" ref="D61:E61" si="12">IFERROR(H23, 0)</f>
        <v>0</v>
      </c>
      <c r="E61" s="66">
        <f t="shared" si="12"/>
        <v>0</v>
      </c>
      <c r="F61" s="61"/>
      <c r="G61" s="31"/>
      <c r="H61" s="1"/>
      <c r="I61" s="62"/>
      <c r="J61" s="62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1:28" ht="15.75" customHeight="1" x14ac:dyDescent="0.2">
      <c r="A62" s="1"/>
      <c r="B62" s="30"/>
      <c r="C62" s="65" t="str">
        <f t="shared" ref="C62:C64" si="13">+C34</f>
        <v>Prec. Granzas</v>
      </c>
      <c r="D62" s="66">
        <f t="shared" ref="D62:E62" si="14">+H34</f>
        <v>57.939473431073395</v>
      </c>
      <c r="E62" s="66">
        <f t="shared" si="14"/>
        <v>63.197678338438216</v>
      </c>
      <c r="F62" s="61"/>
      <c r="G62" s="31"/>
      <c r="H62" s="1"/>
      <c r="I62" s="62"/>
      <c r="J62" s="62"/>
      <c r="K62" s="1"/>
      <c r="L62" s="1"/>
      <c r="M62" s="1"/>
      <c r="N62" s="1"/>
      <c r="O62" s="64" t="s">
        <v>91</v>
      </c>
      <c r="P62" s="64" t="s">
        <v>92</v>
      </c>
      <c r="Q62" s="64" t="s">
        <v>93</v>
      </c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1:28" ht="15.75" customHeight="1" x14ac:dyDescent="0.2">
      <c r="A63" s="1"/>
      <c r="B63" s="30"/>
      <c r="C63" s="65" t="str">
        <f t="shared" si="13"/>
        <v>Pre. Finos</v>
      </c>
      <c r="D63" s="66">
        <f t="shared" ref="D63:E63" si="15">+H35</f>
        <v>21.985733614486175</v>
      </c>
      <c r="E63" s="66">
        <f t="shared" si="15"/>
        <v>25.699633899632371</v>
      </c>
      <c r="F63" s="61"/>
      <c r="G63" s="31"/>
      <c r="H63" s="1"/>
      <c r="I63" s="62"/>
      <c r="J63" s="62"/>
      <c r="K63" s="1"/>
      <c r="L63" s="1"/>
      <c r="M63" s="1"/>
      <c r="N63" s="1"/>
      <c r="O63" s="67" t="s">
        <v>48</v>
      </c>
      <c r="P63" s="67">
        <v>25.3</v>
      </c>
      <c r="Q63" s="67">
        <v>30</v>
      </c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1:28" ht="15.75" customHeight="1" x14ac:dyDescent="0.2">
      <c r="A64" s="1"/>
      <c r="B64" s="30"/>
      <c r="C64" s="65" t="str">
        <f t="shared" si="13"/>
        <v>Rechazo</v>
      </c>
      <c r="D64" s="66">
        <f t="shared" ref="D64:E64" si="16">+H36</f>
        <v>20.074792956439907</v>
      </c>
      <c r="E64" s="66">
        <f t="shared" si="16"/>
        <v>11.102687767905872</v>
      </c>
      <c r="F64" s="61"/>
      <c r="G64" s="31"/>
      <c r="H64" s="1"/>
      <c r="I64" s="62"/>
      <c r="J64" s="62"/>
      <c r="K64" s="1"/>
      <c r="L64" s="1"/>
      <c r="M64" s="1"/>
      <c r="N64" s="1"/>
      <c r="O64" s="67" t="s">
        <v>49</v>
      </c>
      <c r="P64" s="67">
        <v>23.1</v>
      </c>
      <c r="Q64" s="67">
        <v>23</v>
      </c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1:28" ht="15.75" customHeight="1" x14ac:dyDescent="0.2">
      <c r="A65" s="1"/>
      <c r="B65" s="30"/>
      <c r="C65" s="60"/>
      <c r="D65" s="25"/>
      <c r="E65" s="25"/>
      <c r="F65" s="61"/>
      <c r="G65" s="31"/>
      <c r="H65" s="1"/>
      <c r="I65" s="62"/>
      <c r="J65" s="62"/>
      <c r="K65" s="1"/>
      <c r="L65" s="1"/>
      <c r="M65" s="1"/>
      <c r="N65" s="1"/>
      <c r="O65" s="67" t="s">
        <v>50</v>
      </c>
      <c r="P65" s="67">
        <v>14.2</v>
      </c>
      <c r="Q65" s="67">
        <f>100-Q63-Q64-Q66</f>
        <v>18</v>
      </c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1:28" ht="30.75" hidden="1" customHeight="1" x14ac:dyDescent="0.2">
      <c r="A66" s="1"/>
      <c r="B66" s="30"/>
      <c r="C66" s="288" t="s">
        <v>94</v>
      </c>
      <c r="D66" s="276"/>
      <c r="E66" s="276"/>
      <c r="F66" s="289"/>
      <c r="G66" s="31"/>
      <c r="H66" s="1"/>
      <c r="I66" s="62"/>
      <c r="J66" s="62"/>
      <c r="K66" s="1"/>
      <c r="L66" s="1"/>
      <c r="M66" s="1"/>
      <c r="N66" s="1"/>
      <c r="O66" s="67" t="s">
        <v>51</v>
      </c>
      <c r="P66" s="67">
        <v>37.4</v>
      </c>
      <c r="Q66" s="67">
        <v>29</v>
      </c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1:28" ht="12" customHeight="1" x14ac:dyDescent="0.2">
      <c r="A67" s="1"/>
      <c r="B67" s="30"/>
      <c r="C67" s="290"/>
      <c r="D67" s="291"/>
      <c r="E67" s="291"/>
      <c r="F67" s="292"/>
      <c r="G67" s="31"/>
      <c r="H67" s="1"/>
      <c r="I67" s="275"/>
      <c r="J67" s="276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1:28" ht="15.75" customHeight="1" x14ac:dyDescent="0.2">
      <c r="A68" s="1"/>
      <c r="B68" s="30"/>
      <c r="C68" s="1"/>
      <c r="D68" s="25"/>
      <c r="E68" s="25"/>
      <c r="F68" s="25"/>
      <c r="G68" s="3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1:28" ht="15.75" customHeight="1" x14ac:dyDescent="0.2">
      <c r="A69" s="1"/>
      <c r="B69" s="68"/>
      <c r="C69" s="50"/>
      <c r="D69" s="69"/>
      <c r="E69" s="69"/>
      <c r="F69" s="69"/>
      <c r="G69" s="5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1:28" ht="15.75" customHeight="1" x14ac:dyDescent="0.2">
      <c r="A70" s="1"/>
      <c r="B70" s="1"/>
      <c r="C70" s="1"/>
      <c r="D70" s="25"/>
      <c r="E70" s="25"/>
      <c r="F70" s="25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1:28" ht="15.75" customHeight="1" x14ac:dyDescent="0.2">
      <c r="A71" s="1"/>
      <c r="B71" s="1"/>
      <c r="C71" s="1" t="s">
        <v>95</v>
      </c>
      <c r="D71" s="25">
        <v>47087</v>
      </c>
      <c r="E71" s="25">
        <v>20539</v>
      </c>
      <c r="F71" s="25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1:28" ht="15.75" customHeight="1" x14ac:dyDescent="0.2">
      <c r="A72" s="1"/>
      <c r="B72" s="1"/>
      <c r="C72" s="1" t="s">
        <v>96</v>
      </c>
      <c r="D72" s="25">
        <v>74332</v>
      </c>
      <c r="E72" s="25">
        <v>57215</v>
      </c>
      <c r="F72" s="25">
        <v>59695</v>
      </c>
      <c r="G72" s="25">
        <v>118094</v>
      </c>
      <c r="H72" s="25">
        <v>21736</v>
      </c>
      <c r="I72" s="25">
        <v>38418</v>
      </c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1:28" ht="15.75" customHeight="1" x14ac:dyDescent="0.2">
      <c r="A73" s="1"/>
      <c r="B73" s="1"/>
      <c r="C73" s="1" t="s">
        <v>97</v>
      </c>
      <c r="D73" s="25" t="s">
        <v>98</v>
      </c>
      <c r="E73" s="25" t="s">
        <v>99</v>
      </c>
      <c r="F73" s="70">
        <v>44880</v>
      </c>
      <c r="G73" s="71">
        <v>44895</v>
      </c>
      <c r="H73" s="71">
        <v>44910</v>
      </c>
      <c r="I73" s="71">
        <v>44925</v>
      </c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1:28" ht="15.75" customHeight="1" x14ac:dyDescent="0.2">
      <c r="A74" s="1"/>
      <c r="B74" s="1"/>
      <c r="C74" s="1" t="s">
        <v>100</v>
      </c>
      <c r="D74" s="34">
        <f>12859/D71*100</f>
        <v>27.309023722046426</v>
      </c>
      <c r="E74" s="34">
        <f>5640/E71*100</f>
        <v>27.459954233409611</v>
      </c>
      <c r="F74" s="34"/>
      <c r="G74" s="34"/>
      <c r="H74" s="34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1:28" ht="15.75" customHeight="1" x14ac:dyDescent="0.2">
      <c r="A75" s="1"/>
      <c r="B75" s="1"/>
      <c r="C75" s="1" t="s">
        <v>101</v>
      </c>
      <c r="D75" s="34">
        <f>11814/D71*100</f>
        <v>25.089727525644022</v>
      </c>
      <c r="E75" s="34">
        <f>3967/E71*100</f>
        <v>19.314474901407081</v>
      </c>
      <c r="F75" s="34"/>
      <c r="G75" s="34"/>
      <c r="H75" s="34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1:28" ht="15.75" customHeight="1" x14ac:dyDescent="0.2">
      <c r="A76" s="1"/>
      <c r="B76" s="1"/>
      <c r="C76" s="1" t="s">
        <v>102</v>
      </c>
      <c r="D76" s="34">
        <f>6355/D71*100</f>
        <v>13.496294093911271</v>
      </c>
      <c r="E76" s="34">
        <f>(2509)/E71*100</f>
        <v>12.215784604897999</v>
      </c>
      <c r="F76" s="34"/>
      <c r="G76" s="34"/>
      <c r="H76" s="34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1:28" ht="15.75" customHeight="1" x14ac:dyDescent="0.2">
      <c r="A77" s="1"/>
      <c r="B77" s="1"/>
      <c r="C77" s="1" t="s">
        <v>103</v>
      </c>
      <c r="D77" s="34">
        <f>16059/D71*100</f>
        <v>34.104954658398285</v>
      </c>
      <c r="E77" s="34">
        <f>8422/E71*100</f>
        <v>41.004917474073714</v>
      </c>
      <c r="F77" s="34"/>
      <c r="G77" s="34"/>
      <c r="H77" s="34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1:28" ht="15.75" customHeight="1" x14ac:dyDescent="0.2">
      <c r="A78" s="1"/>
      <c r="B78" s="1"/>
      <c r="C78" s="1" t="s">
        <v>104</v>
      </c>
      <c r="D78" s="34">
        <f>34786/D72*100</f>
        <v>46.798148845719204</v>
      </c>
      <c r="E78" s="34">
        <f>+(7598+14018+984)/E72*100</f>
        <v>39.50013108450581</v>
      </c>
      <c r="F78" s="34">
        <f>24307/F72*100</f>
        <v>40.718653153530447</v>
      </c>
      <c r="G78" s="34">
        <v>41.73</v>
      </c>
      <c r="H78" s="34">
        <v>49.6</v>
      </c>
      <c r="I78" s="1">
        <v>36</v>
      </c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1:28" ht="15.75" customHeight="1" x14ac:dyDescent="0.2">
      <c r="A79" s="1"/>
      <c r="B79" s="1"/>
      <c r="C79" s="1" t="s">
        <v>105</v>
      </c>
      <c r="D79" s="34">
        <f>13243/D72*100</f>
        <v>17.816014637033849</v>
      </c>
      <c r="E79" s="34">
        <f>+(8088+2573+2431)/E72*100</f>
        <v>22.882111334440268</v>
      </c>
      <c r="F79" s="34">
        <f>12514/F72*100</f>
        <v>20.963229751235446</v>
      </c>
      <c r="G79" s="34">
        <v>19.88</v>
      </c>
      <c r="H79" s="34">
        <v>24.4</v>
      </c>
      <c r="I79" s="1">
        <v>23.1</v>
      </c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1:28" ht="15.75" customHeight="1" x14ac:dyDescent="0.2">
      <c r="A80" s="1"/>
      <c r="B80" s="1"/>
      <c r="C80" s="1" t="s">
        <v>106</v>
      </c>
      <c r="D80" s="34">
        <f>26302/D72*100</f>
        <v>35.384491201635903</v>
      </c>
      <c r="E80" s="34">
        <f>+(5683+10477+5362)/E72*100</f>
        <v>37.616009787643101</v>
      </c>
      <c r="F80" s="34">
        <f>22874/F72*100</f>
        <v>38.318117095234108</v>
      </c>
      <c r="G80" s="34">
        <v>38.39</v>
      </c>
      <c r="H80" s="34">
        <v>26</v>
      </c>
      <c r="I80" s="1">
        <v>40.799999999999997</v>
      </c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1:28" ht="15.75" customHeight="1" x14ac:dyDescent="0.2">
      <c r="A81" s="1"/>
      <c r="B81" s="1"/>
      <c r="C81" s="1"/>
      <c r="D81" s="25"/>
      <c r="E81" s="25"/>
      <c r="F81" s="25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1:28" ht="15.75" customHeight="1" x14ac:dyDescent="0.2">
      <c r="A82" s="1"/>
      <c r="B82" s="1"/>
      <c r="C82" s="1"/>
      <c r="D82" s="25"/>
      <c r="E82" s="25"/>
      <c r="F82" s="25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1:28" ht="15.75" customHeight="1" x14ac:dyDescent="0.2">
      <c r="A83" s="1"/>
      <c r="B83" s="1"/>
      <c r="C83" s="1"/>
      <c r="D83" s="25"/>
      <c r="E83" s="25"/>
      <c r="F83" s="25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1:28" ht="15.75" customHeight="1" x14ac:dyDescent="0.2">
      <c r="A84" s="1"/>
      <c r="B84" s="1"/>
      <c r="C84" s="1"/>
      <c r="D84" s="25"/>
      <c r="E84" s="25"/>
      <c r="F84" s="25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1:28" ht="15.75" customHeight="1" x14ac:dyDescent="0.2">
      <c r="A85" s="1"/>
      <c r="B85" s="1"/>
      <c r="C85" s="1"/>
      <c r="D85" s="25"/>
      <c r="E85" s="25"/>
      <c r="F85" s="25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1:28" ht="15.75" customHeight="1" x14ac:dyDescent="0.2">
      <c r="A86" s="1"/>
      <c r="B86" s="1"/>
      <c r="C86" s="1"/>
      <c r="D86" s="25"/>
      <c r="E86" s="25"/>
      <c r="F86" s="25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1:28" ht="15.75" customHeight="1" x14ac:dyDescent="0.2">
      <c r="A87" s="1"/>
      <c r="B87" s="1"/>
      <c r="C87" s="1"/>
      <c r="D87" s="25"/>
      <c r="E87" s="25"/>
      <c r="F87" s="25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1:28" ht="15.75" customHeight="1" x14ac:dyDescent="0.2">
      <c r="A88" s="1"/>
      <c r="B88" s="1"/>
      <c r="C88" s="1"/>
      <c r="D88" s="25"/>
      <c r="E88" s="25"/>
      <c r="F88" s="25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1:28" ht="15.75" customHeight="1" x14ac:dyDescent="0.2">
      <c r="A89" s="1"/>
      <c r="B89" s="1"/>
      <c r="C89" s="1"/>
      <c r="D89" s="25"/>
      <c r="E89" s="25"/>
      <c r="F89" s="25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1:28" ht="15.75" customHeight="1" x14ac:dyDescent="0.2">
      <c r="A90" s="1"/>
      <c r="B90" s="1"/>
      <c r="C90" s="1"/>
      <c r="D90" s="25"/>
      <c r="E90" s="25"/>
      <c r="F90" s="25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1:28" ht="15.75" customHeight="1" x14ac:dyDescent="0.2">
      <c r="A91" s="1"/>
      <c r="B91" s="1"/>
      <c r="C91" s="1"/>
      <c r="D91" s="25"/>
      <c r="E91" s="25"/>
      <c r="F91" s="25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1:28" ht="15.75" customHeight="1" x14ac:dyDescent="0.2">
      <c r="A92" s="1"/>
      <c r="B92" s="1"/>
      <c r="C92" s="1"/>
      <c r="D92" s="25"/>
      <c r="E92" s="25"/>
      <c r="F92" s="25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1:28" ht="15.75" customHeight="1" x14ac:dyDescent="0.2">
      <c r="A93" s="1"/>
      <c r="B93" s="1"/>
      <c r="C93" s="1"/>
      <c r="D93" s="25"/>
      <c r="E93" s="25"/>
      <c r="F93" s="25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1:28" ht="15.75" customHeight="1" x14ac:dyDescent="0.2">
      <c r="A94" s="1"/>
      <c r="B94" s="1"/>
      <c r="C94" s="1"/>
      <c r="D94" s="25"/>
      <c r="E94" s="25"/>
      <c r="F94" s="25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1:28" ht="15.75" customHeight="1" x14ac:dyDescent="0.2">
      <c r="A95" s="1"/>
      <c r="B95" s="1"/>
      <c r="C95" s="1"/>
      <c r="D95" s="25"/>
      <c r="E95" s="25"/>
      <c r="F95" s="25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1:28" ht="15.75" customHeight="1" x14ac:dyDescent="0.2">
      <c r="A96" s="1"/>
      <c r="B96" s="1"/>
      <c r="C96" s="1"/>
      <c r="D96" s="25"/>
      <c r="E96" s="25"/>
      <c r="F96" s="25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1:28" ht="15.75" customHeight="1" x14ac:dyDescent="0.2">
      <c r="A97" s="1"/>
      <c r="B97" s="1"/>
      <c r="C97" s="1"/>
      <c r="D97" s="25"/>
      <c r="E97" s="25"/>
      <c r="F97" s="25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1:28" ht="15.75" customHeight="1" x14ac:dyDescent="0.2">
      <c r="A98" s="1"/>
      <c r="B98" s="1"/>
      <c r="C98" s="1"/>
      <c r="D98" s="25"/>
      <c r="E98" s="25"/>
      <c r="F98" s="25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1:28" ht="15.75" customHeight="1" x14ac:dyDescent="0.2">
      <c r="A99" s="1"/>
      <c r="B99" s="1"/>
      <c r="C99" s="1"/>
      <c r="D99" s="25"/>
      <c r="E99" s="25"/>
      <c r="F99" s="25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1:28" ht="15.75" customHeight="1" x14ac:dyDescent="0.2">
      <c r="A100" s="1"/>
      <c r="B100" s="1"/>
      <c r="C100" s="1"/>
      <c r="D100" s="25"/>
      <c r="E100" s="25"/>
      <c r="F100" s="25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1:28" ht="15.75" customHeight="1" x14ac:dyDescent="0.2">
      <c r="A101" s="1"/>
      <c r="B101" s="1"/>
      <c r="C101" s="1"/>
      <c r="D101" s="25"/>
      <c r="E101" s="25"/>
      <c r="F101" s="25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1:28" ht="15.75" customHeight="1" x14ac:dyDescent="0.2">
      <c r="A102" s="1"/>
      <c r="B102" s="1"/>
      <c r="C102" s="1"/>
      <c r="D102" s="25"/>
      <c r="E102" s="25"/>
      <c r="F102" s="25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1:28" ht="15.75" customHeight="1" x14ac:dyDescent="0.2">
      <c r="A103" s="1"/>
      <c r="B103" s="1"/>
      <c r="C103" s="1"/>
      <c r="D103" s="25"/>
      <c r="E103" s="25"/>
      <c r="F103" s="25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1:28" ht="15.75" customHeight="1" x14ac:dyDescent="0.2">
      <c r="A104" s="1"/>
      <c r="B104" s="1"/>
      <c r="C104" s="1"/>
      <c r="D104" s="25"/>
      <c r="E104" s="25"/>
      <c r="F104" s="25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1:28" ht="15.75" customHeight="1" x14ac:dyDescent="0.2">
      <c r="A105" s="1"/>
      <c r="B105" s="1"/>
      <c r="C105" s="1"/>
      <c r="D105" s="25"/>
      <c r="E105" s="25"/>
      <c r="F105" s="25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1:28" ht="15.75" customHeight="1" x14ac:dyDescent="0.2">
      <c r="A106" s="1"/>
      <c r="B106" s="1"/>
      <c r="C106" s="1"/>
      <c r="D106" s="25"/>
      <c r="E106" s="25"/>
      <c r="F106" s="25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1:28" ht="15.75" customHeight="1" x14ac:dyDescent="0.2">
      <c r="A107" s="1"/>
      <c r="B107" s="1"/>
      <c r="C107" s="1"/>
      <c r="D107" s="25"/>
      <c r="E107" s="25"/>
      <c r="F107" s="25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1:28" ht="15.75" customHeight="1" x14ac:dyDescent="0.2">
      <c r="A108" s="1"/>
      <c r="B108" s="1"/>
      <c r="C108" s="1"/>
      <c r="D108" s="25"/>
      <c r="E108" s="25"/>
      <c r="F108" s="25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1:28" ht="15.75" customHeight="1" x14ac:dyDescent="0.2">
      <c r="A109" s="1"/>
      <c r="B109" s="1"/>
      <c r="C109" s="1"/>
      <c r="D109" s="25"/>
      <c r="E109" s="25"/>
      <c r="F109" s="25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1:28" ht="15.75" customHeight="1" x14ac:dyDescent="0.2">
      <c r="A110" s="1"/>
      <c r="B110" s="1"/>
      <c r="C110" s="1"/>
      <c r="D110" s="25"/>
      <c r="E110" s="25"/>
      <c r="F110" s="25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1:28" ht="15.75" customHeight="1" x14ac:dyDescent="0.2">
      <c r="A111" s="1"/>
      <c r="B111" s="1"/>
      <c r="C111" s="1"/>
      <c r="D111" s="25"/>
      <c r="E111" s="25"/>
      <c r="F111" s="25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1:28" ht="15.75" customHeight="1" x14ac:dyDescent="0.2">
      <c r="A112" s="1"/>
      <c r="B112" s="1"/>
      <c r="C112" s="1"/>
      <c r="D112" s="25"/>
      <c r="E112" s="25"/>
      <c r="F112" s="25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1:28" ht="15.75" customHeight="1" x14ac:dyDescent="0.2">
      <c r="A113" s="1"/>
      <c r="B113" s="1"/>
      <c r="C113" s="1"/>
      <c r="D113" s="25"/>
      <c r="E113" s="25"/>
      <c r="F113" s="25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1:28" ht="15.75" customHeight="1" x14ac:dyDescent="0.2">
      <c r="A114" s="1"/>
      <c r="B114" s="1"/>
      <c r="C114" s="1"/>
      <c r="D114" s="25"/>
      <c r="E114" s="25"/>
      <c r="F114" s="25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1:28" ht="15.75" customHeight="1" x14ac:dyDescent="0.2">
      <c r="A115" s="1"/>
      <c r="B115" s="1"/>
      <c r="C115" s="1"/>
      <c r="D115" s="25"/>
      <c r="E115" s="25"/>
      <c r="F115" s="25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1:28" ht="15.75" customHeight="1" x14ac:dyDescent="0.2">
      <c r="A116" s="1"/>
      <c r="B116" s="1"/>
      <c r="C116" s="1"/>
      <c r="D116" s="25"/>
      <c r="E116" s="25"/>
      <c r="F116" s="25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1:28" ht="15.75" customHeight="1" x14ac:dyDescent="0.2">
      <c r="A117" s="1"/>
      <c r="B117" s="1"/>
      <c r="C117" s="1"/>
      <c r="D117" s="25"/>
      <c r="E117" s="25"/>
      <c r="F117" s="25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1:28" ht="15.75" customHeight="1" x14ac:dyDescent="0.2">
      <c r="A118" s="1"/>
      <c r="B118" s="1"/>
      <c r="C118" s="1"/>
      <c r="D118" s="25"/>
      <c r="E118" s="25"/>
      <c r="F118" s="25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1:28" ht="15.75" customHeight="1" x14ac:dyDescent="0.2">
      <c r="A119" s="1"/>
      <c r="B119" s="1"/>
      <c r="C119" s="1"/>
      <c r="D119" s="25"/>
      <c r="E119" s="25"/>
      <c r="F119" s="25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1:28" ht="15.75" customHeight="1" x14ac:dyDescent="0.2">
      <c r="A120" s="1"/>
      <c r="B120" s="1"/>
      <c r="C120" s="1"/>
      <c r="D120" s="25"/>
      <c r="E120" s="25"/>
      <c r="F120" s="25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1:28" ht="15.75" customHeight="1" x14ac:dyDescent="0.2">
      <c r="A121" s="1"/>
      <c r="B121" s="1"/>
      <c r="C121" s="1"/>
      <c r="D121" s="25"/>
      <c r="E121" s="25"/>
      <c r="F121" s="25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1:28" ht="15.75" customHeight="1" x14ac:dyDescent="0.2">
      <c r="A122" s="1"/>
      <c r="B122" s="1"/>
      <c r="C122" s="1"/>
      <c r="D122" s="25"/>
      <c r="E122" s="25"/>
      <c r="F122" s="25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1:28" ht="15.75" customHeight="1" x14ac:dyDescent="0.2">
      <c r="A123" s="1"/>
      <c r="B123" s="1"/>
      <c r="C123" s="1"/>
      <c r="D123" s="25"/>
      <c r="E123" s="25"/>
      <c r="F123" s="25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1:28" ht="15.75" customHeight="1" x14ac:dyDescent="0.2">
      <c r="A124" s="1"/>
      <c r="B124" s="1"/>
      <c r="C124" s="1"/>
      <c r="D124" s="25"/>
      <c r="E124" s="25"/>
      <c r="F124" s="25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1:28" ht="15.75" customHeight="1" x14ac:dyDescent="0.2">
      <c r="A125" s="1"/>
      <c r="B125" s="1"/>
      <c r="C125" s="1"/>
      <c r="D125" s="25"/>
      <c r="E125" s="25"/>
      <c r="F125" s="25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1:28" ht="15.75" customHeight="1" x14ac:dyDescent="0.2">
      <c r="A126" s="1"/>
      <c r="B126" s="1"/>
      <c r="C126" s="1"/>
      <c r="D126" s="25"/>
      <c r="E126" s="25"/>
      <c r="F126" s="25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1:28" ht="15.75" customHeight="1" x14ac:dyDescent="0.2">
      <c r="A127" s="1"/>
      <c r="B127" s="1"/>
      <c r="C127" s="1"/>
      <c r="D127" s="25"/>
      <c r="E127" s="25"/>
      <c r="F127" s="25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1:28" ht="15.75" customHeight="1" x14ac:dyDescent="0.2">
      <c r="A128" s="1"/>
      <c r="B128" s="1"/>
      <c r="C128" s="1"/>
      <c r="D128" s="25"/>
      <c r="E128" s="25"/>
      <c r="F128" s="25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1:28" ht="15.75" customHeight="1" x14ac:dyDescent="0.2">
      <c r="A129" s="1"/>
      <c r="B129" s="1"/>
      <c r="C129" s="1"/>
      <c r="D129" s="25"/>
      <c r="E129" s="25"/>
      <c r="F129" s="25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1:28" ht="15.75" customHeight="1" x14ac:dyDescent="0.2">
      <c r="A130" s="1"/>
      <c r="B130" s="1"/>
      <c r="C130" s="1"/>
      <c r="D130" s="25"/>
      <c r="E130" s="25"/>
      <c r="F130" s="25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1:28" ht="15.75" customHeight="1" x14ac:dyDescent="0.2">
      <c r="A131" s="1"/>
      <c r="B131" s="1"/>
      <c r="C131" s="1"/>
      <c r="D131" s="25"/>
      <c r="E131" s="25"/>
      <c r="F131" s="25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1:28" ht="15.75" customHeight="1" x14ac:dyDescent="0.2">
      <c r="A132" s="1"/>
      <c r="B132" s="1"/>
      <c r="C132" s="1"/>
      <c r="D132" s="25"/>
      <c r="E132" s="25"/>
      <c r="F132" s="25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1:28" ht="15.75" customHeight="1" x14ac:dyDescent="0.2">
      <c r="A133" s="1"/>
      <c r="B133" s="1"/>
      <c r="C133" s="1"/>
      <c r="D133" s="25"/>
      <c r="E133" s="25"/>
      <c r="F133" s="25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1:28" ht="15.75" customHeight="1" x14ac:dyDescent="0.2">
      <c r="A134" s="1"/>
      <c r="B134" s="1"/>
      <c r="C134" s="1"/>
      <c r="D134" s="25"/>
      <c r="E134" s="25"/>
      <c r="F134" s="25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1:28" ht="15.75" customHeight="1" x14ac:dyDescent="0.2">
      <c r="A135" s="1"/>
      <c r="B135" s="1"/>
      <c r="C135" s="1"/>
      <c r="D135" s="25"/>
      <c r="E135" s="25"/>
      <c r="F135" s="25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1:28" ht="15.75" customHeight="1" x14ac:dyDescent="0.2">
      <c r="A136" s="1"/>
      <c r="B136" s="1"/>
      <c r="C136" s="1"/>
      <c r="D136" s="25"/>
      <c r="E136" s="25"/>
      <c r="F136" s="25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1:28" ht="15.75" customHeight="1" x14ac:dyDescent="0.2">
      <c r="A137" s="1"/>
      <c r="B137" s="1"/>
      <c r="C137" s="1"/>
      <c r="D137" s="25"/>
      <c r="E137" s="25"/>
      <c r="F137" s="25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1:28" ht="15.75" customHeight="1" x14ac:dyDescent="0.2">
      <c r="A138" s="1"/>
      <c r="B138" s="1"/>
      <c r="C138" s="1"/>
      <c r="D138" s="25"/>
      <c r="E138" s="25"/>
      <c r="F138" s="25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1:28" ht="15.75" customHeight="1" x14ac:dyDescent="0.2">
      <c r="A139" s="1"/>
      <c r="B139" s="1"/>
      <c r="C139" s="1"/>
      <c r="D139" s="25"/>
      <c r="E139" s="25"/>
      <c r="F139" s="25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1:28" ht="15.75" customHeight="1" x14ac:dyDescent="0.2">
      <c r="A140" s="1"/>
      <c r="B140" s="1"/>
      <c r="C140" s="1"/>
      <c r="D140" s="25"/>
      <c r="E140" s="25"/>
      <c r="F140" s="25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1:28" ht="15.75" customHeight="1" x14ac:dyDescent="0.2">
      <c r="A141" s="1"/>
      <c r="B141" s="1"/>
      <c r="C141" s="1"/>
      <c r="D141" s="25"/>
      <c r="E141" s="25"/>
      <c r="F141" s="25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1:28" ht="15.75" customHeight="1" x14ac:dyDescent="0.2">
      <c r="A142" s="1"/>
      <c r="B142" s="1"/>
      <c r="C142" s="1"/>
      <c r="D142" s="25"/>
      <c r="E142" s="25"/>
      <c r="F142" s="25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1:28" ht="15.75" customHeight="1" x14ac:dyDescent="0.2">
      <c r="A143" s="1"/>
      <c r="B143" s="1"/>
      <c r="C143" s="1"/>
      <c r="D143" s="25"/>
      <c r="E143" s="25"/>
      <c r="F143" s="25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1:28" ht="15.75" customHeight="1" x14ac:dyDescent="0.2">
      <c r="A144" s="1"/>
      <c r="B144" s="1"/>
      <c r="C144" s="1"/>
      <c r="D144" s="25"/>
      <c r="E144" s="25"/>
      <c r="F144" s="25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1:28" ht="15.75" customHeight="1" x14ac:dyDescent="0.2">
      <c r="A145" s="1"/>
      <c r="B145" s="1"/>
      <c r="C145" s="1"/>
      <c r="D145" s="25"/>
      <c r="E145" s="25"/>
      <c r="F145" s="25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1:28" ht="15.75" customHeight="1" x14ac:dyDescent="0.2">
      <c r="A146" s="1"/>
      <c r="B146" s="1"/>
      <c r="C146" s="1"/>
      <c r="D146" s="25"/>
      <c r="E146" s="25"/>
      <c r="F146" s="25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1:28" ht="15.75" customHeight="1" x14ac:dyDescent="0.2">
      <c r="A147" s="1"/>
      <c r="B147" s="1"/>
      <c r="C147" s="1"/>
      <c r="D147" s="25"/>
      <c r="E147" s="25"/>
      <c r="F147" s="25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1:28" ht="15.75" customHeight="1" x14ac:dyDescent="0.2">
      <c r="A148" s="1"/>
      <c r="B148" s="1"/>
      <c r="C148" s="1"/>
      <c r="D148" s="25"/>
      <c r="E148" s="25"/>
      <c r="F148" s="25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1:28" ht="15.75" customHeight="1" x14ac:dyDescent="0.2">
      <c r="A149" s="1"/>
      <c r="B149" s="1"/>
      <c r="C149" s="1"/>
      <c r="D149" s="25"/>
      <c r="E149" s="25"/>
      <c r="F149" s="25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1:28" ht="15.75" customHeight="1" x14ac:dyDescent="0.2">
      <c r="A150" s="1"/>
      <c r="B150" s="1"/>
      <c r="C150" s="1"/>
      <c r="D150" s="25"/>
      <c r="E150" s="25"/>
      <c r="F150" s="25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1:28" ht="15.75" customHeight="1" x14ac:dyDescent="0.2">
      <c r="A151" s="1"/>
      <c r="B151" s="1"/>
      <c r="C151" s="1"/>
      <c r="D151" s="25"/>
      <c r="E151" s="25"/>
      <c r="F151" s="25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1:28" ht="15.75" customHeight="1" x14ac:dyDescent="0.2">
      <c r="A152" s="1"/>
      <c r="B152" s="1"/>
      <c r="C152" s="1"/>
      <c r="D152" s="25"/>
      <c r="E152" s="25"/>
      <c r="F152" s="25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1:28" ht="15.75" customHeight="1" x14ac:dyDescent="0.2">
      <c r="A153" s="1"/>
      <c r="B153" s="1"/>
      <c r="C153" s="1"/>
      <c r="D153" s="25"/>
      <c r="E153" s="25"/>
      <c r="F153" s="25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1:28" ht="15.75" customHeight="1" x14ac:dyDescent="0.2">
      <c r="A154" s="1"/>
      <c r="B154" s="1"/>
      <c r="C154" s="1"/>
      <c r="D154" s="25"/>
      <c r="E154" s="25"/>
      <c r="F154" s="25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1:28" ht="15.75" customHeight="1" x14ac:dyDescent="0.2">
      <c r="A155" s="1"/>
      <c r="B155" s="1"/>
      <c r="C155" s="1"/>
      <c r="D155" s="25"/>
      <c r="E155" s="25"/>
      <c r="F155" s="25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1:28" ht="15.75" customHeight="1" x14ac:dyDescent="0.2">
      <c r="A156" s="1"/>
      <c r="B156" s="1"/>
      <c r="C156" s="1"/>
      <c r="D156" s="25"/>
      <c r="E156" s="25"/>
      <c r="F156" s="25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1:28" ht="15.75" customHeight="1" x14ac:dyDescent="0.2">
      <c r="A157" s="1"/>
      <c r="B157" s="1"/>
      <c r="C157" s="1"/>
      <c r="D157" s="25"/>
      <c r="E157" s="25"/>
      <c r="F157" s="25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1:28" ht="15.75" customHeight="1" x14ac:dyDescent="0.2">
      <c r="A158" s="1"/>
      <c r="B158" s="1"/>
      <c r="C158" s="1"/>
      <c r="D158" s="25"/>
      <c r="E158" s="25"/>
      <c r="F158" s="25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1:28" ht="15.75" customHeight="1" x14ac:dyDescent="0.2">
      <c r="A159" s="1"/>
      <c r="B159" s="1"/>
      <c r="C159" s="1"/>
      <c r="D159" s="25"/>
      <c r="E159" s="25"/>
      <c r="F159" s="25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1:28" ht="15.75" customHeight="1" x14ac:dyDescent="0.2">
      <c r="A160" s="1"/>
      <c r="B160" s="1"/>
      <c r="C160" s="1"/>
      <c r="D160" s="25"/>
      <c r="E160" s="25"/>
      <c r="F160" s="25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1:28" ht="15.75" customHeight="1" x14ac:dyDescent="0.2">
      <c r="A161" s="1"/>
      <c r="B161" s="1"/>
      <c r="C161" s="1"/>
      <c r="D161" s="25"/>
      <c r="E161" s="25"/>
      <c r="F161" s="25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1:28" ht="15.75" customHeight="1" x14ac:dyDescent="0.2">
      <c r="A162" s="1"/>
      <c r="B162" s="1"/>
      <c r="C162" s="1"/>
      <c r="D162" s="25"/>
      <c r="E162" s="25"/>
      <c r="F162" s="25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1:28" ht="15.75" customHeight="1" x14ac:dyDescent="0.2">
      <c r="A163" s="1"/>
      <c r="B163" s="1"/>
      <c r="C163" s="1"/>
      <c r="D163" s="25"/>
      <c r="E163" s="25"/>
      <c r="F163" s="25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1:28" ht="15.75" customHeight="1" x14ac:dyDescent="0.2">
      <c r="A164" s="1"/>
      <c r="B164" s="1"/>
      <c r="C164" s="1"/>
      <c r="D164" s="25"/>
      <c r="E164" s="25"/>
      <c r="F164" s="25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1:28" ht="15.75" customHeight="1" x14ac:dyDescent="0.2">
      <c r="A165" s="1"/>
      <c r="B165" s="1"/>
      <c r="C165" s="1"/>
      <c r="D165" s="25"/>
      <c r="E165" s="25"/>
      <c r="F165" s="25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1:28" ht="15.75" customHeight="1" x14ac:dyDescent="0.2">
      <c r="A166" s="1"/>
      <c r="B166" s="1"/>
      <c r="C166" s="1"/>
      <c r="D166" s="25"/>
      <c r="E166" s="25"/>
      <c r="F166" s="25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1:28" ht="15.75" customHeight="1" x14ac:dyDescent="0.2">
      <c r="A167" s="1"/>
      <c r="B167" s="1"/>
      <c r="C167" s="1"/>
      <c r="D167" s="25"/>
      <c r="E167" s="25"/>
      <c r="F167" s="25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1:28" ht="15.75" customHeight="1" x14ac:dyDescent="0.2">
      <c r="A168" s="1"/>
      <c r="B168" s="1"/>
      <c r="C168" s="1"/>
      <c r="D168" s="25"/>
      <c r="E168" s="25"/>
      <c r="F168" s="25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1:28" ht="15.75" customHeight="1" x14ac:dyDescent="0.2">
      <c r="A169" s="1"/>
      <c r="B169" s="1"/>
      <c r="C169" s="1"/>
      <c r="D169" s="25"/>
      <c r="E169" s="25"/>
      <c r="F169" s="25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1:28" ht="15.75" customHeight="1" x14ac:dyDescent="0.2">
      <c r="A170" s="1"/>
      <c r="B170" s="1"/>
      <c r="C170" s="1"/>
      <c r="D170" s="25"/>
      <c r="E170" s="25"/>
      <c r="F170" s="25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1:28" ht="15.75" customHeight="1" x14ac:dyDescent="0.2">
      <c r="A171" s="1"/>
      <c r="B171" s="1"/>
      <c r="C171" s="1"/>
      <c r="D171" s="25"/>
      <c r="E171" s="25"/>
      <c r="F171" s="25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1:28" ht="15.75" customHeight="1" x14ac:dyDescent="0.2">
      <c r="A172" s="1"/>
      <c r="B172" s="1"/>
      <c r="C172" s="1"/>
      <c r="D172" s="25"/>
      <c r="E172" s="25"/>
      <c r="F172" s="25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1:28" ht="15.75" customHeight="1" x14ac:dyDescent="0.2">
      <c r="A173" s="1"/>
      <c r="B173" s="1"/>
      <c r="C173" s="1"/>
      <c r="D173" s="25"/>
      <c r="E173" s="25"/>
      <c r="F173" s="25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1:28" ht="15.75" customHeight="1" x14ac:dyDescent="0.2">
      <c r="A174" s="1"/>
      <c r="B174" s="1"/>
      <c r="C174" s="1"/>
      <c r="D174" s="25"/>
      <c r="E174" s="25"/>
      <c r="F174" s="25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1:28" ht="15.75" customHeight="1" x14ac:dyDescent="0.2">
      <c r="A175" s="1"/>
      <c r="B175" s="1"/>
      <c r="C175" s="1"/>
      <c r="D175" s="25"/>
      <c r="E175" s="25"/>
      <c r="F175" s="25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1:28" ht="15.75" customHeight="1" x14ac:dyDescent="0.2">
      <c r="A176" s="1"/>
      <c r="B176" s="1"/>
      <c r="C176" s="1"/>
      <c r="D176" s="25"/>
      <c r="E176" s="25"/>
      <c r="F176" s="25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1:28" ht="15.75" customHeight="1" x14ac:dyDescent="0.2">
      <c r="A177" s="1"/>
      <c r="B177" s="1"/>
      <c r="C177" s="1"/>
      <c r="D177" s="25"/>
      <c r="E177" s="25"/>
      <c r="F177" s="25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1:28" ht="15.75" customHeight="1" x14ac:dyDescent="0.2">
      <c r="A178" s="1"/>
      <c r="B178" s="1"/>
      <c r="C178" s="1"/>
      <c r="D178" s="25"/>
      <c r="E178" s="25"/>
      <c r="F178" s="25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1:28" ht="15.75" customHeight="1" x14ac:dyDescent="0.2">
      <c r="A179" s="1"/>
      <c r="B179" s="1"/>
      <c r="C179" s="1"/>
      <c r="D179" s="25"/>
      <c r="E179" s="25"/>
      <c r="F179" s="25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1:28" ht="15.75" customHeight="1" x14ac:dyDescent="0.2">
      <c r="A180" s="1"/>
      <c r="B180" s="1"/>
      <c r="C180" s="1"/>
      <c r="D180" s="25"/>
      <c r="E180" s="25"/>
      <c r="F180" s="25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1:28" ht="15.75" customHeight="1" x14ac:dyDescent="0.2">
      <c r="A181" s="1"/>
      <c r="B181" s="1"/>
      <c r="C181" s="1"/>
      <c r="D181" s="25"/>
      <c r="E181" s="25"/>
      <c r="F181" s="25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1:28" ht="15.75" customHeight="1" x14ac:dyDescent="0.2">
      <c r="A182" s="1"/>
      <c r="B182" s="1"/>
      <c r="C182" s="1"/>
      <c r="D182" s="25"/>
      <c r="E182" s="25"/>
      <c r="F182" s="25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1:28" ht="15.75" customHeight="1" x14ac:dyDescent="0.2">
      <c r="A183" s="1"/>
      <c r="B183" s="1"/>
      <c r="C183" s="1"/>
      <c r="D183" s="25"/>
      <c r="E183" s="25"/>
      <c r="F183" s="25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1:28" ht="15.75" customHeight="1" x14ac:dyDescent="0.2">
      <c r="A184" s="1"/>
      <c r="B184" s="1"/>
      <c r="C184" s="1"/>
      <c r="D184" s="25"/>
      <c r="E184" s="25"/>
      <c r="F184" s="25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1:28" ht="15.75" customHeight="1" x14ac:dyDescent="0.2">
      <c r="A185" s="1"/>
      <c r="B185" s="1"/>
      <c r="C185" s="1"/>
      <c r="D185" s="25"/>
      <c r="E185" s="25"/>
      <c r="F185" s="25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1:28" ht="15.75" customHeight="1" x14ac:dyDescent="0.2">
      <c r="A186" s="1"/>
      <c r="B186" s="1"/>
      <c r="C186" s="1"/>
      <c r="D186" s="25"/>
      <c r="E186" s="25"/>
      <c r="F186" s="25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1:28" ht="15.75" customHeight="1" x14ac:dyDescent="0.2">
      <c r="A187" s="1"/>
      <c r="B187" s="1"/>
      <c r="C187" s="1"/>
      <c r="D187" s="25"/>
      <c r="E187" s="25"/>
      <c r="F187" s="25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1:28" ht="15.75" customHeight="1" x14ac:dyDescent="0.2">
      <c r="A188" s="1"/>
      <c r="B188" s="1"/>
      <c r="C188" s="1"/>
      <c r="D188" s="25"/>
      <c r="E188" s="25"/>
      <c r="F188" s="25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1:28" ht="15.75" customHeight="1" x14ac:dyDescent="0.2">
      <c r="A189" s="1"/>
      <c r="B189" s="1"/>
      <c r="C189" s="1"/>
      <c r="D189" s="25"/>
      <c r="E189" s="25"/>
      <c r="F189" s="25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1:28" ht="15.75" customHeight="1" x14ac:dyDescent="0.2">
      <c r="A190" s="1"/>
      <c r="B190" s="1"/>
      <c r="C190" s="1"/>
      <c r="D190" s="25"/>
      <c r="E190" s="25"/>
      <c r="F190" s="25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1:28" ht="15.75" customHeight="1" x14ac:dyDescent="0.2">
      <c r="A191" s="1"/>
      <c r="B191" s="1"/>
      <c r="C191" s="1"/>
      <c r="D191" s="25"/>
      <c r="E191" s="25"/>
      <c r="F191" s="25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1:28" ht="15.75" customHeight="1" x14ac:dyDescent="0.2">
      <c r="A192" s="1"/>
      <c r="B192" s="1"/>
      <c r="C192" s="1"/>
      <c r="D192" s="25"/>
      <c r="E192" s="25"/>
      <c r="F192" s="25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1:28" ht="15.75" customHeight="1" x14ac:dyDescent="0.2">
      <c r="A193" s="1"/>
      <c r="B193" s="1"/>
      <c r="C193" s="1"/>
      <c r="D193" s="25"/>
      <c r="E193" s="25"/>
      <c r="F193" s="25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1:28" ht="15.75" customHeight="1" x14ac:dyDescent="0.2">
      <c r="A194" s="1"/>
      <c r="B194" s="1"/>
      <c r="C194" s="1"/>
      <c r="D194" s="25"/>
      <c r="E194" s="25"/>
      <c r="F194" s="25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1:28" ht="15.75" customHeight="1" x14ac:dyDescent="0.2">
      <c r="A195" s="1"/>
      <c r="B195" s="1"/>
      <c r="C195" s="1"/>
      <c r="D195" s="25"/>
      <c r="E195" s="25"/>
      <c r="F195" s="25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1:28" ht="15.75" customHeight="1" x14ac:dyDescent="0.2">
      <c r="A196" s="1"/>
      <c r="B196" s="1"/>
      <c r="C196" s="1"/>
      <c r="D196" s="25"/>
      <c r="E196" s="25"/>
      <c r="F196" s="25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1:28" ht="15.75" customHeight="1" x14ac:dyDescent="0.2">
      <c r="A197" s="1"/>
      <c r="B197" s="1"/>
      <c r="C197" s="1"/>
      <c r="D197" s="25"/>
      <c r="E197" s="25"/>
      <c r="F197" s="25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1:28" ht="15.75" customHeight="1" x14ac:dyDescent="0.2">
      <c r="A198" s="1"/>
      <c r="B198" s="1"/>
      <c r="C198" s="1"/>
      <c r="D198" s="25"/>
      <c r="E198" s="25"/>
      <c r="F198" s="25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1:28" ht="15.75" customHeight="1" x14ac:dyDescent="0.2">
      <c r="A199" s="1"/>
      <c r="B199" s="1"/>
      <c r="C199" s="1"/>
      <c r="D199" s="25"/>
      <c r="E199" s="25"/>
      <c r="F199" s="25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1:28" ht="15.75" customHeight="1" x14ac:dyDescent="0.2">
      <c r="A200" s="1"/>
      <c r="B200" s="1"/>
      <c r="C200" s="1"/>
      <c r="D200" s="25"/>
      <c r="E200" s="25"/>
      <c r="F200" s="25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1:28" ht="15.75" customHeight="1" x14ac:dyDescent="0.2">
      <c r="A201" s="1"/>
      <c r="B201" s="1"/>
      <c r="C201" s="1"/>
      <c r="D201" s="25"/>
      <c r="E201" s="25"/>
      <c r="F201" s="25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1:28" ht="15.75" customHeight="1" x14ac:dyDescent="0.2">
      <c r="A202" s="1"/>
      <c r="B202" s="1"/>
      <c r="C202" s="1"/>
      <c r="D202" s="25"/>
      <c r="E202" s="25"/>
      <c r="F202" s="25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1:28" ht="15.75" customHeight="1" x14ac:dyDescent="0.2">
      <c r="A203" s="1"/>
      <c r="B203" s="1"/>
      <c r="C203" s="1"/>
      <c r="D203" s="25"/>
      <c r="E203" s="25"/>
      <c r="F203" s="25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1:28" ht="15.75" customHeight="1" x14ac:dyDescent="0.2">
      <c r="A204" s="1"/>
      <c r="B204" s="1"/>
      <c r="C204" s="1"/>
      <c r="D204" s="25"/>
      <c r="E204" s="25"/>
      <c r="F204" s="25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1:28" ht="15.75" customHeight="1" x14ac:dyDescent="0.2">
      <c r="A205" s="1"/>
      <c r="B205" s="1"/>
      <c r="C205" s="1"/>
      <c r="D205" s="25"/>
      <c r="E205" s="25"/>
      <c r="F205" s="25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1:28" ht="15.75" customHeight="1" x14ac:dyDescent="0.2">
      <c r="A206" s="1"/>
      <c r="B206" s="1"/>
      <c r="C206" s="1"/>
      <c r="D206" s="25"/>
      <c r="E206" s="25"/>
      <c r="F206" s="25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1:28" ht="15.75" customHeight="1" x14ac:dyDescent="0.2">
      <c r="A207" s="1"/>
      <c r="B207" s="1"/>
      <c r="C207" s="1"/>
      <c r="D207" s="25"/>
      <c r="E207" s="25"/>
      <c r="F207" s="25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1:28" ht="15.75" customHeight="1" x14ac:dyDescent="0.2">
      <c r="A208" s="1"/>
      <c r="B208" s="1"/>
      <c r="C208" s="1"/>
      <c r="D208" s="25"/>
      <c r="E208" s="25"/>
      <c r="F208" s="25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1:28" ht="15.75" customHeight="1" x14ac:dyDescent="0.2">
      <c r="A209" s="1"/>
      <c r="B209" s="1"/>
      <c r="C209" s="1"/>
      <c r="D209" s="25"/>
      <c r="E209" s="25"/>
      <c r="F209" s="25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1:28" ht="15.75" customHeight="1" x14ac:dyDescent="0.2">
      <c r="A210" s="1"/>
      <c r="B210" s="1"/>
      <c r="C210" s="1"/>
      <c r="D210" s="25"/>
      <c r="E210" s="25"/>
      <c r="F210" s="25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1:28" ht="15.75" customHeight="1" x14ac:dyDescent="0.2">
      <c r="A211" s="1"/>
      <c r="B211" s="1"/>
      <c r="C211" s="1"/>
      <c r="D211" s="25"/>
      <c r="E211" s="25"/>
      <c r="F211" s="25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1:28" ht="15.75" customHeight="1" x14ac:dyDescent="0.2">
      <c r="A212" s="1"/>
      <c r="B212" s="1"/>
      <c r="C212" s="1"/>
      <c r="D212" s="25"/>
      <c r="E212" s="25"/>
      <c r="F212" s="25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1:28" ht="15.75" customHeight="1" x14ac:dyDescent="0.2">
      <c r="A213" s="1"/>
      <c r="B213" s="1"/>
      <c r="C213" s="1"/>
      <c r="D213" s="25"/>
      <c r="E213" s="25"/>
      <c r="F213" s="25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1:28" ht="15.75" customHeight="1" x14ac:dyDescent="0.2">
      <c r="A214" s="1"/>
      <c r="B214" s="1"/>
      <c r="C214" s="1"/>
      <c r="D214" s="25"/>
      <c r="E214" s="25"/>
      <c r="F214" s="25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1:28" ht="15.75" customHeight="1" x14ac:dyDescent="0.2">
      <c r="A215" s="1"/>
      <c r="B215" s="1"/>
      <c r="C215" s="1"/>
      <c r="D215" s="25"/>
      <c r="E215" s="25"/>
      <c r="F215" s="25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1:28" ht="15.75" customHeight="1" x14ac:dyDescent="0.2">
      <c r="A216" s="1"/>
      <c r="B216" s="1"/>
      <c r="C216" s="1"/>
      <c r="D216" s="25"/>
      <c r="E216" s="25"/>
      <c r="F216" s="25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spans="1:28" ht="15.75" customHeight="1" x14ac:dyDescent="0.2">
      <c r="A217" s="1"/>
      <c r="B217" s="1"/>
      <c r="C217" s="1"/>
      <c r="D217" s="25"/>
      <c r="E217" s="25"/>
      <c r="F217" s="25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spans="1:28" ht="15.75" customHeight="1" x14ac:dyDescent="0.2">
      <c r="A218" s="1"/>
      <c r="B218" s="1"/>
      <c r="C218" s="1"/>
      <c r="D218" s="25"/>
      <c r="E218" s="25"/>
      <c r="F218" s="25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spans="1:28" ht="15.75" customHeight="1" x14ac:dyDescent="0.2">
      <c r="A219" s="1"/>
      <c r="B219" s="1"/>
      <c r="C219" s="1"/>
      <c r="D219" s="25"/>
      <c r="E219" s="25"/>
      <c r="F219" s="25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spans="1:28" ht="15.75" customHeight="1" x14ac:dyDescent="0.2">
      <c r="A220" s="1"/>
      <c r="B220" s="1"/>
      <c r="C220" s="1"/>
      <c r="D220" s="25"/>
      <c r="E220" s="25"/>
      <c r="F220" s="25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 spans="1:28" ht="15.75" customHeight="1" x14ac:dyDescent="0.2">
      <c r="A221" s="1"/>
      <c r="B221" s="1"/>
      <c r="C221" s="1"/>
      <c r="D221" s="25"/>
      <c r="E221" s="25"/>
      <c r="F221" s="25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 spans="1:28" ht="15.75" customHeight="1" x14ac:dyDescent="0.2">
      <c r="A222" s="1"/>
      <c r="B222" s="1"/>
      <c r="C222" s="1"/>
      <c r="D222" s="25"/>
      <c r="E222" s="25"/>
      <c r="F222" s="25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 spans="1:28" ht="15.75" customHeight="1" x14ac:dyDescent="0.2">
      <c r="A223" s="1"/>
      <c r="B223" s="1"/>
      <c r="C223" s="1"/>
      <c r="D223" s="25"/>
      <c r="E223" s="25"/>
      <c r="F223" s="25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 spans="1:28" ht="15.75" customHeight="1" x14ac:dyDescent="0.2">
      <c r="A224" s="1"/>
      <c r="B224" s="1"/>
      <c r="C224" s="1"/>
      <c r="D224" s="25"/>
      <c r="E224" s="25"/>
      <c r="F224" s="25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 spans="1:28" ht="15.75" customHeight="1" x14ac:dyDescent="0.2">
      <c r="A225" s="1"/>
      <c r="B225" s="1"/>
      <c r="C225" s="1"/>
      <c r="D225" s="25"/>
      <c r="E225" s="25"/>
      <c r="F225" s="25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 spans="1:28" ht="15.75" customHeight="1" x14ac:dyDescent="0.2">
      <c r="A226" s="1"/>
      <c r="B226" s="1"/>
      <c r="C226" s="1"/>
      <c r="D226" s="25"/>
      <c r="E226" s="25"/>
      <c r="F226" s="25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 spans="1:28" ht="15.75" customHeight="1" x14ac:dyDescent="0.2">
      <c r="A227" s="1"/>
      <c r="B227" s="1"/>
      <c r="C227" s="1"/>
      <c r="D227" s="25"/>
      <c r="E227" s="25"/>
      <c r="F227" s="25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 spans="1:28" ht="15.75" customHeight="1" x14ac:dyDescent="0.2">
      <c r="A228" s="1"/>
      <c r="B228" s="1"/>
      <c r="C228" s="1"/>
      <c r="D228" s="25"/>
      <c r="E228" s="25"/>
      <c r="F228" s="25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 spans="1:28" ht="15.75" customHeight="1" x14ac:dyDescent="0.2">
      <c r="A229" s="1"/>
      <c r="B229" s="1"/>
      <c r="C229" s="1"/>
      <c r="D229" s="25"/>
      <c r="E229" s="25"/>
      <c r="F229" s="25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 spans="1:28" ht="15.75" customHeight="1" x14ac:dyDescent="0.2">
      <c r="A230" s="1"/>
      <c r="B230" s="1"/>
      <c r="C230" s="1"/>
      <c r="D230" s="25"/>
      <c r="E230" s="25"/>
      <c r="F230" s="25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 spans="1:28" ht="15.75" customHeight="1" x14ac:dyDescent="0.2">
      <c r="A231" s="1"/>
      <c r="B231" s="1"/>
      <c r="C231" s="1"/>
      <c r="D231" s="25"/>
      <c r="E231" s="25"/>
      <c r="F231" s="25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 spans="1:28" ht="15.75" customHeight="1" x14ac:dyDescent="0.2">
      <c r="A232" s="1"/>
      <c r="B232" s="1"/>
      <c r="C232" s="1"/>
      <c r="D232" s="25"/>
      <c r="E232" s="25"/>
      <c r="F232" s="25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 spans="1:28" ht="15.75" customHeight="1" x14ac:dyDescent="0.2">
      <c r="A233" s="1"/>
      <c r="B233" s="1"/>
      <c r="C233" s="1"/>
      <c r="D233" s="25"/>
      <c r="E233" s="25"/>
      <c r="F233" s="25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 spans="1:28" ht="15.75" customHeight="1" x14ac:dyDescent="0.2">
      <c r="A234" s="1"/>
      <c r="B234" s="1"/>
      <c r="C234" s="1"/>
      <c r="D234" s="25"/>
      <c r="E234" s="25"/>
      <c r="F234" s="25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 spans="1:28" ht="15.75" customHeight="1" x14ac:dyDescent="0.2">
      <c r="A235" s="1"/>
      <c r="B235" s="1"/>
      <c r="C235" s="1"/>
      <c r="D235" s="25"/>
      <c r="E235" s="25"/>
      <c r="F235" s="25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 spans="1:28" ht="15.75" customHeight="1" x14ac:dyDescent="0.2">
      <c r="A236" s="1"/>
      <c r="B236" s="1"/>
      <c r="C236" s="1"/>
      <c r="D236" s="25"/>
      <c r="E236" s="25"/>
      <c r="F236" s="25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 spans="1:28" ht="15.75" customHeight="1" x14ac:dyDescent="0.2">
      <c r="A237" s="1"/>
      <c r="B237" s="1"/>
      <c r="C237" s="1"/>
      <c r="D237" s="25"/>
      <c r="E237" s="25"/>
      <c r="F237" s="25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 spans="1:28" ht="15.75" customHeight="1" x14ac:dyDescent="0.2">
      <c r="A238" s="1"/>
      <c r="B238" s="1"/>
      <c r="C238" s="1"/>
      <c r="D238" s="25"/>
      <c r="E238" s="25"/>
      <c r="F238" s="25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 spans="1:28" ht="15.75" customHeight="1" x14ac:dyDescent="0.2">
      <c r="A239" s="1"/>
      <c r="B239" s="1"/>
      <c r="C239" s="1"/>
      <c r="D239" s="25"/>
      <c r="E239" s="25"/>
      <c r="F239" s="25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 spans="1:28" ht="15.75" customHeight="1" x14ac:dyDescent="0.2">
      <c r="A240" s="1"/>
      <c r="B240" s="1"/>
      <c r="C240" s="1"/>
      <c r="D240" s="25"/>
      <c r="E240" s="25"/>
      <c r="F240" s="25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 spans="1:28" ht="15.75" customHeight="1" x14ac:dyDescent="0.2">
      <c r="A241" s="1"/>
      <c r="B241" s="1"/>
      <c r="C241" s="1"/>
      <c r="D241" s="25"/>
      <c r="E241" s="25"/>
      <c r="F241" s="25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 spans="1:28" ht="15.75" customHeight="1" x14ac:dyDescent="0.2">
      <c r="A242" s="1"/>
      <c r="B242" s="1"/>
      <c r="C242" s="1"/>
      <c r="D242" s="25"/>
      <c r="E242" s="25"/>
      <c r="F242" s="25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 spans="1:28" ht="15.75" customHeight="1" x14ac:dyDescent="0.2">
      <c r="A243" s="1"/>
      <c r="B243" s="1"/>
      <c r="C243" s="1"/>
      <c r="D243" s="25"/>
      <c r="E243" s="25"/>
      <c r="F243" s="25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 spans="1:28" ht="15.75" customHeight="1" x14ac:dyDescent="0.2">
      <c r="A244" s="1"/>
      <c r="B244" s="1"/>
      <c r="C244" s="1"/>
      <c r="D244" s="25"/>
      <c r="E244" s="25"/>
      <c r="F244" s="25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 spans="1:28" ht="15.75" customHeight="1" x14ac:dyDescent="0.2">
      <c r="A245" s="1"/>
      <c r="B245" s="1"/>
      <c r="C245" s="1"/>
      <c r="D245" s="25"/>
      <c r="E245" s="25"/>
      <c r="F245" s="25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 spans="1:28" ht="15.75" customHeight="1" x14ac:dyDescent="0.2">
      <c r="A246" s="1"/>
      <c r="B246" s="1"/>
      <c r="C246" s="1"/>
      <c r="D246" s="25"/>
      <c r="E246" s="25"/>
      <c r="F246" s="25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 spans="1:28" ht="15.75" customHeight="1" x14ac:dyDescent="0.2">
      <c r="A247" s="1"/>
      <c r="B247" s="1"/>
      <c r="C247" s="1"/>
      <c r="D247" s="25"/>
      <c r="E247" s="25"/>
      <c r="F247" s="25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 spans="1:28" ht="15.75" customHeight="1" x14ac:dyDescent="0.2">
      <c r="A248" s="1"/>
      <c r="B248" s="1"/>
      <c r="C248" s="1"/>
      <c r="D248" s="25"/>
      <c r="E248" s="25"/>
      <c r="F248" s="25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 spans="1:28" ht="15.75" customHeight="1" x14ac:dyDescent="0.2">
      <c r="A249" s="1"/>
      <c r="B249" s="1"/>
      <c r="C249" s="1"/>
      <c r="D249" s="25"/>
      <c r="E249" s="25"/>
      <c r="F249" s="25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 spans="1:28" ht="15.75" customHeight="1" x14ac:dyDescent="0.2">
      <c r="A250" s="1"/>
      <c r="B250" s="1"/>
      <c r="C250" s="1"/>
      <c r="D250" s="25"/>
      <c r="E250" s="25"/>
      <c r="F250" s="25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 spans="1:28" ht="15.75" customHeight="1" x14ac:dyDescent="0.2">
      <c r="A251" s="1"/>
      <c r="B251" s="1"/>
      <c r="C251" s="1"/>
      <c r="D251" s="25"/>
      <c r="E251" s="25"/>
      <c r="F251" s="25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 spans="1:28" ht="15.75" customHeight="1" x14ac:dyDescent="0.2">
      <c r="A252" s="1"/>
      <c r="B252" s="1"/>
      <c r="C252" s="1"/>
      <c r="D252" s="25"/>
      <c r="E252" s="25"/>
      <c r="F252" s="25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 spans="1:28" ht="15.75" customHeight="1" x14ac:dyDescent="0.2">
      <c r="A253" s="1"/>
      <c r="B253" s="1"/>
      <c r="C253" s="1"/>
      <c r="D253" s="25"/>
      <c r="E253" s="25"/>
      <c r="F253" s="25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 spans="1:28" ht="15.75" customHeight="1" x14ac:dyDescent="0.2">
      <c r="A254" s="1"/>
      <c r="B254" s="1"/>
      <c r="C254" s="1"/>
      <c r="D254" s="25"/>
      <c r="E254" s="25"/>
      <c r="F254" s="25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 spans="1:28" ht="15.75" customHeight="1" x14ac:dyDescent="0.2">
      <c r="A255" s="1"/>
      <c r="B255" s="1"/>
      <c r="C255" s="1"/>
      <c r="D255" s="25"/>
      <c r="E255" s="25"/>
      <c r="F255" s="25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 spans="1:28" ht="15.75" customHeight="1" x14ac:dyDescent="0.2">
      <c r="A256" s="1"/>
      <c r="B256" s="1"/>
      <c r="C256" s="1"/>
      <c r="D256" s="25"/>
      <c r="E256" s="25"/>
      <c r="F256" s="25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 spans="1:28" ht="15.75" customHeight="1" x14ac:dyDescent="0.2">
      <c r="A257" s="1"/>
      <c r="B257" s="1"/>
      <c r="C257" s="1"/>
      <c r="D257" s="25"/>
      <c r="E257" s="25"/>
      <c r="F257" s="25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 spans="1:28" ht="15.75" customHeight="1" x14ac:dyDescent="0.2">
      <c r="A258" s="1"/>
      <c r="B258" s="1"/>
      <c r="C258" s="1"/>
      <c r="D258" s="25"/>
      <c r="E258" s="25"/>
      <c r="F258" s="25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 spans="1:28" ht="15.75" customHeight="1" x14ac:dyDescent="0.2">
      <c r="A259" s="1"/>
      <c r="B259" s="1"/>
      <c r="C259" s="1"/>
      <c r="D259" s="25"/>
      <c r="E259" s="25"/>
      <c r="F259" s="25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 spans="1:28" ht="15.75" customHeight="1" x14ac:dyDescent="0.2">
      <c r="A260" s="1"/>
      <c r="B260" s="1"/>
      <c r="C260" s="1"/>
      <c r="D260" s="25"/>
      <c r="E260" s="25"/>
      <c r="F260" s="25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 spans="1:28" ht="15.75" customHeight="1" x14ac:dyDescent="0.2">
      <c r="A261" s="1"/>
      <c r="B261" s="1"/>
      <c r="C261" s="1"/>
      <c r="D261" s="25"/>
      <c r="E261" s="25"/>
      <c r="F261" s="25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 spans="1:28" ht="15.75" customHeight="1" x14ac:dyDescent="0.2">
      <c r="A262" s="1"/>
      <c r="B262" s="1"/>
      <c r="C262" s="1"/>
      <c r="D262" s="25"/>
      <c r="E262" s="25"/>
      <c r="F262" s="25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 spans="1:28" ht="15.75" customHeight="1" x14ac:dyDescent="0.2">
      <c r="A263" s="1"/>
      <c r="B263" s="1"/>
      <c r="C263" s="1"/>
      <c r="D263" s="25"/>
      <c r="E263" s="25"/>
      <c r="F263" s="25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 spans="1:28" ht="15.75" customHeight="1" x14ac:dyDescent="0.2">
      <c r="A264" s="1"/>
      <c r="B264" s="1"/>
      <c r="C264" s="1"/>
      <c r="D264" s="25"/>
      <c r="E264" s="25"/>
      <c r="F264" s="25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 spans="1:28" ht="15.75" customHeight="1" x14ac:dyDescent="0.2">
      <c r="A265" s="1"/>
      <c r="B265" s="1"/>
      <c r="C265" s="1"/>
      <c r="D265" s="25"/>
      <c r="E265" s="25"/>
      <c r="F265" s="25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 spans="1:28" ht="15.75" customHeight="1" x14ac:dyDescent="0.2">
      <c r="A266" s="1"/>
      <c r="B266" s="1"/>
      <c r="C266" s="1"/>
      <c r="D266" s="25"/>
      <c r="E266" s="25"/>
      <c r="F266" s="25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 spans="1:28" ht="15.75" customHeight="1" x14ac:dyDescent="0.2">
      <c r="A267" s="1"/>
      <c r="B267" s="1"/>
      <c r="C267" s="1"/>
      <c r="D267" s="25"/>
      <c r="E267" s="25"/>
      <c r="F267" s="25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 spans="1:28" ht="15.75" customHeight="1" x14ac:dyDescent="0.2">
      <c r="A268" s="1"/>
      <c r="B268" s="1"/>
      <c r="C268" s="1"/>
      <c r="D268" s="25"/>
      <c r="E268" s="25"/>
      <c r="F268" s="25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 spans="1:28" ht="15.75" customHeight="1" x14ac:dyDescent="0.2">
      <c r="A269" s="1"/>
      <c r="B269" s="1"/>
      <c r="C269" s="1"/>
      <c r="D269" s="25"/>
      <c r="E269" s="25"/>
      <c r="F269" s="25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 spans="1:28" ht="15.75" customHeight="1" x14ac:dyDescent="0.2">
      <c r="A270" s="1"/>
      <c r="B270" s="1"/>
      <c r="C270" s="1"/>
      <c r="D270" s="25"/>
      <c r="E270" s="25"/>
      <c r="F270" s="25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 spans="1:28" ht="15.75" customHeight="1" x14ac:dyDescent="0.2">
      <c r="A271" s="1"/>
      <c r="B271" s="1"/>
      <c r="C271" s="1"/>
      <c r="D271" s="25"/>
      <c r="E271" s="25"/>
      <c r="F271" s="25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 spans="1:28" ht="15.75" customHeight="1" x14ac:dyDescent="0.2">
      <c r="A272" s="1"/>
      <c r="B272" s="1"/>
      <c r="C272" s="1"/>
      <c r="D272" s="25"/>
      <c r="E272" s="25"/>
      <c r="F272" s="25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 spans="1:28" ht="15.75" customHeight="1" x14ac:dyDescent="0.2">
      <c r="A273" s="1"/>
      <c r="B273" s="1"/>
      <c r="C273" s="1"/>
      <c r="D273" s="25"/>
      <c r="E273" s="25"/>
      <c r="F273" s="25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</row>
    <row r="274" spans="1:28" ht="15.75" customHeight="1" x14ac:dyDescent="0.2">
      <c r="A274" s="1"/>
      <c r="B274" s="1"/>
      <c r="C274" s="1"/>
      <c r="D274" s="25"/>
      <c r="E274" s="25"/>
      <c r="F274" s="25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</row>
    <row r="275" spans="1:28" ht="15.75" customHeight="1" x14ac:dyDescent="0.2">
      <c r="A275" s="1"/>
      <c r="B275" s="1"/>
      <c r="C275" s="1"/>
      <c r="D275" s="25"/>
      <c r="E275" s="25"/>
      <c r="F275" s="25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</row>
    <row r="276" spans="1:28" ht="15.75" customHeight="1" x14ac:dyDescent="0.2">
      <c r="A276" s="1"/>
      <c r="B276" s="1"/>
      <c r="C276" s="1"/>
      <c r="D276" s="25"/>
      <c r="E276" s="25"/>
      <c r="F276" s="25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</row>
    <row r="277" spans="1:28" ht="15.75" customHeight="1" x14ac:dyDescent="0.2">
      <c r="A277" s="1"/>
      <c r="B277" s="1"/>
      <c r="C277" s="1"/>
      <c r="D277" s="25"/>
      <c r="E277" s="25"/>
      <c r="F277" s="25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</row>
    <row r="278" spans="1:28" ht="15.75" customHeight="1" x14ac:dyDescent="0.2">
      <c r="A278" s="1"/>
      <c r="B278" s="1"/>
      <c r="C278" s="1"/>
      <c r="D278" s="25"/>
      <c r="E278" s="25"/>
      <c r="F278" s="25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</row>
    <row r="279" spans="1:28" ht="15.75" customHeight="1" x14ac:dyDescent="0.2">
      <c r="A279" s="1"/>
      <c r="B279" s="1"/>
      <c r="C279" s="1"/>
      <c r="D279" s="25"/>
      <c r="E279" s="25"/>
      <c r="F279" s="25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</row>
    <row r="280" spans="1:28" ht="15.75" customHeight="1" x14ac:dyDescent="0.2">
      <c r="A280" s="1"/>
      <c r="B280" s="1"/>
      <c r="C280" s="1"/>
      <c r="D280" s="25"/>
      <c r="E280" s="25"/>
      <c r="F280" s="25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</row>
    <row r="281" spans="1:28" ht="15.7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</row>
    <row r="282" spans="1:28" ht="15.7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</row>
    <row r="283" spans="1:28" ht="15.7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</row>
    <row r="284" spans="1:28" ht="15.7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</row>
    <row r="285" spans="1:28" ht="15.7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</row>
    <row r="286" spans="1:28" ht="15.7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</row>
    <row r="287" spans="1:28" ht="15.7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</row>
    <row r="288" spans="1:28" ht="15.7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</row>
    <row r="289" spans="1:28" ht="15.7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</row>
    <row r="290" spans="1:28" ht="15.7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</row>
    <row r="291" spans="1:28" ht="15.7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</row>
    <row r="292" spans="1:28" ht="15.7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</row>
    <row r="293" spans="1:28" ht="15.7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</row>
    <row r="294" spans="1:28" ht="15.7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</row>
    <row r="295" spans="1:28" ht="15.7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</row>
    <row r="296" spans="1:28" ht="15.7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</row>
    <row r="297" spans="1:28" ht="15.7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</row>
    <row r="298" spans="1:28" ht="15.7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</row>
    <row r="299" spans="1:28" ht="15.7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</row>
    <row r="300" spans="1:28" ht="15.7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</row>
    <row r="301" spans="1:28" ht="15.7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</row>
    <row r="302" spans="1:28" ht="15.7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</row>
    <row r="303" spans="1:28" ht="15.7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</row>
    <row r="304" spans="1:28" ht="15.7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</row>
    <row r="305" spans="1:28" ht="15.7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</row>
    <row r="306" spans="1:28" ht="15.7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</row>
    <row r="307" spans="1:28" ht="15.7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</row>
    <row r="308" spans="1:28" ht="15.7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</row>
    <row r="309" spans="1:28" ht="15.7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</row>
    <row r="310" spans="1:28" ht="15.7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</row>
    <row r="311" spans="1:28" ht="15.7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</row>
    <row r="312" spans="1:28" ht="15.7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</row>
    <row r="313" spans="1:28" ht="15.7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</row>
    <row r="314" spans="1:28" ht="15.7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</row>
    <row r="315" spans="1:28" ht="15.7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</row>
    <row r="316" spans="1:28" ht="15.7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</row>
    <row r="317" spans="1:28" ht="15.7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</row>
    <row r="318" spans="1:28" ht="15.7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</row>
    <row r="319" spans="1:28" ht="15.7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</row>
    <row r="320" spans="1:28" ht="15.7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</row>
    <row r="321" spans="1:28" ht="15.7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</row>
    <row r="322" spans="1:28" ht="15.7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</row>
    <row r="323" spans="1:28" ht="15.7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</row>
    <row r="324" spans="1:28" ht="15.7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</row>
    <row r="325" spans="1:28" ht="15.7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</row>
    <row r="326" spans="1:28" ht="15.7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</row>
    <row r="327" spans="1:28" ht="15.7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</row>
    <row r="328" spans="1:28" ht="15.7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</row>
    <row r="329" spans="1:28" ht="15.7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</row>
    <row r="330" spans="1:28" ht="15.7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</row>
    <row r="331" spans="1:28" ht="15.7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</row>
    <row r="332" spans="1:28" ht="15.7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</row>
    <row r="333" spans="1:28" ht="15.7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</row>
    <row r="334" spans="1:28" ht="15.7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</row>
    <row r="335" spans="1:28" ht="15.7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</row>
    <row r="336" spans="1:28" ht="15.7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</row>
    <row r="337" spans="1:28" ht="15.7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</row>
    <row r="338" spans="1:28" ht="15.7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</row>
    <row r="339" spans="1:28" ht="15.7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</row>
    <row r="340" spans="1:28" ht="15.7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</row>
    <row r="341" spans="1:28" ht="15.7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</row>
    <row r="342" spans="1:28" ht="15.7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</row>
    <row r="343" spans="1:28" ht="15.7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</row>
    <row r="344" spans="1:28" ht="15.7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</row>
    <row r="345" spans="1:28" ht="15.7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</row>
    <row r="346" spans="1:28" ht="15.7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</row>
    <row r="347" spans="1:28" ht="15.7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</row>
    <row r="348" spans="1:28" ht="15.7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</row>
    <row r="349" spans="1:28" ht="15.7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</row>
    <row r="350" spans="1:28" ht="15.7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</row>
    <row r="351" spans="1:28" ht="15.7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</row>
    <row r="352" spans="1:28" ht="15.7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</row>
    <row r="353" spans="1:28" ht="15.7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</row>
    <row r="354" spans="1:28" ht="15.7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</row>
    <row r="355" spans="1:28" ht="15.7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</row>
    <row r="356" spans="1:28" ht="15.7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</row>
    <row r="357" spans="1:28" ht="15.7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</row>
    <row r="358" spans="1:28" ht="15.7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</row>
    <row r="359" spans="1:28" ht="15.7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</row>
    <row r="360" spans="1:28" ht="15.7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</row>
    <row r="361" spans="1:28" ht="15.7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</row>
    <row r="362" spans="1:28" ht="15.7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</row>
    <row r="363" spans="1:28" ht="15.7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</row>
    <row r="364" spans="1:28" ht="15.7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</row>
    <row r="365" spans="1:28" ht="15.7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</row>
    <row r="366" spans="1:28" ht="15.7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</row>
    <row r="367" spans="1:28" ht="15.7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</row>
    <row r="368" spans="1:28" ht="15.7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</row>
    <row r="369" spans="1:28" ht="15.7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</row>
    <row r="370" spans="1:28" ht="15.7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</row>
    <row r="371" spans="1:28" ht="15.7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</row>
    <row r="372" spans="1:28" ht="15.7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</row>
    <row r="373" spans="1:28" ht="15.7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</row>
    <row r="374" spans="1:28" ht="15.7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</row>
    <row r="375" spans="1:28" ht="15.7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</row>
    <row r="376" spans="1:28" ht="15.7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</row>
    <row r="377" spans="1:28" ht="15.7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</row>
    <row r="378" spans="1:28" ht="15.7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</row>
    <row r="379" spans="1:28" ht="15.7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</row>
    <row r="380" spans="1:28" ht="15.7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</row>
    <row r="381" spans="1:28" ht="15.7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</row>
    <row r="382" spans="1:28" ht="15.7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</row>
    <row r="383" spans="1:28" ht="15.7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</row>
    <row r="384" spans="1:28" ht="15.7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</row>
    <row r="385" spans="1:28" ht="15.7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</row>
    <row r="386" spans="1:28" ht="15.7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</row>
    <row r="387" spans="1:28" ht="15.7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</row>
    <row r="388" spans="1:28" ht="15.7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</row>
    <row r="389" spans="1:28" ht="15.7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</row>
    <row r="390" spans="1:28" ht="15.7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</row>
    <row r="391" spans="1:28" ht="15.7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</row>
    <row r="392" spans="1:28" ht="15.7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</row>
    <row r="393" spans="1:28" ht="15.7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</row>
    <row r="394" spans="1:28" ht="15.7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</row>
    <row r="395" spans="1:28" ht="15.7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</row>
    <row r="396" spans="1:28" ht="15.7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</row>
    <row r="397" spans="1:28" ht="15.7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</row>
    <row r="398" spans="1:28" ht="15.7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</row>
    <row r="399" spans="1:28" ht="15.7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</row>
    <row r="400" spans="1:28" ht="15.7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</row>
    <row r="401" spans="1:28" ht="15.7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</row>
    <row r="402" spans="1:28" ht="15.7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</row>
    <row r="403" spans="1:28" ht="15.7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</row>
    <row r="404" spans="1:28" ht="15.7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</row>
    <row r="405" spans="1:28" ht="15.7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</row>
    <row r="406" spans="1:28" ht="15.7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</row>
    <row r="407" spans="1:28" ht="15.7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</row>
    <row r="408" spans="1:28" ht="15.7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</row>
    <row r="409" spans="1:28" ht="15.7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</row>
    <row r="410" spans="1:28" ht="15.7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</row>
    <row r="411" spans="1:28" ht="15.7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</row>
    <row r="412" spans="1:28" ht="15.7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</row>
    <row r="413" spans="1:28" ht="15.7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</row>
    <row r="414" spans="1:28" ht="15.7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</row>
    <row r="415" spans="1:28" ht="15.7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</row>
    <row r="416" spans="1:28" ht="15.7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</row>
    <row r="417" spans="1:28" ht="15.7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</row>
    <row r="418" spans="1:28" ht="15.7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</row>
    <row r="419" spans="1:28" ht="15.7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</row>
    <row r="420" spans="1:28" ht="15.7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</row>
    <row r="421" spans="1:28" ht="15.7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</row>
    <row r="422" spans="1:28" ht="15.7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</row>
    <row r="423" spans="1:28" ht="15.7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</row>
    <row r="424" spans="1:28" ht="15.7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</row>
    <row r="425" spans="1:28" ht="15.7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</row>
    <row r="426" spans="1:28" ht="15.7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</row>
    <row r="427" spans="1:28" ht="15.7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</row>
    <row r="428" spans="1:28" ht="15.7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</row>
    <row r="429" spans="1:28" ht="15.7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</row>
    <row r="430" spans="1:28" ht="15.7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</row>
    <row r="431" spans="1:28" ht="15.7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</row>
    <row r="432" spans="1:28" ht="15.7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</row>
    <row r="433" spans="1:28" ht="15.7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</row>
    <row r="434" spans="1:28" ht="15.7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</row>
    <row r="435" spans="1:28" ht="15.7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</row>
    <row r="436" spans="1:28" ht="15.7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</row>
    <row r="437" spans="1:28" ht="15.7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</row>
    <row r="438" spans="1:28" ht="15.7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</row>
    <row r="439" spans="1:28" ht="15.7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</row>
    <row r="440" spans="1:28" ht="15.7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</row>
    <row r="441" spans="1:28" ht="15.7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</row>
    <row r="442" spans="1:28" ht="15.7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</row>
    <row r="443" spans="1:28" ht="15.7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</row>
    <row r="444" spans="1:28" ht="15.7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</row>
    <row r="445" spans="1:28" ht="15.7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</row>
    <row r="446" spans="1:28" ht="15.7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</row>
    <row r="447" spans="1:28" ht="15.7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</row>
    <row r="448" spans="1:28" ht="15.7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</row>
    <row r="449" spans="1:28" ht="15.7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</row>
    <row r="450" spans="1:28" ht="15.7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</row>
    <row r="451" spans="1:28" ht="15.7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</row>
    <row r="452" spans="1:28" ht="15.7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</row>
    <row r="453" spans="1:28" ht="15.7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</row>
    <row r="454" spans="1:28" ht="15.7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</row>
    <row r="455" spans="1:28" ht="15.7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</row>
    <row r="456" spans="1:28" ht="15.7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</row>
    <row r="457" spans="1:28" ht="15.7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</row>
    <row r="458" spans="1:28" ht="15.7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</row>
    <row r="459" spans="1:28" ht="15.7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</row>
    <row r="460" spans="1:28" ht="15.7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</row>
    <row r="461" spans="1:28" ht="15.7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</row>
    <row r="462" spans="1:28" ht="15.7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</row>
    <row r="463" spans="1:28" ht="15.7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</row>
    <row r="464" spans="1:28" ht="15.7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</row>
    <row r="465" spans="1:28" ht="15.7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</row>
    <row r="466" spans="1:28" ht="15.7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</row>
    <row r="467" spans="1:28" ht="15.7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</row>
    <row r="468" spans="1:28" ht="15.7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</row>
    <row r="469" spans="1:28" ht="15.7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</row>
    <row r="470" spans="1:28" ht="15.7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</row>
    <row r="471" spans="1:28" ht="15.7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</row>
    <row r="472" spans="1:28" ht="15.7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</row>
    <row r="473" spans="1:28" ht="15.7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</row>
    <row r="474" spans="1:28" ht="15.7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</row>
    <row r="475" spans="1:28" ht="15.7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</row>
    <row r="476" spans="1:28" ht="15.7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</row>
    <row r="477" spans="1:28" ht="15.7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</row>
    <row r="478" spans="1:28" ht="15.7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</row>
    <row r="479" spans="1:28" ht="15.7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</row>
    <row r="480" spans="1:28" ht="15.7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</row>
    <row r="481" spans="1:28" ht="15.7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</row>
    <row r="482" spans="1:28" ht="15.7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</row>
    <row r="483" spans="1:28" ht="15.7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</row>
    <row r="484" spans="1:28" ht="15.7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</row>
    <row r="485" spans="1:28" ht="15.7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</row>
    <row r="486" spans="1:28" ht="15.7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</row>
    <row r="487" spans="1:28" ht="15.7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</row>
    <row r="488" spans="1:28" ht="15.7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</row>
    <row r="489" spans="1:28" ht="15.7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</row>
    <row r="490" spans="1:28" ht="15.7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</row>
    <row r="491" spans="1:28" ht="15.7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</row>
    <row r="492" spans="1:28" ht="15.7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</row>
    <row r="493" spans="1:28" ht="15.7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</row>
    <row r="494" spans="1:28" ht="15.7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</row>
    <row r="495" spans="1:28" ht="15.7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</row>
    <row r="496" spans="1:28" ht="15.7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</row>
    <row r="497" spans="1:28" ht="15.7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</row>
    <row r="498" spans="1:28" ht="15.7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</row>
    <row r="499" spans="1:28" ht="15.7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</row>
    <row r="500" spans="1:28" ht="15.7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</row>
    <row r="501" spans="1:28" ht="15.7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</row>
    <row r="502" spans="1:28" ht="15.7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</row>
    <row r="503" spans="1:28" ht="15.7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</row>
    <row r="504" spans="1:28" ht="15.7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</row>
    <row r="505" spans="1:28" ht="15.7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</row>
    <row r="506" spans="1:28" ht="15.7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</row>
    <row r="507" spans="1:28" ht="15.7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</row>
    <row r="508" spans="1:28" ht="15.7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</row>
    <row r="509" spans="1:28" ht="15.7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</row>
    <row r="510" spans="1:28" ht="15.7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</row>
    <row r="511" spans="1:28" ht="15.7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</row>
    <row r="512" spans="1:28" ht="15.7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</row>
    <row r="513" spans="1:28" ht="15.7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</row>
    <row r="514" spans="1:28" ht="15.7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</row>
    <row r="515" spans="1:28" ht="15.7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</row>
    <row r="516" spans="1:28" ht="15.7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</row>
    <row r="517" spans="1:28" ht="15.7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</row>
    <row r="518" spans="1:28" ht="15.7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</row>
    <row r="519" spans="1:28" ht="15.7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</row>
    <row r="520" spans="1:28" ht="15.7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</row>
    <row r="521" spans="1:28" ht="15.7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</row>
    <row r="522" spans="1:28" ht="15.7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</row>
    <row r="523" spans="1:28" ht="15.7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</row>
    <row r="524" spans="1:28" ht="15.7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</row>
    <row r="525" spans="1:28" ht="15.7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</row>
    <row r="526" spans="1:28" ht="15.7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</row>
    <row r="527" spans="1:28" ht="15.7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</row>
    <row r="528" spans="1:28" ht="15.7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</row>
    <row r="529" spans="1:28" ht="15.7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</row>
    <row r="530" spans="1:28" ht="15.7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</row>
    <row r="531" spans="1:28" ht="15.7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</row>
    <row r="532" spans="1:28" ht="15.7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</row>
    <row r="533" spans="1:28" ht="15.7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</row>
    <row r="534" spans="1:28" ht="15.7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</row>
    <row r="535" spans="1:28" ht="15.7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</row>
    <row r="536" spans="1:28" ht="15.7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</row>
    <row r="537" spans="1:28" ht="15.7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</row>
    <row r="538" spans="1:28" ht="15.7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</row>
    <row r="539" spans="1:28" ht="15.7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</row>
    <row r="540" spans="1:28" ht="15.7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</row>
    <row r="541" spans="1:28" ht="15.7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</row>
    <row r="542" spans="1:28" ht="15.7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</row>
    <row r="543" spans="1:28" ht="15.7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</row>
    <row r="544" spans="1:28" ht="15.7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</row>
    <row r="545" spans="1:28" ht="15.7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</row>
    <row r="546" spans="1:28" ht="15.7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</row>
    <row r="547" spans="1:28" ht="15.7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</row>
    <row r="548" spans="1:28" ht="15.7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</row>
    <row r="549" spans="1:28" ht="15.7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</row>
    <row r="550" spans="1:28" ht="15.7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</row>
    <row r="551" spans="1:28" ht="15.7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</row>
    <row r="552" spans="1:28" ht="15.7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</row>
    <row r="553" spans="1:28" ht="15.7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</row>
    <row r="554" spans="1:28" ht="15.7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</row>
    <row r="555" spans="1:28" ht="15.7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</row>
    <row r="556" spans="1:28" ht="15.7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</row>
    <row r="557" spans="1:28" ht="15.7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</row>
    <row r="558" spans="1:28" ht="15.7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</row>
    <row r="559" spans="1:28" ht="15.7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</row>
    <row r="560" spans="1:28" ht="15.7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</row>
    <row r="561" spans="1:28" ht="15.7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</row>
    <row r="562" spans="1:28" ht="15.7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</row>
    <row r="563" spans="1:28" ht="15.7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</row>
    <row r="564" spans="1:28" ht="15.7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</row>
    <row r="565" spans="1:28" ht="15.7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</row>
    <row r="566" spans="1:28" ht="15.7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</row>
    <row r="567" spans="1:28" ht="15.7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</row>
    <row r="568" spans="1:28" ht="15.7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</row>
    <row r="569" spans="1:28" ht="15.7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</row>
    <row r="570" spans="1:28" ht="15.7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</row>
    <row r="571" spans="1:28" ht="15.7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</row>
    <row r="572" spans="1:28" ht="15.7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</row>
    <row r="573" spans="1:28" ht="15.7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</row>
    <row r="574" spans="1:28" ht="15.7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</row>
    <row r="575" spans="1:28" ht="15.7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</row>
    <row r="576" spans="1:28" ht="15.7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</row>
    <row r="577" spans="1:28" ht="15.7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</row>
    <row r="578" spans="1:28" ht="15.7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</row>
    <row r="579" spans="1:28" ht="15.7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</row>
    <row r="580" spans="1:28" ht="15.7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</row>
    <row r="581" spans="1:28" ht="15.7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</row>
    <row r="582" spans="1:28" ht="15.7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</row>
    <row r="583" spans="1:28" ht="15.7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</row>
    <row r="584" spans="1:28" ht="15.7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</row>
    <row r="585" spans="1:28" ht="15.7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</row>
    <row r="586" spans="1:28" ht="15.7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</row>
    <row r="587" spans="1:28" ht="15.7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</row>
    <row r="588" spans="1:28" ht="15.7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</row>
    <row r="589" spans="1:28" ht="15.7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</row>
    <row r="590" spans="1:28" ht="15.7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</row>
    <row r="591" spans="1:28" ht="15.7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</row>
    <row r="592" spans="1:28" ht="15.7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</row>
    <row r="593" spans="1:28" ht="15.7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</row>
    <row r="594" spans="1:28" ht="15.7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</row>
    <row r="595" spans="1:28" ht="15.7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</row>
    <row r="596" spans="1:28" ht="15.7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</row>
    <row r="597" spans="1:28" ht="15.7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</row>
    <row r="598" spans="1:28" ht="15.7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</row>
    <row r="599" spans="1:28" ht="15.7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</row>
    <row r="600" spans="1:28" ht="15.7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</row>
    <row r="601" spans="1:28" ht="15.7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</row>
    <row r="602" spans="1:28" ht="15.7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</row>
    <row r="603" spans="1:28" ht="15.7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</row>
    <row r="604" spans="1:28" ht="15.7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</row>
    <row r="605" spans="1:28" ht="15.7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</row>
    <row r="606" spans="1:28" ht="15.7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</row>
    <row r="607" spans="1:28" ht="15.7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</row>
    <row r="608" spans="1:28" ht="15.7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</row>
    <row r="609" spans="1:28" ht="15.7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</row>
    <row r="610" spans="1:28" ht="15.7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</row>
    <row r="611" spans="1:28" ht="15.7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</row>
    <row r="612" spans="1:28" ht="15.7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</row>
    <row r="613" spans="1:28" ht="15.7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</row>
    <row r="614" spans="1:28" ht="15.7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</row>
    <row r="615" spans="1:28" ht="15.7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</row>
    <row r="616" spans="1:28" ht="15.7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</row>
    <row r="617" spans="1:28" ht="15.7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</row>
    <row r="618" spans="1:28" ht="15.7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</row>
    <row r="619" spans="1:28" ht="15.7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</row>
    <row r="620" spans="1:28" ht="15.7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</row>
    <row r="621" spans="1:28" ht="15.7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</row>
    <row r="622" spans="1:28" ht="15.7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</row>
    <row r="623" spans="1:28" ht="15.7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</row>
    <row r="624" spans="1:28" ht="15.7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</row>
    <row r="625" spans="1:28" ht="15.7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</row>
    <row r="626" spans="1:28" ht="15.7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</row>
    <row r="627" spans="1:28" ht="15.7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</row>
    <row r="628" spans="1:28" ht="15.7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</row>
    <row r="629" spans="1:28" ht="15.7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</row>
    <row r="630" spans="1:28" ht="15.7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</row>
    <row r="631" spans="1:28" ht="15.7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</row>
    <row r="632" spans="1:28" ht="15.7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</row>
    <row r="633" spans="1:28" ht="15.7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</row>
    <row r="634" spans="1:28" ht="15.7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</row>
    <row r="635" spans="1:28" ht="15.7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</row>
    <row r="636" spans="1:28" ht="15.7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</row>
    <row r="637" spans="1:28" ht="15.7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</row>
    <row r="638" spans="1:28" ht="15.7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</row>
    <row r="639" spans="1:28" ht="15.7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</row>
    <row r="640" spans="1:28" ht="15.7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</row>
    <row r="641" spans="1:28" ht="15.7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</row>
    <row r="642" spans="1:28" ht="15.7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</row>
    <row r="643" spans="1:28" ht="15.7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</row>
    <row r="644" spans="1:28" ht="15.7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</row>
    <row r="645" spans="1:28" ht="15.7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</row>
    <row r="646" spans="1:28" ht="15.7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</row>
    <row r="647" spans="1:28" ht="15.7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</row>
    <row r="648" spans="1:28" ht="15.7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</row>
    <row r="649" spans="1:28" ht="15.7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</row>
    <row r="650" spans="1:28" ht="15.7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</row>
    <row r="651" spans="1:28" ht="15.7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</row>
    <row r="652" spans="1:28" ht="15.7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</row>
    <row r="653" spans="1:28" ht="15.7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</row>
    <row r="654" spans="1:28" ht="15.7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</row>
    <row r="655" spans="1:28" ht="15.7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</row>
    <row r="656" spans="1:28" ht="15.7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</row>
    <row r="657" spans="1:28" ht="15.7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</row>
    <row r="658" spans="1:28" ht="15.7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</row>
    <row r="659" spans="1:28" ht="15.7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</row>
    <row r="660" spans="1:28" ht="15.7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</row>
    <row r="661" spans="1:28" ht="15.7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</row>
    <row r="662" spans="1:28" ht="15.7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</row>
    <row r="663" spans="1:28" ht="15.7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</row>
    <row r="664" spans="1:28" ht="15.7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</row>
    <row r="665" spans="1:28" ht="15.7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</row>
    <row r="666" spans="1:28" ht="15.7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</row>
    <row r="667" spans="1:28" ht="15.7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</row>
    <row r="668" spans="1:28" ht="15.7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</row>
    <row r="669" spans="1:28" ht="15.7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</row>
    <row r="670" spans="1:28" ht="15.7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</row>
    <row r="671" spans="1:28" ht="15.7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</row>
    <row r="672" spans="1:28" ht="15.7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</row>
    <row r="673" spans="1:28" ht="15.7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</row>
    <row r="674" spans="1:28" ht="15.7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</row>
    <row r="675" spans="1:28" ht="15.7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</row>
    <row r="676" spans="1:28" ht="15.7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</row>
    <row r="677" spans="1:28" ht="15.7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</row>
    <row r="678" spans="1:28" ht="15.7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</row>
    <row r="679" spans="1:28" ht="15.7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</row>
    <row r="680" spans="1:28" ht="15.7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</row>
    <row r="681" spans="1:28" ht="15.7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</row>
    <row r="682" spans="1:28" ht="15.7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</row>
    <row r="683" spans="1:28" ht="15.7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</row>
    <row r="684" spans="1:28" ht="15.7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</row>
    <row r="685" spans="1:28" ht="15.7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</row>
    <row r="686" spans="1:28" ht="15.7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</row>
    <row r="687" spans="1:28" ht="15.7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</row>
    <row r="688" spans="1:28" ht="15.7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</row>
    <row r="689" spans="1:28" ht="15.7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</row>
    <row r="690" spans="1:28" ht="15.7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</row>
    <row r="691" spans="1:28" ht="15.7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</row>
    <row r="692" spans="1:28" ht="15.7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</row>
    <row r="693" spans="1:28" ht="15.7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</row>
    <row r="694" spans="1:28" ht="15.7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</row>
    <row r="695" spans="1:28" ht="15.7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</row>
    <row r="696" spans="1:28" ht="15.7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</row>
    <row r="697" spans="1:28" ht="15.7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</row>
    <row r="698" spans="1:28" ht="15.7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</row>
    <row r="699" spans="1:28" ht="15.7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</row>
    <row r="700" spans="1:28" ht="15.7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</row>
    <row r="701" spans="1:28" ht="15.7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</row>
    <row r="702" spans="1:28" ht="15.7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</row>
    <row r="703" spans="1:28" ht="15.7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</row>
    <row r="704" spans="1:28" ht="15.7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</row>
    <row r="705" spans="1:28" ht="15.7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</row>
    <row r="706" spans="1:28" ht="15.7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</row>
    <row r="707" spans="1:28" ht="15.7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</row>
    <row r="708" spans="1:28" ht="15.7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</row>
    <row r="709" spans="1:28" ht="15.7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</row>
    <row r="710" spans="1:28" ht="15.7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</row>
    <row r="711" spans="1:28" ht="15.7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</row>
    <row r="712" spans="1:28" ht="15.7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</row>
    <row r="713" spans="1:28" ht="15.7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</row>
    <row r="714" spans="1:28" ht="15.7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</row>
    <row r="715" spans="1:28" ht="15.7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</row>
    <row r="716" spans="1:28" ht="15.7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</row>
    <row r="717" spans="1:28" ht="15.7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</row>
    <row r="718" spans="1:28" ht="15.7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</row>
    <row r="719" spans="1:28" ht="15.7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</row>
    <row r="720" spans="1:28" ht="15.7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</row>
    <row r="721" spans="1:28" ht="15.7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</row>
    <row r="722" spans="1:28" ht="15.7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</row>
    <row r="723" spans="1:28" ht="15.7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</row>
    <row r="724" spans="1:28" ht="15.7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</row>
    <row r="725" spans="1:28" ht="15.7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</row>
    <row r="726" spans="1:28" ht="15.7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</row>
    <row r="727" spans="1:28" ht="15.7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</row>
    <row r="728" spans="1:28" ht="15.7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</row>
    <row r="729" spans="1:28" ht="15.7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</row>
    <row r="730" spans="1:28" ht="15.7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</row>
    <row r="731" spans="1:28" ht="15.7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</row>
    <row r="732" spans="1:28" ht="15.7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</row>
    <row r="733" spans="1:28" ht="15.7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</row>
    <row r="734" spans="1:28" ht="15.7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</row>
    <row r="735" spans="1:28" ht="15.7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</row>
    <row r="736" spans="1:28" ht="15.7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</row>
    <row r="737" spans="1:28" ht="15.7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</row>
    <row r="738" spans="1:28" ht="15.7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</row>
    <row r="739" spans="1:28" ht="15.7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</row>
    <row r="740" spans="1:28" ht="15.7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</row>
    <row r="741" spans="1:28" ht="15.7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</row>
    <row r="742" spans="1:28" ht="15.7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</row>
    <row r="743" spans="1:28" ht="15.7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</row>
    <row r="744" spans="1:28" ht="15.7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</row>
    <row r="745" spans="1:28" ht="15.7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</row>
    <row r="746" spans="1:28" ht="15.7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</row>
    <row r="747" spans="1:28" ht="15.7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</row>
    <row r="748" spans="1:28" ht="15.7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</row>
    <row r="749" spans="1:28" ht="15.7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</row>
    <row r="750" spans="1:28" ht="15.7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</row>
    <row r="751" spans="1:28" ht="15.7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</row>
    <row r="752" spans="1:28" ht="15.7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</row>
    <row r="753" spans="1:28" ht="15.7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</row>
    <row r="754" spans="1:28" ht="15.7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</row>
    <row r="755" spans="1:28" ht="15.7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</row>
    <row r="756" spans="1:28" ht="15.7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</row>
    <row r="757" spans="1:28" ht="15.7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</row>
    <row r="758" spans="1:28" ht="15.7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</row>
    <row r="759" spans="1:28" ht="15.7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</row>
    <row r="760" spans="1:28" ht="15.7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</row>
    <row r="761" spans="1:28" ht="15.7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</row>
    <row r="762" spans="1:28" ht="15.7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</row>
    <row r="763" spans="1:28" ht="15.7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</row>
    <row r="764" spans="1:28" ht="15.7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</row>
    <row r="765" spans="1:28" ht="15.7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</row>
    <row r="766" spans="1:28" ht="15.7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</row>
    <row r="767" spans="1:28" ht="15.7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</row>
    <row r="768" spans="1:28" ht="15.7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</row>
    <row r="769" spans="1:28" ht="15.7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</row>
    <row r="770" spans="1:28" ht="15.7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</row>
    <row r="771" spans="1:28" ht="15.7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</row>
    <row r="772" spans="1:28" ht="15.7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</row>
    <row r="773" spans="1:28" ht="15.7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</row>
    <row r="774" spans="1:28" ht="15.7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</row>
    <row r="775" spans="1:28" ht="15.7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</row>
    <row r="776" spans="1:28" ht="15.7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</row>
    <row r="777" spans="1:28" ht="15.7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</row>
    <row r="778" spans="1:28" ht="15.7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</row>
    <row r="779" spans="1:28" ht="15.7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</row>
    <row r="780" spans="1:28" ht="15.7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</row>
    <row r="781" spans="1:28" ht="15.7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</row>
    <row r="782" spans="1:28" ht="15.7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</row>
    <row r="783" spans="1:28" ht="15.7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</row>
    <row r="784" spans="1:28" ht="15.7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</row>
    <row r="785" spans="1:28" ht="15.7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</row>
    <row r="786" spans="1:28" ht="15.7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</row>
    <row r="787" spans="1:28" ht="15.7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</row>
    <row r="788" spans="1:28" ht="15.7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</row>
    <row r="789" spans="1:28" ht="15.7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</row>
    <row r="790" spans="1:28" ht="15.7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</row>
    <row r="791" spans="1:28" ht="15.7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</row>
    <row r="792" spans="1:28" ht="15.7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</row>
    <row r="793" spans="1:28" ht="15.7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</row>
    <row r="794" spans="1:28" ht="15.7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</row>
    <row r="795" spans="1:28" ht="15.7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</row>
    <row r="796" spans="1:28" ht="15.7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</row>
    <row r="797" spans="1:28" ht="15.7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</row>
    <row r="798" spans="1:28" ht="15.7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</row>
    <row r="799" spans="1:28" ht="15.7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</row>
    <row r="800" spans="1:28" ht="15.7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</row>
    <row r="801" spans="1:28" ht="15.7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</row>
    <row r="802" spans="1:28" ht="15.7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</row>
    <row r="803" spans="1:28" ht="15.7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</row>
    <row r="804" spans="1:28" ht="15.7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</row>
    <row r="805" spans="1:28" ht="15.7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</row>
    <row r="806" spans="1:28" ht="15.7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</row>
    <row r="807" spans="1:28" ht="15.7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</row>
    <row r="808" spans="1:28" ht="15.7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</row>
    <row r="809" spans="1:28" ht="15.7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</row>
    <row r="810" spans="1:28" ht="15.7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</row>
    <row r="811" spans="1:28" ht="15.7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</row>
    <row r="812" spans="1:28" ht="15.7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</row>
    <row r="813" spans="1:28" ht="15.7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</row>
    <row r="814" spans="1:28" ht="15.7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</row>
    <row r="815" spans="1:28" ht="15.7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</row>
    <row r="816" spans="1:28" ht="15.7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</row>
    <row r="817" spans="1:28" ht="15.7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</row>
    <row r="818" spans="1:28" ht="15.7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</row>
    <row r="819" spans="1:28" ht="15.7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</row>
    <row r="820" spans="1:28" ht="15.7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</row>
    <row r="821" spans="1:28" ht="15.7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</row>
    <row r="822" spans="1:28" ht="15.7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</row>
    <row r="823" spans="1:28" ht="15.7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</row>
    <row r="824" spans="1:28" ht="15.7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</row>
    <row r="825" spans="1:28" ht="15.7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</row>
    <row r="826" spans="1:28" ht="15.7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</row>
    <row r="827" spans="1:28" ht="15.7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</row>
    <row r="828" spans="1:28" ht="15.7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</row>
    <row r="829" spans="1:28" ht="15.7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</row>
    <row r="830" spans="1:28" ht="15.7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</row>
    <row r="831" spans="1:28" ht="15.7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</row>
    <row r="832" spans="1:28" ht="15.7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</row>
    <row r="833" spans="1:28" ht="15.7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</row>
    <row r="834" spans="1:28" ht="15.7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</row>
    <row r="835" spans="1:28" ht="15.7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</row>
    <row r="836" spans="1:28" ht="15.7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</row>
    <row r="837" spans="1:28" ht="15.7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</row>
    <row r="838" spans="1:28" ht="15.7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</row>
    <row r="839" spans="1:28" ht="15.7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</row>
    <row r="840" spans="1:28" ht="15.7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</row>
    <row r="841" spans="1:28" ht="15.7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</row>
    <row r="842" spans="1:28" ht="15.7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</row>
    <row r="843" spans="1:28" ht="15.7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</row>
    <row r="844" spans="1:28" ht="15.7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</row>
    <row r="845" spans="1:28" ht="15.7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</row>
    <row r="846" spans="1:28" ht="15.7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</row>
    <row r="847" spans="1:28" ht="15.7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</row>
    <row r="848" spans="1:28" ht="15.7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</row>
    <row r="849" spans="1:28" ht="15.7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</row>
    <row r="850" spans="1:28" ht="15.7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</row>
    <row r="851" spans="1:28" ht="15.7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</row>
    <row r="852" spans="1:28" ht="15.7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</row>
    <row r="853" spans="1:28" ht="15.7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</row>
    <row r="854" spans="1:28" ht="15.7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</row>
    <row r="855" spans="1:28" ht="15.7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</row>
    <row r="856" spans="1:28" ht="15.7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</row>
    <row r="857" spans="1:28" ht="15.7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</row>
    <row r="858" spans="1:28" ht="15.7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</row>
    <row r="859" spans="1:28" ht="15.7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</row>
    <row r="860" spans="1:28" ht="15.7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</row>
    <row r="861" spans="1:28" ht="15.7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</row>
    <row r="862" spans="1:28" ht="15.7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</row>
    <row r="863" spans="1:28" ht="15.7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</row>
    <row r="864" spans="1:28" ht="15.7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</row>
    <row r="865" spans="1:28" ht="15.7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</row>
    <row r="866" spans="1:28" ht="15.7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</row>
    <row r="867" spans="1:28" ht="15.7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</row>
    <row r="868" spans="1:28" ht="15.7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</row>
    <row r="869" spans="1:28" ht="15.7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</row>
    <row r="870" spans="1:28" ht="15.7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</row>
    <row r="871" spans="1:28" ht="15.7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</row>
    <row r="872" spans="1:28" ht="15.7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</row>
    <row r="873" spans="1:28" ht="15.7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</row>
    <row r="874" spans="1:28" ht="15.7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</row>
    <row r="875" spans="1:28" ht="15.7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</row>
    <row r="876" spans="1:28" ht="15.7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</row>
    <row r="877" spans="1:28" ht="15.7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</row>
    <row r="878" spans="1:28" ht="15.7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</row>
    <row r="879" spans="1:28" ht="15.7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</row>
    <row r="880" spans="1:28" ht="15.7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</row>
    <row r="881" spans="1:28" ht="15.7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</row>
    <row r="882" spans="1:28" ht="15.7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</row>
    <row r="883" spans="1:28" ht="15.7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</row>
    <row r="884" spans="1:28" ht="15.7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</row>
    <row r="885" spans="1:28" ht="15.7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</row>
    <row r="886" spans="1:28" ht="15.7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</row>
    <row r="887" spans="1:28" ht="15.7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</row>
    <row r="888" spans="1:28" ht="15.7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</row>
    <row r="889" spans="1:28" ht="15.7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</row>
    <row r="890" spans="1:28" ht="15.7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</row>
    <row r="891" spans="1:28" ht="15.7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</row>
    <row r="892" spans="1:28" ht="15.7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</row>
    <row r="893" spans="1:28" ht="15.7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</row>
    <row r="894" spans="1:28" ht="15.7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</row>
    <row r="895" spans="1:28" ht="15.7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</row>
    <row r="896" spans="1:28" ht="15.7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</row>
    <row r="897" spans="1:28" ht="15.7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</row>
    <row r="898" spans="1:28" ht="15.7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</row>
    <row r="899" spans="1:28" ht="15.7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</row>
    <row r="900" spans="1:28" ht="15.7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</row>
    <row r="901" spans="1:28" ht="15.7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</row>
    <row r="902" spans="1:28" ht="15.7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</row>
    <row r="903" spans="1:28" ht="15.7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</row>
    <row r="904" spans="1:28" ht="15.7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</row>
    <row r="905" spans="1:28" ht="15.7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</row>
    <row r="906" spans="1:28" ht="15.7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</row>
    <row r="907" spans="1:28" ht="15.7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</row>
    <row r="908" spans="1:28" ht="15.7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</row>
    <row r="909" spans="1:28" ht="15.7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</row>
    <row r="910" spans="1:28" ht="15.7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</row>
    <row r="911" spans="1:28" ht="15.7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</row>
    <row r="912" spans="1:28" ht="15.7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</row>
    <row r="913" spans="1:28" ht="15.7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</row>
    <row r="914" spans="1:28" ht="15.7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</row>
    <row r="915" spans="1:28" ht="15.7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</row>
    <row r="916" spans="1:28" ht="15.7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</row>
    <row r="917" spans="1:28" ht="15.7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</row>
    <row r="918" spans="1:28" ht="15.7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</row>
    <row r="919" spans="1:28" ht="15.7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</row>
    <row r="920" spans="1:28" ht="15.7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</row>
    <row r="921" spans="1:28" ht="15.7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</row>
    <row r="922" spans="1:28" ht="15.7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</row>
    <row r="923" spans="1:28" ht="15.7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</row>
    <row r="924" spans="1:28" ht="15.7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</row>
    <row r="925" spans="1:28" ht="15.7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</row>
    <row r="926" spans="1:28" ht="15.7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</row>
    <row r="927" spans="1:28" ht="15.7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</row>
    <row r="928" spans="1:28" ht="15.7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</row>
    <row r="929" spans="1:28" ht="15.7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</row>
    <row r="930" spans="1:28" ht="15.7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</row>
    <row r="931" spans="1:28" ht="15.7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</row>
    <row r="932" spans="1:28" ht="15.7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</row>
    <row r="933" spans="1:28" ht="15.7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</row>
    <row r="934" spans="1:28" ht="15.7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</row>
    <row r="935" spans="1:28" ht="15.7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</row>
    <row r="936" spans="1:28" ht="15.7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</row>
    <row r="937" spans="1:28" ht="15.7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</row>
    <row r="938" spans="1:28" ht="15.7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</row>
    <row r="939" spans="1:28" ht="15.7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</row>
    <row r="940" spans="1:28" ht="15.7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</row>
    <row r="941" spans="1:28" ht="15.7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</row>
    <row r="942" spans="1:28" ht="15.7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</row>
    <row r="943" spans="1:28" ht="15.7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</row>
    <row r="944" spans="1:28" ht="15.7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</row>
    <row r="945" spans="1:28" ht="15.7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</row>
    <row r="946" spans="1:28" ht="15.7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</row>
    <row r="947" spans="1:28" ht="15.7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</row>
    <row r="948" spans="1:28" ht="15.7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</row>
    <row r="949" spans="1:28" ht="15.7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</row>
    <row r="950" spans="1:28" ht="15.7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</row>
    <row r="951" spans="1:28" ht="15.7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</row>
    <row r="952" spans="1:28" ht="15.7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</row>
    <row r="953" spans="1:28" ht="15.7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</row>
    <row r="954" spans="1:28" ht="15.7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</row>
    <row r="955" spans="1:28" ht="15.7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</row>
    <row r="956" spans="1:28" ht="15.7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</row>
    <row r="957" spans="1:28" ht="15.7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</row>
    <row r="958" spans="1:28" ht="15.7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</row>
    <row r="959" spans="1:28" ht="15.7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</row>
    <row r="960" spans="1:28" ht="15.7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</row>
    <row r="961" spans="1:28" ht="15.7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</row>
    <row r="962" spans="1:28" ht="15.7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</row>
    <row r="963" spans="1:28" ht="15.7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</row>
    <row r="964" spans="1:28" ht="15.7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</row>
    <row r="965" spans="1:28" ht="15.7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</row>
    <row r="966" spans="1:28" ht="15.7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</row>
    <row r="967" spans="1:28" ht="15.7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</row>
    <row r="968" spans="1:28" ht="15.7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</row>
    <row r="969" spans="1:28" ht="15.7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</row>
    <row r="970" spans="1:28" ht="15.7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</row>
    <row r="971" spans="1:28" ht="15.7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</row>
    <row r="972" spans="1:28" ht="15.7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</row>
    <row r="973" spans="1:28" ht="15.7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</row>
    <row r="974" spans="1:28" ht="15.7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</row>
    <row r="975" spans="1:28" ht="15.7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</row>
    <row r="976" spans="1:28" ht="15.7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</row>
    <row r="977" spans="1:28" ht="15.7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</row>
    <row r="978" spans="1:28" ht="15.7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</row>
    <row r="979" spans="1:28" ht="15.7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</row>
    <row r="980" spans="1:28" ht="15.7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</row>
    <row r="981" spans="1:28" ht="15.7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</row>
    <row r="982" spans="1:28" ht="15.7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</row>
    <row r="983" spans="1:28" ht="15.7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</row>
    <row r="984" spans="1:28" ht="15.7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</row>
    <row r="985" spans="1:28" ht="15.7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</row>
    <row r="986" spans="1:28" ht="15.7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</row>
    <row r="987" spans="1:28" ht="15.7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</row>
    <row r="988" spans="1:28" ht="15.7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</row>
    <row r="989" spans="1:28" ht="15.7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</row>
    <row r="990" spans="1:28" ht="15.7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</row>
    <row r="991" spans="1:28" ht="15.7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</row>
    <row r="992" spans="1:28" ht="15.7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</row>
    <row r="993" spans="1:28" ht="15.7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</row>
    <row r="994" spans="1:28" ht="15.7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</row>
    <row r="995" spans="1:28" ht="15.7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</row>
    <row r="996" spans="1:28" ht="15.7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</row>
    <row r="997" spans="1:28" ht="15.7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</row>
    <row r="998" spans="1:28" ht="15.7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</row>
    <row r="999" spans="1:28" ht="15.7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</row>
    <row r="1000" spans="1:28" ht="15.75" customHeight="1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</row>
    <row r="1001" spans="1:28" ht="15.75" customHeight="1" x14ac:dyDescent="0.2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</row>
    <row r="1002" spans="1:28" ht="15.75" customHeight="1" x14ac:dyDescent="0.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</row>
    <row r="1003" spans="1:28" ht="15.75" customHeight="1" x14ac:dyDescent="0.2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</row>
  </sheetData>
  <mergeCells count="18">
    <mergeCell ref="C4:F4"/>
    <mergeCell ref="D6:E6"/>
    <mergeCell ref="C8:F8"/>
    <mergeCell ref="C17:F17"/>
    <mergeCell ref="C18:F18"/>
    <mergeCell ref="C24:F24"/>
    <mergeCell ref="C29:F29"/>
    <mergeCell ref="C55:F55"/>
    <mergeCell ref="C66:F66"/>
    <mergeCell ref="C67:F67"/>
    <mergeCell ref="I67:J67"/>
    <mergeCell ref="C33:F33"/>
    <mergeCell ref="C37:F37"/>
    <mergeCell ref="C42:F42"/>
    <mergeCell ref="C50:F50"/>
    <mergeCell ref="C54:F54"/>
    <mergeCell ref="I56:J56"/>
    <mergeCell ref="I57:J57"/>
  </mergeCells>
  <pageMargins left="0.7" right="0.7" top="0.75" bottom="0.75" header="0" footer="0"/>
  <pageSetup scale="25" orientation="portrait" r:id="rId1"/>
  <drawing r:id="rId2"/>
  <legacyDrawing r:id="rId3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00000000-0003-0000-0100-000000000000}">
          <x14:colorSeries rgb="FF376092"/>
          <x14:sparklines>
            <x14:sparkline>
              <xm:f>'Reporte '!N6:N23</xm:f>
              <xm:sqref>N4</xm:sqref>
            </x14:sparkline>
          </x14:sparklines>
        </x14:sparklineGroup>
        <x14:sparklineGroup displayEmptyCellsAs="gap" xr2:uid="{00000000-0003-0000-0100-000001000000}">
          <x14:colorSeries rgb="FF376092"/>
          <x14:sparklines>
            <x14:sparkline>
              <xm:f>'Reporte '!O6:O23</xm:f>
              <xm:sqref>O4</xm:sqref>
            </x14:sparkline>
          </x14:sparklines>
        </x14:sparklineGroup>
        <x14:sparklineGroup displayEmptyCellsAs="gap" xr2:uid="{00000000-0003-0000-0100-000002000000}">
          <x14:colorSeries rgb="FF376092"/>
          <x14:sparklines>
            <x14:sparkline>
              <xm:f>'Reporte '!P6:P23</xm:f>
              <xm:sqref>P4</xm:sqref>
            </x14:sparkline>
          </x14:sparklines>
        </x14:sparklineGroup>
        <x14:sparklineGroup displayEmptyCellsAs="gap" xr2:uid="{00000000-0003-0000-0100-000003000000}">
          <x14:colorSeries rgb="FF376092"/>
          <x14:sparklines>
            <x14:sparkline>
              <xm:f>'Reporte '!Q6:Q23</xm:f>
              <xm:sqref>Q4</xm:sqref>
            </x14:sparkline>
          </x14:sparklines>
        </x14:sparklineGroup>
        <x14:sparklineGroup displayEmptyCellsAs="gap" xr2:uid="{00000000-0003-0000-0100-000004000000}">
          <x14:colorSeries rgb="FF376092"/>
          <x14:sparklines>
            <x14:sparkline>
              <xm:f>'Reporte '!R6:R23</xm:f>
              <xm:sqref>R4</xm:sqref>
            </x14:sparkline>
          </x14:sparklines>
        </x14:sparklineGroup>
        <x14:sparklineGroup displayEmptyCellsAs="gap" xr2:uid="{00000000-0003-0000-0100-000005000000}">
          <x14:colorSeries rgb="FF376092"/>
          <x14:sparklines>
            <x14:sparkline>
              <xm:f>'Reporte '!S6:S23</xm:f>
              <xm:sqref>S4</xm:sqref>
            </x14:sparkline>
          </x14:sparklines>
        </x14:sparklineGroup>
        <x14:sparklineGroup displayEmptyCellsAs="gap" xr2:uid="{00000000-0003-0000-0100-000006000000}">
          <x14:colorSeries rgb="FF376092"/>
          <x14:sparklines>
            <x14:sparkline>
              <xm:f>'Reporte '!T6:T23</xm:f>
              <xm:sqref>T4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13C12-D850-49E3-AE44-1E5FFBC7CCFE}">
  <dimension ref="B1:O40"/>
  <sheetViews>
    <sheetView showGridLines="0" topLeftCell="A17" zoomScaleNormal="100" workbookViewId="0">
      <selection activeCell="F36" sqref="F36"/>
    </sheetView>
  </sheetViews>
  <sheetFormatPr baseColWidth="10" defaultRowHeight="15" x14ac:dyDescent="0.2"/>
  <cols>
    <col min="1" max="1" width="2.6640625" customWidth="1"/>
  </cols>
  <sheetData>
    <row r="1" spans="2:15" ht="16" thickBot="1" x14ac:dyDescent="0.25"/>
    <row r="2" spans="2:15" ht="16" thickBot="1" x14ac:dyDescent="0.25">
      <c r="B2" s="198"/>
      <c r="C2" s="199"/>
      <c r="D2" s="199"/>
      <c r="E2" s="199"/>
      <c r="F2" s="199"/>
      <c r="G2" s="199"/>
      <c r="H2" s="199"/>
      <c r="I2" s="199"/>
      <c r="J2" s="199"/>
      <c r="K2" s="199"/>
      <c r="L2" s="199"/>
      <c r="M2" s="200"/>
      <c r="N2" s="200"/>
      <c r="O2" s="201"/>
    </row>
    <row r="3" spans="2:15" x14ac:dyDescent="0.2">
      <c r="B3" s="202"/>
      <c r="C3" s="297"/>
      <c r="D3" s="298"/>
      <c r="E3" s="303" t="s">
        <v>201</v>
      </c>
      <c r="F3" s="304"/>
      <c r="G3" s="304"/>
      <c r="H3" s="304"/>
      <c r="I3" s="304"/>
      <c r="J3" s="304"/>
      <c r="K3" s="304"/>
      <c r="L3" s="304"/>
      <c r="M3" s="304"/>
      <c r="N3" s="305"/>
      <c r="O3" s="203"/>
    </row>
    <row r="4" spans="2:15" x14ac:dyDescent="0.2">
      <c r="B4" s="204"/>
      <c r="C4" s="299"/>
      <c r="D4" s="300"/>
      <c r="E4" s="306"/>
      <c r="F4" s="307"/>
      <c r="G4" s="307"/>
      <c r="H4" s="307"/>
      <c r="I4" s="307"/>
      <c r="J4" s="307"/>
      <c r="K4" s="307"/>
      <c r="L4" s="307"/>
      <c r="M4" s="307"/>
      <c r="N4" s="308"/>
      <c r="O4" s="205"/>
    </row>
    <row r="5" spans="2:15" x14ac:dyDescent="0.2">
      <c r="B5" s="204"/>
      <c r="C5" s="299"/>
      <c r="D5" s="300"/>
      <c r="E5" s="306"/>
      <c r="F5" s="307"/>
      <c r="G5" s="307"/>
      <c r="H5" s="307"/>
      <c r="I5" s="307"/>
      <c r="J5" s="307"/>
      <c r="K5" s="307"/>
      <c r="L5" s="307"/>
      <c r="M5" s="307"/>
      <c r="N5" s="308"/>
      <c r="O5" s="205"/>
    </row>
    <row r="6" spans="2:15" x14ac:dyDescent="0.2">
      <c r="B6" s="204"/>
      <c r="C6" s="299"/>
      <c r="D6" s="300"/>
      <c r="E6" s="306"/>
      <c r="F6" s="307"/>
      <c r="G6" s="307"/>
      <c r="H6" s="307"/>
      <c r="I6" s="307"/>
      <c r="J6" s="307"/>
      <c r="K6" s="307"/>
      <c r="L6" s="307"/>
      <c r="M6" s="307"/>
      <c r="N6" s="308"/>
      <c r="O6" s="205"/>
    </row>
    <row r="7" spans="2:15" x14ac:dyDescent="0.2">
      <c r="B7" s="202"/>
      <c r="C7" s="299"/>
      <c r="D7" s="300"/>
      <c r="E7" s="306"/>
      <c r="F7" s="307"/>
      <c r="G7" s="307"/>
      <c r="H7" s="307"/>
      <c r="I7" s="307"/>
      <c r="J7" s="307"/>
      <c r="K7" s="307"/>
      <c r="L7" s="307"/>
      <c r="M7" s="307"/>
      <c r="N7" s="308"/>
      <c r="O7" s="203"/>
    </row>
    <row r="8" spans="2:15" ht="15.75" customHeight="1" x14ac:dyDescent="0.2">
      <c r="B8" s="202"/>
      <c r="C8" s="299"/>
      <c r="D8" s="300"/>
      <c r="E8" s="309" t="s">
        <v>212</v>
      </c>
      <c r="F8" s="310"/>
      <c r="G8" s="310"/>
      <c r="H8" s="310"/>
      <c r="I8" s="310"/>
      <c r="J8" s="311"/>
      <c r="K8" s="345" t="s">
        <v>202</v>
      </c>
      <c r="L8" s="310"/>
      <c r="M8" s="315">
        <v>45123</v>
      </c>
      <c r="N8" s="316"/>
      <c r="O8" s="203"/>
    </row>
    <row r="9" spans="2:15" ht="16" thickBot="1" x14ac:dyDescent="0.25">
      <c r="B9" s="202"/>
      <c r="C9" s="301"/>
      <c r="D9" s="302"/>
      <c r="E9" s="312"/>
      <c r="F9" s="313"/>
      <c r="G9" s="313"/>
      <c r="H9" s="313"/>
      <c r="I9" s="313"/>
      <c r="J9" s="314"/>
      <c r="K9" s="346"/>
      <c r="L9" s="313"/>
      <c r="M9" s="317"/>
      <c r="N9" s="318"/>
      <c r="O9" s="203"/>
    </row>
    <row r="10" spans="2:15" ht="16" thickBot="1" x14ac:dyDescent="0.25">
      <c r="B10" s="202"/>
      <c r="C10" s="206"/>
      <c r="D10" s="206"/>
      <c r="E10" s="206"/>
      <c r="F10" s="206"/>
      <c r="G10" s="206"/>
      <c r="H10" s="206"/>
      <c r="I10" s="206"/>
      <c r="J10" s="206"/>
      <c r="K10" s="206"/>
      <c r="L10" s="206"/>
      <c r="M10" s="207"/>
      <c r="N10" s="207"/>
      <c r="O10" s="203"/>
    </row>
    <row r="11" spans="2:15" x14ac:dyDescent="0.2">
      <c r="C11" s="319"/>
      <c r="D11" s="320"/>
      <c r="E11" s="321"/>
      <c r="F11" s="209" t="s">
        <v>203</v>
      </c>
      <c r="G11" s="210" t="s">
        <v>204</v>
      </c>
      <c r="H11" s="211" t="s">
        <v>205</v>
      </c>
      <c r="I11" s="319"/>
      <c r="J11" s="320"/>
      <c r="K11" s="321"/>
      <c r="L11" s="209" t="s">
        <v>203</v>
      </c>
      <c r="M11" s="210" t="s">
        <v>204</v>
      </c>
      <c r="N11" s="211" t="s">
        <v>205</v>
      </c>
      <c r="O11" s="203"/>
    </row>
    <row r="12" spans="2:15" ht="16" thickBot="1" x14ac:dyDescent="0.25">
      <c r="B12" s="208"/>
      <c r="C12" s="322"/>
      <c r="D12" s="323"/>
      <c r="E12" s="324"/>
      <c r="F12" s="212" t="s">
        <v>55</v>
      </c>
      <c r="G12" s="212" t="s">
        <v>206</v>
      </c>
      <c r="H12" s="213" t="s">
        <v>207</v>
      </c>
      <c r="I12" s="322"/>
      <c r="J12" s="323"/>
      <c r="K12" s="324"/>
      <c r="L12" s="212" t="s">
        <v>55</v>
      </c>
      <c r="M12" s="212" t="s">
        <v>206</v>
      </c>
      <c r="N12" s="213" t="s">
        <v>207</v>
      </c>
      <c r="O12" s="203"/>
    </row>
    <row r="13" spans="2:15" ht="16" thickBot="1" x14ac:dyDescent="0.25">
      <c r="B13" s="208"/>
      <c r="C13" s="325" t="s">
        <v>171</v>
      </c>
      <c r="D13" s="326"/>
      <c r="E13" s="326"/>
      <c r="F13" s="326"/>
      <c r="G13" s="326"/>
      <c r="H13" s="326"/>
      <c r="I13" s="327" t="s">
        <v>208</v>
      </c>
      <c r="J13" s="327"/>
      <c r="K13" s="327"/>
      <c r="L13" s="327"/>
      <c r="M13" s="327"/>
      <c r="N13" s="328"/>
      <c r="O13" s="203"/>
    </row>
    <row r="14" spans="2:15" x14ac:dyDescent="0.2">
      <c r="B14" s="208"/>
      <c r="C14" s="329" t="s">
        <v>113</v>
      </c>
      <c r="D14" s="330"/>
      <c r="E14" s="330"/>
      <c r="F14" s="229">
        <f>+'Reporte '!D10</f>
        <v>0</v>
      </c>
      <c r="G14" s="268" t="str">
        <f>+'Reporte '!E10</f>
        <v>0</v>
      </c>
      <c r="H14" s="216">
        <f>+F14*G14</f>
        <v>0</v>
      </c>
      <c r="I14" s="331" t="s">
        <v>214</v>
      </c>
      <c r="J14" s="332"/>
      <c r="K14" s="332"/>
      <c r="L14" s="229">
        <f>+'Reporte '!D20</f>
        <v>0</v>
      </c>
      <c r="M14" s="264">
        <f>+'Reporte '!E20</f>
        <v>0</v>
      </c>
      <c r="N14" s="257">
        <f>+L14*M14</f>
        <v>0</v>
      </c>
      <c r="O14" s="203"/>
    </row>
    <row r="15" spans="2:15" x14ac:dyDescent="0.2">
      <c r="B15" s="208"/>
      <c r="C15" s="333" t="s">
        <v>213</v>
      </c>
      <c r="D15" s="334"/>
      <c r="E15" s="334"/>
      <c r="F15" s="235">
        <f>+'Reporte '!D11</f>
        <v>50012.969109000005</v>
      </c>
      <c r="G15" s="269">
        <f>+'Reporte '!E11</f>
        <v>0.41108322036726097</v>
      </c>
      <c r="H15" s="224">
        <f>+F15*G15</f>
        <v>20559.492401456064</v>
      </c>
      <c r="I15" s="333" t="s">
        <v>48</v>
      </c>
      <c r="J15" s="334"/>
      <c r="K15" s="334"/>
      <c r="L15" s="251">
        <f>+'Reporte '!D19</f>
        <v>0</v>
      </c>
      <c r="M15" s="265">
        <f>+'Reporte '!E19</f>
        <v>0</v>
      </c>
      <c r="N15" s="257">
        <f t="shared" ref="N15:N18" si="0">+L15*M15</f>
        <v>0</v>
      </c>
      <c r="O15" s="203"/>
    </row>
    <row r="16" spans="2:15" x14ac:dyDescent="0.2">
      <c r="B16" s="208"/>
      <c r="C16" s="329"/>
      <c r="D16" s="330"/>
      <c r="E16" s="330"/>
      <c r="F16" s="232"/>
      <c r="G16" s="267"/>
      <c r="H16" s="214"/>
      <c r="I16" s="329" t="s">
        <v>216</v>
      </c>
      <c r="J16" s="330"/>
      <c r="K16" s="330"/>
      <c r="L16" s="232">
        <f>+'Reporte '!D23</f>
        <v>0</v>
      </c>
      <c r="M16" s="266">
        <f>+'Reporte '!E23</f>
        <v>0</v>
      </c>
      <c r="N16" s="257">
        <f t="shared" si="0"/>
        <v>0</v>
      </c>
      <c r="O16" s="203"/>
    </row>
    <row r="17" spans="2:15" x14ac:dyDescent="0.2">
      <c r="B17" s="208"/>
      <c r="C17" s="333"/>
      <c r="D17" s="334"/>
      <c r="E17" s="334"/>
      <c r="F17" s="235"/>
      <c r="G17" s="269"/>
      <c r="H17" s="224"/>
      <c r="I17" s="333" t="s">
        <v>215</v>
      </c>
      <c r="J17" s="334"/>
      <c r="K17" s="334"/>
      <c r="L17" s="251">
        <f>+'Reporte '!D34</f>
        <v>28977.250949000001</v>
      </c>
      <c r="M17" s="265">
        <f>+'Reporte '!E34</f>
        <v>0.44839042526</v>
      </c>
      <c r="N17" s="257">
        <f t="shared" si="0"/>
        <v>12993.121875887849</v>
      </c>
      <c r="O17" s="203"/>
    </row>
    <row r="18" spans="2:15" ht="16" thickBot="1" x14ac:dyDescent="0.25">
      <c r="B18" s="208"/>
      <c r="C18" s="329"/>
      <c r="D18" s="330"/>
      <c r="E18" s="330"/>
      <c r="F18" s="232"/>
      <c r="G18" s="267"/>
      <c r="H18" s="220"/>
      <c r="I18" s="329" t="s">
        <v>105</v>
      </c>
      <c r="J18" s="330"/>
      <c r="K18" s="330"/>
      <c r="L18" s="232">
        <f>+'Reporte '!D35</f>
        <v>10995.718161000001</v>
      </c>
      <c r="M18" s="266">
        <f>+'Reporte '!E35</f>
        <v>0.48052470984000001</v>
      </c>
      <c r="N18" s="257">
        <f t="shared" si="0"/>
        <v>5283.7142787969442</v>
      </c>
      <c r="O18" s="203"/>
    </row>
    <row r="19" spans="2:15" hidden="1" x14ac:dyDescent="0.2">
      <c r="B19" s="208"/>
      <c r="C19" s="225"/>
      <c r="D19" s="226"/>
      <c r="E19" s="248"/>
      <c r="F19" s="232"/>
      <c r="G19" s="220"/>
      <c r="H19" s="220"/>
      <c r="I19" s="333"/>
      <c r="J19" s="334"/>
      <c r="K19" s="334"/>
      <c r="L19" s="251"/>
      <c r="M19" s="223"/>
      <c r="N19" s="258"/>
      <c r="O19" s="203"/>
    </row>
    <row r="20" spans="2:15" hidden="1" x14ac:dyDescent="0.2">
      <c r="B20" s="208"/>
      <c r="C20" s="329"/>
      <c r="D20" s="330"/>
      <c r="E20" s="330"/>
      <c r="F20" s="232"/>
      <c r="G20" s="220"/>
      <c r="H20" s="220"/>
      <c r="I20" s="329"/>
      <c r="J20" s="330"/>
      <c r="K20" s="330"/>
      <c r="L20" s="232"/>
      <c r="M20" s="215"/>
      <c r="N20" s="244"/>
      <c r="O20" s="203"/>
    </row>
    <row r="21" spans="2:15" ht="16" hidden="1" thickBot="1" x14ac:dyDescent="0.25">
      <c r="B21" s="208"/>
      <c r="C21" s="337"/>
      <c r="D21" s="338"/>
      <c r="E21" s="338"/>
      <c r="F21" s="232"/>
      <c r="G21" s="220"/>
      <c r="H21" s="220"/>
      <c r="I21" s="339"/>
      <c r="J21" s="340"/>
      <c r="K21" s="340"/>
      <c r="L21" s="251"/>
      <c r="M21" s="223"/>
      <c r="N21" s="260"/>
      <c r="O21" s="203"/>
    </row>
    <row r="22" spans="2:15" ht="16" thickBot="1" x14ac:dyDescent="0.25">
      <c r="B22" s="208"/>
      <c r="C22" s="335" t="s">
        <v>209</v>
      </c>
      <c r="D22" s="336"/>
      <c r="E22" s="336"/>
      <c r="F22" s="253">
        <f>+SUM(F14:F18)</f>
        <v>50012.969109000005</v>
      </c>
      <c r="G22" s="261">
        <f>+(F14*G14+F15*G15)/F22</f>
        <v>0.41108322036726097</v>
      </c>
      <c r="H22" s="227">
        <f>+SUM(H14:H18)</f>
        <v>20559.492401456064</v>
      </c>
      <c r="I22" s="335" t="s">
        <v>209</v>
      </c>
      <c r="J22" s="336"/>
      <c r="K22" s="336"/>
      <c r="L22" s="253">
        <f>+SUM(L14:L18)</f>
        <v>39972.969110000005</v>
      </c>
      <c r="M22" s="261">
        <f>+(L14*M14+L15*M15+L16*M16+L17*M17+L18*M18)/L22</f>
        <v>0.45722988713671747</v>
      </c>
      <c r="N22" s="227">
        <f>+SUM(N14:N18)</f>
        <v>18276.836154684795</v>
      </c>
      <c r="O22" s="203"/>
    </row>
    <row r="23" spans="2:15" ht="16" thickBot="1" x14ac:dyDescent="0.25">
      <c r="B23" s="208"/>
      <c r="C23" s="325" t="s">
        <v>217</v>
      </c>
      <c r="D23" s="326"/>
      <c r="E23" s="326"/>
      <c r="F23" s="326"/>
      <c r="G23" s="326"/>
      <c r="H23" s="342"/>
      <c r="I23" s="325" t="s">
        <v>210</v>
      </c>
      <c r="J23" s="326"/>
      <c r="K23" s="326"/>
      <c r="L23" s="326"/>
      <c r="M23" s="326"/>
      <c r="N23" s="342"/>
      <c r="O23" s="203"/>
    </row>
    <row r="24" spans="2:15" x14ac:dyDescent="0.2">
      <c r="B24" s="208"/>
      <c r="C24" s="331" t="s">
        <v>214</v>
      </c>
      <c r="D24" s="332"/>
      <c r="E24" s="332"/>
      <c r="F24" s="229">
        <f>+'Reporte '!D48</f>
        <v>0</v>
      </c>
      <c r="G24" s="218">
        <f>+'Reporte '!E48</f>
        <v>0</v>
      </c>
      <c r="H24" s="217">
        <f>+F24*G24</f>
        <v>0</v>
      </c>
      <c r="I24" s="329" t="s">
        <v>50</v>
      </c>
      <c r="J24" s="330"/>
      <c r="K24" s="343"/>
      <c r="L24" s="229">
        <f>+'Reporte '!D22</f>
        <v>0</v>
      </c>
      <c r="M24" s="218">
        <f>+'Reporte '!E22</f>
        <v>0</v>
      </c>
      <c r="N24" s="257">
        <f>+L24*M24</f>
        <v>0</v>
      </c>
      <c r="O24" s="203"/>
    </row>
    <row r="25" spans="2:15" x14ac:dyDescent="0.2">
      <c r="B25" s="208"/>
      <c r="C25" s="333" t="s">
        <v>48</v>
      </c>
      <c r="D25" s="334"/>
      <c r="E25" s="334"/>
      <c r="F25" s="251">
        <f>+'Reporte '!D47</f>
        <v>0</v>
      </c>
      <c r="G25" s="223">
        <f>+'Reporte '!E47</f>
        <v>0</v>
      </c>
      <c r="H25" s="222">
        <f>+F25*G25</f>
        <v>0</v>
      </c>
      <c r="I25" s="333" t="s">
        <v>106</v>
      </c>
      <c r="J25" s="334"/>
      <c r="K25" s="344"/>
      <c r="L25" s="230">
        <f>+'Reporte '!D36</f>
        <v>10040</v>
      </c>
      <c r="M25" s="231">
        <f>+'Reporte '!E36</f>
        <v>0.22735620000000001</v>
      </c>
      <c r="N25" s="258">
        <f>+L25*M25</f>
        <v>2282.6562480000002</v>
      </c>
      <c r="O25" s="203"/>
    </row>
    <row r="26" spans="2:15" x14ac:dyDescent="0.2">
      <c r="B26" s="208"/>
      <c r="C26" s="329" t="s">
        <v>216</v>
      </c>
      <c r="D26" s="330"/>
      <c r="E26" s="330"/>
      <c r="F26" s="232">
        <f>+'Reporte '!D45</f>
        <v>1998.58</v>
      </c>
      <c r="G26" s="215">
        <f>+'Reporte '!E45</f>
        <v>0.49</v>
      </c>
      <c r="H26" s="270">
        <f>+F26*G26</f>
        <v>979.30419999999992</v>
      </c>
      <c r="I26" s="329"/>
      <c r="J26" s="330"/>
      <c r="K26" s="330"/>
      <c r="L26" s="252"/>
      <c r="M26" s="215"/>
      <c r="N26" s="259"/>
      <c r="O26" s="203"/>
    </row>
    <row r="27" spans="2:15" x14ac:dyDescent="0.2">
      <c r="B27" s="208"/>
      <c r="C27" s="333" t="s">
        <v>215</v>
      </c>
      <c r="D27" s="334"/>
      <c r="E27" s="334"/>
      <c r="F27" s="251">
        <f>+'Reporte '!D43</f>
        <v>27597.13</v>
      </c>
      <c r="G27" s="223">
        <f>+'Reporte '!E43</f>
        <v>0.44752731015999997</v>
      </c>
      <c r="H27" s="222">
        <f>+F27*G27</f>
        <v>12350.469357035841</v>
      </c>
      <c r="I27" s="219"/>
      <c r="J27" s="249"/>
      <c r="K27" s="250"/>
      <c r="L27" s="230"/>
      <c r="M27" s="231"/>
      <c r="N27" s="260"/>
      <c r="O27" s="203"/>
    </row>
    <row r="28" spans="2:15" ht="16" thickBot="1" x14ac:dyDescent="0.25">
      <c r="B28" s="208"/>
      <c r="C28" s="329" t="s">
        <v>105</v>
      </c>
      <c r="D28" s="330"/>
      <c r="E28" s="330"/>
      <c r="F28" s="232">
        <f>+'Reporte '!D44</f>
        <v>11366.66</v>
      </c>
      <c r="G28" s="215">
        <f>+'Reporte '!E44</f>
        <v>0.48080364181000002</v>
      </c>
      <c r="H28" s="214">
        <f>+F28*G28</f>
        <v>5465.131523216055</v>
      </c>
      <c r="I28" s="329"/>
      <c r="J28" s="330"/>
      <c r="K28" s="343"/>
      <c r="L28" s="232"/>
      <c r="M28" s="215"/>
      <c r="N28" s="244"/>
      <c r="O28" s="203"/>
    </row>
    <row r="29" spans="2:15" hidden="1" x14ac:dyDescent="0.2">
      <c r="B29" s="208"/>
      <c r="C29" s="254"/>
      <c r="D29" s="255"/>
      <c r="E29" s="255"/>
      <c r="F29" s="262"/>
      <c r="G29" s="228"/>
      <c r="H29" s="214"/>
      <c r="I29" s="225"/>
      <c r="J29" s="226"/>
      <c r="K29" s="220"/>
      <c r="L29" s="232"/>
      <c r="M29" s="215"/>
      <c r="N29" s="244"/>
      <c r="O29" s="203"/>
    </row>
    <row r="30" spans="2:15" ht="16" hidden="1" thickBot="1" x14ac:dyDescent="0.25">
      <c r="B30" s="208"/>
      <c r="C30" s="337"/>
      <c r="D30" s="338"/>
      <c r="E30" s="338"/>
      <c r="F30" s="262">
        <v>0</v>
      </c>
      <c r="G30" s="228">
        <v>0</v>
      </c>
      <c r="H30" s="214">
        <v>0</v>
      </c>
      <c r="I30" s="233"/>
      <c r="J30" s="234"/>
      <c r="K30" s="221"/>
      <c r="L30" s="235"/>
      <c r="M30" s="223"/>
      <c r="N30" s="260"/>
      <c r="O30" s="203"/>
    </row>
    <row r="31" spans="2:15" ht="16" thickBot="1" x14ac:dyDescent="0.25">
      <c r="B31" s="208"/>
      <c r="C31" s="335" t="s">
        <v>209</v>
      </c>
      <c r="D31" s="336"/>
      <c r="E31" s="336"/>
      <c r="F31" s="253">
        <f>+SUM(F24:F28)</f>
        <v>40962.369999999995</v>
      </c>
      <c r="G31" s="261">
        <f>+(F28*G28+F24*G24+F25*G25+F26*G26+F27*G27)/F31</f>
        <v>0.45883343859869191</v>
      </c>
      <c r="H31" s="227">
        <f>+SUM(H24:H28)</f>
        <v>18794.905080251898</v>
      </c>
      <c r="I31" s="335" t="s">
        <v>209</v>
      </c>
      <c r="J31" s="336"/>
      <c r="K31" s="336"/>
      <c r="L31" s="253">
        <f>+SUM(L24:L28)</f>
        <v>10040</v>
      </c>
      <c r="M31" s="261">
        <f>+(L28*M28+L24*M24+L25*M25+L26*M26+L27*M27)/L31</f>
        <v>0.22735620000000004</v>
      </c>
      <c r="N31" s="227">
        <f>+SUM(N24:N28)</f>
        <v>2282.6562480000002</v>
      </c>
      <c r="O31" s="203"/>
    </row>
    <row r="32" spans="2:15" ht="16" thickBot="1" x14ac:dyDescent="0.25">
      <c r="B32" s="208"/>
      <c r="C32" s="341"/>
      <c r="D32" s="341"/>
      <c r="E32" s="341"/>
      <c r="F32" s="236"/>
      <c r="G32" s="236"/>
      <c r="H32" s="236"/>
      <c r="I32" s="320"/>
      <c r="J32" s="320"/>
      <c r="K32" s="320"/>
      <c r="L32" s="207"/>
      <c r="M32" s="207"/>
      <c r="N32" s="207"/>
      <c r="O32" s="203"/>
    </row>
    <row r="33" spans="2:15" x14ac:dyDescent="0.2">
      <c r="B33" s="208"/>
      <c r="C33" s="325" t="s">
        <v>211</v>
      </c>
      <c r="D33" s="326"/>
      <c r="E33" s="326"/>
      <c r="F33" s="342"/>
      <c r="G33" s="237"/>
      <c r="H33" s="238"/>
      <c r="I33" s="238"/>
      <c r="J33" s="238"/>
      <c r="K33" s="207"/>
      <c r="L33" s="236"/>
      <c r="M33" s="236"/>
      <c r="N33" s="236"/>
      <c r="O33" s="203"/>
    </row>
    <row r="34" spans="2:15" ht="16" thickBot="1" x14ac:dyDescent="0.25">
      <c r="B34" s="208"/>
      <c r="C34" s="347"/>
      <c r="D34" s="348"/>
      <c r="E34" s="348"/>
      <c r="F34" s="239" t="s">
        <v>55</v>
      </c>
      <c r="G34" s="207"/>
      <c r="H34" s="240"/>
      <c r="I34" s="240"/>
      <c r="J34" s="240"/>
      <c r="K34" s="240"/>
      <c r="L34" s="241">
        <v>0.8</v>
      </c>
      <c r="M34" s="240"/>
      <c r="N34" s="240"/>
      <c r="O34" s="203"/>
    </row>
    <row r="35" spans="2:15" x14ac:dyDescent="0.2">
      <c r="B35" s="208"/>
      <c r="C35" s="331" t="s">
        <v>214</v>
      </c>
      <c r="D35" s="332"/>
      <c r="E35" s="332"/>
      <c r="F35" s="242"/>
      <c r="G35" s="207"/>
      <c r="H35" s="240"/>
      <c r="I35" s="240"/>
      <c r="J35" s="240"/>
      <c r="K35" s="240"/>
      <c r="L35" s="241">
        <v>8.68</v>
      </c>
      <c r="M35" s="240"/>
      <c r="N35" s="240"/>
      <c r="O35" s="203"/>
    </row>
    <row r="36" spans="2:15" x14ac:dyDescent="0.2">
      <c r="B36" s="208"/>
      <c r="C36" s="333" t="s">
        <v>48</v>
      </c>
      <c r="D36" s="334"/>
      <c r="E36" s="334"/>
      <c r="F36" s="256"/>
      <c r="G36" s="207"/>
      <c r="H36" s="240"/>
      <c r="I36" s="240"/>
      <c r="J36" s="240"/>
      <c r="K36" s="240"/>
      <c r="L36" s="241">
        <v>0.73</v>
      </c>
      <c r="M36" s="240"/>
      <c r="N36" s="240"/>
      <c r="O36" s="203"/>
    </row>
    <row r="37" spans="2:15" x14ac:dyDescent="0.2">
      <c r="B37" s="208"/>
      <c r="C37" s="329" t="s">
        <v>216</v>
      </c>
      <c r="D37" s="330"/>
      <c r="E37" s="330"/>
      <c r="F37" s="243"/>
      <c r="G37" s="207"/>
      <c r="H37" s="240"/>
      <c r="I37" s="240"/>
      <c r="J37" s="240"/>
      <c r="K37" s="240"/>
      <c r="L37" s="241">
        <v>8.68</v>
      </c>
      <c r="M37" s="240"/>
      <c r="N37" s="240"/>
      <c r="O37" s="203"/>
    </row>
    <row r="38" spans="2:15" x14ac:dyDescent="0.2">
      <c r="B38" s="208"/>
      <c r="C38" s="333" t="s">
        <v>215</v>
      </c>
      <c r="D38" s="334"/>
      <c r="E38" s="334"/>
      <c r="F38" s="256"/>
      <c r="G38" s="207"/>
      <c r="H38" s="240"/>
      <c r="I38" s="240"/>
      <c r="J38" s="240"/>
      <c r="K38" s="240"/>
      <c r="L38" s="241">
        <v>0.05</v>
      </c>
      <c r="M38" s="240"/>
      <c r="N38" s="240"/>
      <c r="O38" s="203"/>
    </row>
    <row r="39" spans="2:15" ht="16" thickBot="1" x14ac:dyDescent="0.25">
      <c r="B39" s="208"/>
      <c r="C39" s="337" t="s">
        <v>105</v>
      </c>
      <c r="D39" s="338"/>
      <c r="E39" s="338"/>
      <c r="F39" s="263"/>
      <c r="G39" s="207"/>
      <c r="H39" s="240"/>
      <c r="I39" s="240"/>
      <c r="J39" s="240"/>
      <c r="K39" s="240"/>
      <c r="L39" s="241"/>
      <c r="M39" s="240"/>
      <c r="N39" s="240"/>
      <c r="O39" s="203"/>
    </row>
    <row r="40" spans="2:15" ht="16" thickBot="1" x14ac:dyDescent="0.25">
      <c r="B40" s="245"/>
      <c r="C40" s="246"/>
      <c r="D40" s="246"/>
      <c r="E40" s="246"/>
      <c r="F40" s="246"/>
      <c r="G40" s="246"/>
      <c r="H40" s="246"/>
      <c r="I40" s="246"/>
      <c r="J40" s="246"/>
      <c r="K40" s="246"/>
      <c r="L40" s="246"/>
      <c r="M40" s="246"/>
      <c r="N40" s="246"/>
      <c r="O40" s="247"/>
    </row>
  </sheetData>
  <mergeCells count="49">
    <mergeCell ref="C39:E39"/>
    <mergeCell ref="K8:L9"/>
    <mergeCell ref="C26:E26"/>
    <mergeCell ref="C27:E27"/>
    <mergeCell ref="I26:K26"/>
    <mergeCell ref="C33:F33"/>
    <mergeCell ref="C34:E34"/>
    <mergeCell ref="C35:E35"/>
    <mergeCell ref="C36:E36"/>
    <mergeCell ref="C37:E37"/>
    <mergeCell ref="C38:E38"/>
    <mergeCell ref="C28:E28"/>
    <mergeCell ref="I28:K28"/>
    <mergeCell ref="C30:E30"/>
    <mergeCell ref="C31:E31"/>
    <mergeCell ref="I31:K31"/>
    <mergeCell ref="C32:E32"/>
    <mergeCell ref="I32:K32"/>
    <mergeCell ref="C23:H23"/>
    <mergeCell ref="I23:N23"/>
    <mergeCell ref="C24:E24"/>
    <mergeCell ref="I24:K24"/>
    <mergeCell ref="C25:E25"/>
    <mergeCell ref="I25:K25"/>
    <mergeCell ref="C22:E22"/>
    <mergeCell ref="I22:K22"/>
    <mergeCell ref="C16:E16"/>
    <mergeCell ref="I16:K16"/>
    <mergeCell ref="C17:E17"/>
    <mergeCell ref="I17:K17"/>
    <mergeCell ref="C18:E18"/>
    <mergeCell ref="I18:K18"/>
    <mergeCell ref="I19:K19"/>
    <mergeCell ref="C20:E20"/>
    <mergeCell ref="I20:K20"/>
    <mergeCell ref="C21:E21"/>
    <mergeCell ref="I21:K21"/>
    <mergeCell ref="C13:H13"/>
    <mergeCell ref="I13:N13"/>
    <mergeCell ref="C14:E14"/>
    <mergeCell ref="I14:K14"/>
    <mergeCell ref="C15:E15"/>
    <mergeCell ref="I15:K15"/>
    <mergeCell ref="C3:D9"/>
    <mergeCell ref="E3:N7"/>
    <mergeCell ref="E8:J9"/>
    <mergeCell ref="M8:N9"/>
    <mergeCell ref="C11:E12"/>
    <mergeCell ref="I11:K1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/>
  </sheetViews>
  <sheetFormatPr baseColWidth="10" defaultColWidth="14.5" defaultRowHeight="15" customHeight="1" x14ac:dyDescent="0.2"/>
  <cols>
    <col min="1" max="1" width="17.6640625" customWidth="1"/>
    <col min="2" max="7" width="10.6640625" customWidth="1"/>
    <col min="8" max="26" width="14.5" customWidth="1"/>
  </cols>
  <sheetData>
    <row r="1" spans="1:26" x14ac:dyDescent="0.2">
      <c r="A1" s="14" t="s">
        <v>86</v>
      </c>
      <c r="B1" s="72">
        <v>0</v>
      </c>
      <c r="C1" s="73">
        <v>0</v>
      </c>
      <c r="D1" s="73">
        <v>0</v>
      </c>
      <c r="E1" s="74">
        <v>0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">
      <c r="A2" s="14" t="s">
        <v>87</v>
      </c>
      <c r="B2" s="72">
        <v>0</v>
      </c>
      <c r="C2" s="73">
        <v>0</v>
      </c>
      <c r="D2" s="73">
        <v>0</v>
      </c>
      <c r="E2" s="74">
        <v>0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x14ac:dyDescent="0.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x14ac:dyDescent="0.2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x14ac:dyDescent="0.2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x14ac:dyDescent="0.2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x14ac:dyDescent="0.2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x14ac:dyDescent="0.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x14ac:dyDescent="0.2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x14ac:dyDescent="0.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/>
  </sheetViews>
  <sheetFormatPr baseColWidth="10" defaultColWidth="14.5" defaultRowHeight="15" customHeight="1" x14ac:dyDescent="0.2"/>
  <cols>
    <col min="1" max="6" width="10.6640625" customWidth="1"/>
    <col min="7" max="26" width="14.5" customWidth="1"/>
  </cols>
  <sheetData>
    <row r="1" spans="1:26" x14ac:dyDescent="0.2">
      <c r="A1" s="14">
        <v>0</v>
      </c>
      <c r="B1" s="14">
        <v>0</v>
      </c>
      <c r="C1" s="14">
        <v>0</v>
      </c>
      <c r="D1" s="14">
        <v>0</v>
      </c>
      <c r="E1" s="14">
        <v>0</v>
      </c>
      <c r="F1" s="14">
        <v>0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">
      <c r="A2" s="14">
        <v>0</v>
      </c>
      <c r="B2" s="14">
        <v>0</v>
      </c>
      <c r="C2" s="14">
        <v>0</v>
      </c>
      <c r="D2" s="14">
        <v>0</v>
      </c>
      <c r="E2" s="14">
        <v>0</v>
      </c>
      <c r="F2" s="14">
        <v>0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2">
      <c r="A3" s="14">
        <v>0</v>
      </c>
      <c r="B3" s="14">
        <v>0</v>
      </c>
      <c r="C3" s="14">
        <v>0</v>
      </c>
      <c r="D3" s="14">
        <v>0</v>
      </c>
      <c r="E3" s="14">
        <v>0</v>
      </c>
      <c r="F3" s="14">
        <v>0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x14ac:dyDescent="0.2">
      <c r="A4" s="14">
        <v>0</v>
      </c>
      <c r="B4" s="14">
        <v>0</v>
      </c>
      <c r="C4" s="14">
        <v>0</v>
      </c>
      <c r="D4" s="14">
        <v>0</v>
      </c>
      <c r="E4" s="14">
        <v>0</v>
      </c>
      <c r="F4" s="14">
        <v>0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x14ac:dyDescent="0.2">
      <c r="A5" s="14">
        <v>0</v>
      </c>
      <c r="B5" s="14">
        <v>0</v>
      </c>
      <c r="C5" s="14">
        <v>0</v>
      </c>
      <c r="D5" s="14">
        <v>0</v>
      </c>
      <c r="E5" s="14">
        <v>0</v>
      </c>
      <c r="F5" s="14">
        <v>0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x14ac:dyDescent="0.2">
      <c r="A6" s="14">
        <v>0</v>
      </c>
      <c r="B6" s="14">
        <v>0</v>
      </c>
      <c r="C6" s="14">
        <v>0</v>
      </c>
      <c r="D6" s="14">
        <v>0</v>
      </c>
      <c r="E6" s="14">
        <v>0</v>
      </c>
      <c r="F6" s="14">
        <v>0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x14ac:dyDescent="0.2">
      <c r="A7" s="14">
        <v>0</v>
      </c>
      <c r="B7" s="14">
        <v>0</v>
      </c>
      <c r="C7" s="14">
        <v>0</v>
      </c>
      <c r="D7" s="14">
        <v>0</v>
      </c>
      <c r="E7" s="14">
        <v>0</v>
      </c>
      <c r="F7" s="14">
        <v>0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x14ac:dyDescent="0.2">
      <c r="A8" s="14">
        <v>0</v>
      </c>
      <c r="B8" s="14">
        <v>0</v>
      </c>
      <c r="C8" s="14">
        <v>0</v>
      </c>
      <c r="D8" s="14">
        <v>0</v>
      </c>
      <c r="E8" s="14">
        <v>0</v>
      </c>
      <c r="F8" s="14">
        <v>0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x14ac:dyDescent="0.2">
      <c r="A9" s="14">
        <v>0</v>
      </c>
      <c r="B9" s="14">
        <v>0</v>
      </c>
      <c r="C9" s="14">
        <v>0</v>
      </c>
      <c r="D9" s="14">
        <v>0</v>
      </c>
      <c r="E9" s="14">
        <v>0</v>
      </c>
      <c r="F9" s="14">
        <v>0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x14ac:dyDescent="0.2">
      <c r="A10" s="14">
        <v>0</v>
      </c>
      <c r="B10" s="14">
        <v>0</v>
      </c>
      <c r="C10" s="14">
        <v>0</v>
      </c>
      <c r="D10" s="14">
        <v>0</v>
      </c>
      <c r="E10" s="14">
        <v>0</v>
      </c>
      <c r="F10" s="14">
        <v>0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x14ac:dyDescent="0.2">
      <c r="A11" s="14">
        <v>0</v>
      </c>
      <c r="B11" s="14">
        <v>0</v>
      </c>
      <c r="C11" s="14">
        <v>0</v>
      </c>
      <c r="D11" s="14">
        <v>0</v>
      </c>
      <c r="E11" s="14">
        <v>0</v>
      </c>
      <c r="F11" s="14">
        <v>0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x14ac:dyDescent="0.2">
      <c r="A12" s="14">
        <v>0</v>
      </c>
      <c r="B12" s="14">
        <v>0</v>
      </c>
      <c r="C12" s="14">
        <v>0</v>
      </c>
      <c r="D12" s="14">
        <v>0</v>
      </c>
      <c r="E12" s="14">
        <v>0</v>
      </c>
      <c r="F12" s="14">
        <v>0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x14ac:dyDescent="0.2">
      <c r="A13" s="14">
        <v>0</v>
      </c>
      <c r="B13" s="14">
        <v>0</v>
      </c>
      <c r="C13" s="14">
        <v>0</v>
      </c>
      <c r="D13" s="14">
        <v>0</v>
      </c>
      <c r="E13" s="14">
        <v>0</v>
      </c>
      <c r="F13" s="14">
        <v>0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x14ac:dyDescent="0.2">
      <c r="A14" s="14">
        <v>0</v>
      </c>
      <c r="B14" s="14">
        <v>0</v>
      </c>
      <c r="C14" s="14">
        <v>0</v>
      </c>
      <c r="D14" s="14">
        <v>0</v>
      </c>
      <c r="E14" s="14">
        <v>0</v>
      </c>
      <c r="F14" s="14">
        <v>0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x14ac:dyDescent="0.2">
      <c r="A15" s="14">
        <v>0</v>
      </c>
      <c r="B15" s="14">
        <v>0</v>
      </c>
      <c r="C15" s="14">
        <v>0</v>
      </c>
      <c r="D15" s="14">
        <v>0</v>
      </c>
      <c r="E15" s="14">
        <v>0</v>
      </c>
      <c r="F15" s="14">
        <v>0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x14ac:dyDescent="0.2">
      <c r="A16" s="14">
        <v>0</v>
      </c>
      <c r="B16" s="14">
        <v>0</v>
      </c>
      <c r="C16" s="14">
        <v>0</v>
      </c>
      <c r="D16" s="14">
        <v>0</v>
      </c>
      <c r="E16" s="14">
        <v>0</v>
      </c>
      <c r="F16" s="14">
        <v>0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x14ac:dyDescent="0.2">
      <c r="A17" s="14">
        <v>0</v>
      </c>
      <c r="B17" s="14">
        <v>0</v>
      </c>
      <c r="C17" s="14">
        <v>0</v>
      </c>
      <c r="D17" s="14">
        <v>0</v>
      </c>
      <c r="E17" s="14">
        <v>0</v>
      </c>
      <c r="F17" s="14">
        <v>0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2">
      <c r="A18" s="75">
        <v>26003</v>
      </c>
      <c r="B18" s="75">
        <v>20375.175738000002</v>
      </c>
      <c r="C18" s="75">
        <v>40.776899999999998</v>
      </c>
      <c r="D18" s="75">
        <v>42.830678239000001</v>
      </c>
      <c r="E18" s="75">
        <v>36.099600000000002</v>
      </c>
      <c r="F18" s="75">
        <v>39.709560000000003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">
      <c r="A19" s="75">
        <v>19882</v>
      </c>
      <c r="B19" s="75">
        <v>16522.937223000001</v>
      </c>
      <c r="C19" s="75">
        <v>41.347499999999997</v>
      </c>
      <c r="D19" s="75">
        <v>43.059465885999998</v>
      </c>
      <c r="E19" s="75">
        <v>35.183900000000001</v>
      </c>
      <c r="F19" s="75">
        <v>38.590782546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2">
      <c r="A20" s="75">
        <v>15669</v>
      </c>
      <c r="B20" s="75">
        <v>13114.856148000001</v>
      </c>
      <c r="C20" s="75">
        <v>35</v>
      </c>
      <c r="D20" s="75">
        <v>35.974301740999998</v>
      </c>
      <c r="E20" s="75">
        <v>28</v>
      </c>
      <c r="F20" s="75">
        <v>29.708978894000001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">
      <c r="A21" s="75">
        <v>28962.878000000001</v>
      </c>
      <c r="B21" s="75">
        <v>28977.250949000001</v>
      </c>
      <c r="C21" s="75">
        <v>46.66</v>
      </c>
      <c r="D21" s="75">
        <v>44.839042526</v>
      </c>
      <c r="E21" s="75">
        <v>43.01</v>
      </c>
      <c r="F21" s="75">
        <v>40.946417496999999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">
      <c r="A22" s="75">
        <v>1365.748</v>
      </c>
      <c r="B22" s="75">
        <v>1380.1209484999999</v>
      </c>
      <c r="C22" s="75">
        <v>46.66</v>
      </c>
      <c r="D22" s="75">
        <v>46.564941982000001</v>
      </c>
      <c r="E22" s="75">
        <v>43.01</v>
      </c>
      <c r="F22" s="75">
        <v>42.684434367000001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">
      <c r="A23" s="75">
        <v>27597.13</v>
      </c>
      <c r="B23" s="75">
        <v>27597.13</v>
      </c>
      <c r="C23" s="75">
        <v>46.66</v>
      </c>
      <c r="D23" s="75">
        <v>44.752731015999998</v>
      </c>
      <c r="E23" s="75">
        <v>43.01</v>
      </c>
      <c r="F23" s="75">
        <v>40.859499999999997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A24" s="75">
        <v>10994.7</v>
      </c>
      <c r="B24" s="75">
        <v>10995.718161000001</v>
      </c>
      <c r="C24" s="75">
        <v>48.88</v>
      </c>
      <c r="D24" s="75">
        <v>48.052470984000003</v>
      </c>
      <c r="E24" s="75">
        <v>44.68</v>
      </c>
      <c r="F24" s="75">
        <v>42.794433431000002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75">
        <v>-371.96</v>
      </c>
      <c r="B25" s="75">
        <v>-370.94183871000001</v>
      </c>
      <c r="C25" s="75">
        <v>48.88</v>
      </c>
      <c r="D25" s="75">
        <v>48.907193792000001</v>
      </c>
      <c r="E25" s="75">
        <v>44.68</v>
      </c>
      <c r="F25" s="75">
        <v>44.737161968000002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75">
        <v>11366.66</v>
      </c>
      <c r="B26" s="75">
        <v>11366.66</v>
      </c>
      <c r="C26" s="75">
        <v>48.88</v>
      </c>
      <c r="D26" s="75">
        <v>48.080364181</v>
      </c>
      <c r="E26" s="75">
        <v>44.68</v>
      </c>
      <c r="F26" s="75">
        <v>42.857832819000002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75">
        <v>12550</v>
      </c>
      <c r="B27" s="75">
        <v>10040</v>
      </c>
      <c r="C27" s="75">
        <v>25.261800000000001</v>
      </c>
      <c r="D27" s="75">
        <v>22.735620000000001</v>
      </c>
      <c r="E27" s="75">
        <v>16.441500000000001</v>
      </c>
      <c r="F27" s="75">
        <v>17.856691416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">
      <c r="A28" s="75">
        <v>1023.1319999999999</v>
      </c>
      <c r="B28" s="75">
        <v>1227.7583999999999</v>
      </c>
      <c r="C28" s="75">
        <v>25.261800000000001</v>
      </c>
      <c r="D28" s="75">
        <v>27.787980000000001</v>
      </c>
      <c r="E28" s="75">
        <v>16.441500000000001</v>
      </c>
      <c r="F28" s="75">
        <v>16.213340120000002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1">
        <v>11527</v>
      </c>
      <c r="B29" s="1">
        <v>8812.2415999999994</v>
      </c>
      <c r="C29" s="1">
        <v>25.261800000000001</v>
      </c>
      <c r="D29" s="1">
        <v>22.031704048999998</v>
      </c>
      <c r="E29" s="1">
        <v>16.441500000000001</v>
      </c>
      <c r="F29" s="1">
        <v>18.085650000000001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showGridLines="0" workbookViewId="0"/>
  </sheetViews>
  <sheetFormatPr baseColWidth="10" defaultColWidth="14.5" defaultRowHeight="15" customHeight="1" x14ac:dyDescent="0.2"/>
  <cols>
    <col min="1" max="1" width="17.1640625" customWidth="1"/>
    <col min="2" max="2" width="8.1640625" customWidth="1"/>
    <col min="3" max="3" width="35.33203125" customWidth="1"/>
    <col min="4" max="4" width="11" customWidth="1"/>
    <col min="5" max="5" width="12" customWidth="1"/>
    <col min="6" max="6" width="13.33203125" customWidth="1"/>
    <col min="7" max="7" width="19.6640625" customWidth="1"/>
    <col min="8" max="8" width="20.6640625" customWidth="1"/>
    <col min="9" max="9" width="14.83203125" customWidth="1"/>
    <col min="10" max="10" width="9.1640625" customWidth="1"/>
    <col min="11" max="11" width="30.6640625" customWidth="1"/>
    <col min="12" max="12" width="14.5" customWidth="1"/>
    <col min="13" max="13" width="20.83203125" customWidth="1"/>
    <col min="14" max="17" width="14.5" customWidth="1"/>
    <col min="18" max="18" width="11.5" customWidth="1"/>
    <col min="19" max="26" width="14.5" customWidth="1"/>
  </cols>
  <sheetData>
    <row r="1" spans="1:26" x14ac:dyDescent="0.2">
      <c r="A1" s="1"/>
      <c r="B1" s="1"/>
      <c r="C1" s="1"/>
      <c r="D1" s="15"/>
      <c r="E1" s="1"/>
      <c r="F1" s="15"/>
      <c r="G1" s="1"/>
      <c r="H1" s="1"/>
      <c r="I1" s="1"/>
      <c r="J1" s="1"/>
      <c r="K1" s="1"/>
      <c r="M1" s="1"/>
      <c r="R1" s="1"/>
      <c r="S1" s="1"/>
      <c r="T1" s="1"/>
      <c r="U1" s="1"/>
      <c r="V1" s="1"/>
      <c r="W1" s="1"/>
      <c r="X1" s="1"/>
      <c r="Y1" s="1"/>
      <c r="Z1" s="1"/>
    </row>
    <row r="2" spans="1:26" ht="15" customHeight="1" x14ac:dyDescent="0.2">
      <c r="A2" s="1"/>
      <c r="B2" s="1"/>
      <c r="C2" s="76" t="s">
        <v>107</v>
      </c>
      <c r="D2" s="15"/>
      <c r="E2" s="1"/>
      <c r="F2" s="15"/>
      <c r="G2" s="77"/>
      <c r="H2" s="352" t="s">
        <v>108</v>
      </c>
      <c r="I2" s="353"/>
      <c r="J2" s="353"/>
      <c r="K2" s="353"/>
      <c r="L2" s="354"/>
      <c r="M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2">
      <c r="A3" s="78" t="s">
        <v>109</v>
      </c>
      <c r="B3" s="79">
        <f>+D5+D6-D7-D8-D9-D10</f>
        <v>-220.6559999999954</v>
      </c>
      <c r="C3" s="80"/>
      <c r="D3" s="81" t="s">
        <v>55</v>
      </c>
      <c r="E3" s="82" t="s">
        <v>56</v>
      </c>
      <c r="F3" s="82" t="s">
        <v>110</v>
      </c>
      <c r="G3" s="1"/>
      <c r="H3" s="355" t="s">
        <v>111</v>
      </c>
      <c r="I3" s="356"/>
      <c r="J3" s="1"/>
      <c r="K3" s="355" t="s">
        <v>112</v>
      </c>
      <c r="L3" s="356"/>
      <c r="M3" s="1"/>
      <c r="R3" s="1"/>
      <c r="S3" s="1"/>
      <c r="T3" s="1"/>
      <c r="U3" s="1"/>
      <c r="V3" s="1"/>
      <c r="W3" s="1"/>
      <c r="X3" s="1"/>
      <c r="Y3" s="1"/>
      <c r="Z3" s="1"/>
    </row>
    <row r="4" spans="1:26" ht="22.5" customHeight="1" x14ac:dyDescent="0.2">
      <c r="A4" s="1"/>
      <c r="B4" s="357" t="s">
        <v>113</v>
      </c>
      <c r="C4" s="83" t="s">
        <v>114</v>
      </c>
      <c r="D4" s="84">
        <v>0</v>
      </c>
      <c r="E4" s="85"/>
      <c r="F4" s="85"/>
      <c r="G4" s="15">
        <f t="shared" ref="G4:G11" si="0">+I4-L4</f>
        <v>-2867</v>
      </c>
      <c r="H4" s="86" t="s">
        <v>48</v>
      </c>
      <c r="I4" s="87">
        <v>0</v>
      </c>
      <c r="J4" s="1"/>
      <c r="K4" s="88" t="s">
        <v>48</v>
      </c>
      <c r="L4" s="87">
        <f>356+518+1509+484</f>
        <v>2867</v>
      </c>
      <c r="M4" s="1"/>
      <c r="R4" s="1"/>
      <c r="S4" s="1"/>
      <c r="T4" s="1"/>
      <c r="U4" s="1"/>
      <c r="V4" s="1"/>
      <c r="W4" s="1"/>
      <c r="X4" s="1"/>
      <c r="Y4" s="1"/>
      <c r="Z4" s="1"/>
    </row>
    <row r="5" spans="1:26" x14ac:dyDescent="0.2">
      <c r="A5" s="1"/>
      <c r="B5" s="358"/>
      <c r="C5" s="89" t="s">
        <v>115</v>
      </c>
      <c r="D5" s="90">
        <v>68993</v>
      </c>
      <c r="E5" s="91">
        <v>0.53526569941878199</v>
      </c>
      <c r="F5" s="91">
        <v>0.48852658240691099</v>
      </c>
      <c r="G5" s="15">
        <f t="shared" si="0"/>
        <v>-212</v>
      </c>
      <c r="H5" s="92" t="s">
        <v>49</v>
      </c>
      <c r="I5" s="93">
        <v>226</v>
      </c>
      <c r="J5" s="1"/>
      <c r="K5" s="94" t="s">
        <v>49</v>
      </c>
      <c r="L5" s="93">
        <v>438</v>
      </c>
      <c r="M5" s="1"/>
      <c r="R5" s="1"/>
      <c r="S5" s="1"/>
      <c r="T5" s="1"/>
      <c r="U5" s="1"/>
      <c r="V5" s="1"/>
      <c r="W5" s="1"/>
      <c r="X5" s="1"/>
      <c r="Y5" s="1"/>
      <c r="Z5" s="1"/>
    </row>
    <row r="6" spans="1:26" x14ac:dyDescent="0.2">
      <c r="A6" s="1"/>
      <c r="B6" s="358"/>
      <c r="C6" s="89" t="s">
        <v>116</v>
      </c>
      <c r="D6" s="90">
        <v>10719.6</v>
      </c>
      <c r="E6" s="91">
        <v>0.55290710660845599</v>
      </c>
      <c r="F6" s="91">
        <v>0.50318076980484305</v>
      </c>
      <c r="G6" s="15">
        <f t="shared" si="0"/>
        <v>478</v>
      </c>
      <c r="H6" s="92" t="s">
        <v>50</v>
      </c>
      <c r="I6" s="93">
        <f>1280+146+130</f>
        <v>1556</v>
      </c>
      <c r="J6" s="1"/>
      <c r="K6" s="94" t="s">
        <v>50</v>
      </c>
      <c r="L6" s="93">
        <f>1028+50</f>
        <v>1078</v>
      </c>
      <c r="M6" s="1"/>
      <c r="N6" s="15"/>
      <c r="R6" s="1"/>
      <c r="S6" s="1"/>
      <c r="T6" s="1"/>
      <c r="U6" s="1"/>
      <c r="V6" s="1"/>
      <c r="W6" s="1"/>
      <c r="X6" s="1"/>
      <c r="Y6" s="1"/>
      <c r="Z6" s="1"/>
    </row>
    <row r="7" spans="1:26" x14ac:dyDescent="0.2">
      <c r="A7" s="1">
        <f t="shared" ref="A7:A10" si="1">+D7/$D$5*100</f>
        <v>32.854277970228864</v>
      </c>
      <c r="B7" s="358"/>
      <c r="C7" s="95" t="s">
        <v>117</v>
      </c>
      <c r="D7" s="96">
        <v>22667.151999999998</v>
      </c>
      <c r="E7" s="91">
        <v>0.60588953488372099</v>
      </c>
      <c r="F7" s="91">
        <v>0.59221159069767404</v>
      </c>
      <c r="G7" s="15">
        <f t="shared" si="0"/>
        <v>-528</v>
      </c>
      <c r="H7" s="92" t="s">
        <v>51</v>
      </c>
      <c r="I7" s="93">
        <f>84+114+184</f>
        <v>382</v>
      </c>
      <c r="J7" s="1"/>
      <c r="K7" s="94" t="s">
        <v>51</v>
      </c>
      <c r="L7" s="93">
        <f>288+622</f>
        <v>910</v>
      </c>
      <c r="M7" s="1"/>
      <c r="R7" s="1"/>
      <c r="S7" s="1"/>
      <c r="T7" s="1"/>
      <c r="U7" s="1"/>
      <c r="V7" s="1"/>
      <c r="W7" s="1"/>
      <c r="X7" s="1"/>
      <c r="Y7" s="1"/>
      <c r="Z7" s="1"/>
    </row>
    <row r="8" spans="1:26" x14ac:dyDescent="0.2">
      <c r="A8" s="1">
        <f t="shared" si="1"/>
        <v>26.544872668241702</v>
      </c>
      <c r="B8" s="358"/>
      <c r="C8" s="95" t="s">
        <v>118</v>
      </c>
      <c r="D8" s="96">
        <v>18314.103999999999</v>
      </c>
      <c r="E8" s="91">
        <v>0.602155555555556</v>
      </c>
      <c r="F8" s="91">
        <v>0.58622512000000004</v>
      </c>
      <c r="G8" s="15">
        <f t="shared" si="0"/>
        <v>80</v>
      </c>
      <c r="H8" s="97" t="s">
        <v>119</v>
      </c>
      <c r="I8" s="98">
        <v>250</v>
      </c>
      <c r="J8" s="1"/>
      <c r="K8" s="99" t="s">
        <v>119</v>
      </c>
      <c r="L8" s="98">
        <v>170</v>
      </c>
      <c r="M8" s="15"/>
      <c r="R8" s="1"/>
      <c r="S8" s="1"/>
      <c r="T8" s="1"/>
      <c r="U8" s="1"/>
      <c r="V8" s="1"/>
      <c r="W8" s="1"/>
      <c r="X8" s="1"/>
      <c r="Y8" s="1"/>
      <c r="Z8" s="1"/>
    </row>
    <row r="9" spans="1:26" x14ac:dyDescent="0.2">
      <c r="A9" s="1">
        <f t="shared" si="1"/>
        <v>19.039612714333337</v>
      </c>
      <c r="B9" s="358"/>
      <c r="C9" s="95" t="s">
        <v>120</v>
      </c>
      <c r="D9" s="90">
        <f>21136-8000</f>
        <v>13136</v>
      </c>
      <c r="E9" s="91">
        <v>0.35781395348837203</v>
      </c>
      <c r="F9" s="91">
        <v>0.321851323255814</v>
      </c>
      <c r="G9" s="15">
        <f t="shared" si="0"/>
        <v>-1067</v>
      </c>
      <c r="H9" s="97" t="s">
        <v>71</v>
      </c>
      <c r="I9" s="98">
        <v>0</v>
      </c>
      <c r="J9" s="1"/>
      <c r="K9" s="99" t="s">
        <v>71</v>
      </c>
      <c r="L9" s="98">
        <f>847+220</f>
        <v>1067</v>
      </c>
      <c r="M9" s="15"/>
      <c r="R9" s="1"/>
      <c r="S9" s="1"/>
      <c r="T9" s="1"/>
      <c r="U9" s="1"/>
      <c r="V9" s="1"/>
      <c r="W9" s="1"/>
      <c r="X9" s="1"/>
      <c r="Y9" s="1"/>
      <c r="Z9" s="1"/>
    </row>
    <row r="10" spans="1:26" x14ac:dyDescent="0.2">
      <c r="A10" s="1">
        <f t="shared" si="1"/>
        <v>37.418288811908454</v>
      </c>
      <c r="B10" s="358"/>
      <c r="C10" s="95" t="s">
        <v>121</v>
      </c>
      <c r="D10" s="90">
        <f>17816+8000</f>
        <v>25816</v>
      </c>
      <c r="E10" s="91">
        <v>0.54431333333333298</v>
      </c>
      <c r="F10" s="91">
        <v>0.522271713333333</v>
      </c>
      <c r="G10" s="15">
        <f t="shared" si="0"/>
        <v>-176</v>
      </c>
      <c r="H10" s="97" t="s">
        <v>47</v>
      </c>
      <c r="I10" s="98">
        <v>0</v>
      </c>
      <c r="J10" s="1"/>
      <c r="K10" s="99" t="s">
        <v>47</v>
      </c>
      <c r="L10" s="98">
        <v>176</v>
      </c>
      <c r="M10" s="15"/>
      <c r="R10" s="1"/>
      <c r="S10" s="1"/>
      <c r="T10" s="1"/>
      <c r="U10" s="1"/>
      <c r="V10" s="1"/>
      <c r="W10" s="1"/>
      <c r="X10" s="1"/>
      <c r="Y10" s="1"/>
      <c r="Z10" s="1"/>
    </row>
    <row r="11" spans="1:26" x14ac:dyDescent="0.2">
      <c r="A11" s="1"/>
      <c r="B11" s="358"/>
      <c r="C11" s="100" t="s">
        <v>18</v>
      </c>
      <c r="D11" s="90"/>
      <c r="E11" s="91"/>
      <c r="F11" s="101"/>
      <c r="G11" s="15">
        <f t="shared" si="0"/>
        <v>-1162</v>
      </c>
      <c r="H11" s="102" t="s">
        <v>122</v>
      </c>
      <c r="I11" s="103">
        <f>1971+1106</f>
        <v>3077</v>
      </c>
      <c r="J11" s="1"/>
      <c r="K11" s="102" t="s">
        <v>122</v>
      </c>
      <c r="L11" s="103">
        <v>4239</v>
      </c>
      <c r="M11" s="1"/>
      <c r="R11" s="1"/>
      <c r="S11" s="1"/>
      <c r="T11" s="1"/>
      <c r="U11" s="1"/>
      <c r="V11" s="1"/>
      <c r="W11" s="1"/>
      <c r="X11" s="1"/>
      <c r="Y11" s="1"/>
      <c r="Z11" s="1"/>
    </row>
    <row r="12" spans="1:26" x14ac:dyDescent="0.2">
      <c r="A12" s="1"/>
      <c r="B12" s="358"/>
      <c r="C12" s="100" t="s">
        <v>19</v>
      </c>
      <c r="D12" s="104">
        <v>20879.29</v>
      </c>
      <c r="E12" s="105">
        <v>0.58489999999999998</v>
      </c>
      <c r="F12" s="105">
        <f>+F7</f>
        <v>0.59221159069767404</v>
      </c>
      <c r="G12" s="15"/>
      <c r="H12" s="106" t="s">
        <v>123</v>
      </c>
      <c r="I12" s="107"/>
      <c r="J12" s="1"/>
      <c r="K12" s="1"/>
      <c r="M12" s="1"/>
      <c r="R12" s="1"/>
      <c r="S12" s="1"/>
      <c r="T12" s="1"/>
      <c r="U12" s="1"/>
      <c r="V12" s="1"/>
      <c r="W12" s="1"/>
      <c r="X12" s="1"/>
      <c r="Y12" s="1"/>
      <c r="Z12" s="1"/>
    </row>
    <row r="13" spans="1:26" x14ac:dyDescent="0.2">
      <c r="A13" s="1"/>
      <c r="B13" s="358"/>
      <c r="C13" s="100" t="s">
        <v>22</v>
      </c>
      <c r="D13" s="90"/>
      <c r="E13" s="105"/>
      <c r="F13" s="105"/>
      <c r="G13" s="15"/>
      <c r="H13" s="15"/>
      <c r="I13" s="15"/>
      <c r="J13" s="1"/>
      <c r="K13" s="359" t="s">
        <v>124</v>
      </c>
      <c r="L13" s="273"/>
      <c r="M13" s="1"/>
      <c r="R13" s="1"/>
      <c r="S13" s="1"/>
      <c r="T13" s="1"/>
      <c r="U13" s="1"/>
      <c r="V13" s="1"/>
      <c r="W13" s="1"/>
      <c r="X13" s="1"/>
      <c r="Y13" s="1"/>
      <c r="Z13" s="1"/>
    </row>
    <row r="14" spans="1:26" x14ac:dyDescent="0.2">
      <c r="A14" s="1"/>
      <c r="B14" s="358"/>
      <c r="C14" s="100" t="s">
        <v>23</v>
      </c>
      <c r="D14" s="104">
        <v>16230.67</v>
      </c>
      <c r="E14" s="105">
        <v>0.60060000000000002</v>
      </c>
      <c r="F14" s="105">
        <f>+F8</f>
        <v>0.58622512000000004</v>
      </c>
      <c r="G14" s="22">
        <f>+E7-F7</f>
        <v>1.3677944186046953E-2</v>
      </c>
      <c r="H14" s="15"/>
      <c r="I14" s="1"/>
      <c r="J14" s="1"/>
      <c r="K14" s="108" t="s">
        <v>125</v>
      </c>
      <c r="L14" s="90">
        <v>4207</v>
      </c>
      <c r="M14" s="1"/>
      <c r="R14" s="1"/>
      <c r="S14" s="1"/>
      <c r="T14" s="1"/>
      <c r="U14" s="1"/>
      <c r="V14" s="1"/>
      <c r="W14" s="1"/>
      <c r="X14" s="1"/>
      <c r="Y14" s="1"/>
      <c r="Z14" s="1"/>
    </row>
    <row r="15" spans="1:26" x14ac:dyDescent="0.2">
      <c r="A15" s="1"/>
      <c r="B15" s="358"/>
      <c r="C15" s="100" t="s">
        <v>26</v>
      </c>
      <c r="D15" s="109">
        <v>4696</v>
      </c>
      <c r="E15" s="110">
        <f t="shared" ref="E15:F15" si="2">+E9</f>
        <v>0.35781395348837203</v>
      </c>
      <c r="F15" s="110">
        <f t="shared" si="2"/>
        <v>0.321851323255814</v>
      </c>
      <c r="G15" s="1"/>
      <c r="H15" s="15"/>
      <c r="I15" s="15"/>
      <c r="J15" s="1"/>
      <c r="K15" s="108" t="s">
        <v>126</v>
      </c>
      <c r="L15" s="111">
        <v>2</v>
      </c>
      <c r="M15" s="1"/>
      <c r="R15" s="1"/>
      <c r="S15" s="1"/>
      <c r="T15" s="1"/>
      <c r="U15" s="1"/>
      <c r="V15" s="1"/>
      <c r="W15" s="1"/>
      <c r="X15" s="1"/>
      <c r="Y15" s="1"/>
      <c r="Z15" s="1"/>
    </row>
    <row r="16" spans="1:26" x14ac:dyDescent="0.2">
      <c r="A16" s="1"/>
      <c r="B16" s="358"/>
      <c r="C16" s="100" t="s">
        <v>29</v>
      </c>
      <c r="D16" s="90">
        <v>26876.47</v>
      </c>
      <c r="E16" s="91">
        <v>0.41160000000000002</v>
      </c>
      <c r="F16" s="91">
        <v>0.376</v>
      </c>
      <c r="G16" s="1"/>
      <c r="H16" s="360"/>
      <c r="I16" s="276"/>
      <c r="J16" s="1"/>
      <c r="K16" s="108" t="s">
        <v>127</v>
      </c>
      <c r="L16" s="90">
        <f>+L14*L15</f>
        <v>8414</v>
      </c>
      <c r="M16" s="1"/>
      <c r="R16" s="1"/>
      <c r="S16" s="1"/>
      <c r="T16" s="1"/>
      <c r="U16" s="1"/>
      <c r="V16" s="1"/>
      <c r="W16" s="1"/>
      <c r="X16" s="1"/>
      <c r="Y16" s="1"/>
      <c r="Z16" s="1"/>
    </row>
    <row r="17" spans="1:26" x14ac:dyDescent="0.2">
      <c r="A17" s="78" t="s">
        <v>109</v>
      </c>
      <c r="B17" s="112"/>
      <c r="C17" s="113" t="s">
        <v>128</v>
      </c>
      <c r="D17" s="114"/>
      <c r="E17" s="115"/>
      <c r="F17" s="115"/>
      <c r="G17" s="1"/>
      <c r="H17" s="116"/>
      <c r="I17" s="15"/>
      <c r="J17" s="1"/>
      <c r="K17" s="108" t="s">
        <v>129</v>
      </c>
      <c r="L17" s="90">
        <f>+'Bal AL FeT'!J39+'Bal ML FeT'!J30</f>
        <v>1227.7583999999999</v>
      </c>
      <c r="M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4.25" customHeight="1" x14ac:dyDescent="0.2">
      <c r="A18" s="79">
        <f>+D18+D19-D21-D22-D23</f>
        <v>380</v>
      </c>
      <c r="B18" s="349" t="s">
        <v>130</v>
      </c>
      <c r="C18" s="117" t="s">
        <v>131</v>
      </c>
      <c r="D18" s="118">
        <v>26924</v>
      </c>
      <c r="E18" s="119">
        <v>0.441342081414351</v>
      </c>
      <c r="F18" s="119">
        <v>0.40327125984251999</v>
      </c>
      <c r="G18" s="1"/>
      <c r="H18" s="116"/>
      <c r="I18" s="56"/>
      <c r="J18" s="1"/>
      <c r="K18" s="108" t="s">
        <v>132</v>
      </c>
      <c r="L18" s="90">
        <f>+L17-L16</f>
        <v>-7186.2416000000003</v>
      </c>
      <c r="M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">
      <c r="A19" s="1"/>
      <c r="B19" s="350"/>
      <c r="C19" s="120" t="s">
        <v>133</v>
      </c>
      <c r="D19" s="118">
        <v>9033</v>
      </c>
      <c r="E19" s="119">
        <v>0.42468630576774002</v>
      </c>
      <c r="F19" s="119">
        <v>0.37383114137052997</v>
      </c>
      <c r="G19" s="1"/>
      <c r="H19" s="116"/>
      <c r="I19" s="15"/>
      <c r="J19" s="1"/>
      <c r="K19" s="108" t="s">
        <v>134</v>
      </c>
      <c r="L19" s="90">
        <v>4689</v>
      </c>
      <c r="M19" s="1"/>
      <c r="P19" s="15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2">
      <c r="A20" s="1"/>
      <c r="B20" s="350"/>
      <c r="C20" s="120" t="s">
        <v>135</v>
      </c>
      <c r="D20" s="118"/>
      <c r="E20" s="119"/>
      <c r="F20" s="119"/>
      <c r="G20" s="1"/>
      <c r="H20" s="15"/>
      <c r="I20" s="1"/>
      <c r="J20" s="1"/>
      <c r="K20" s="108" t="s">
        <v>136</v>
      </c>
      <c r="L20" s="90">
        <f>+L18-L19</f>
        <v>-11875.241600000001</v>
      </c>
      <c r="M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">
      <c r="A21" s="1"/>
      <c r="B21" s="350"/>
      <c r="C21" s="121" t="s">
        <v>33</v>
      </c>
      <c r="D21" s="118">
        <v>18014.456999999999</v>
      </c>
      <c r="E21" s="119">
        <v>0.45257727272727299</v>
      </c>
      <c r="F21" s="119">
        <v>0.42270753181818199</v>
      </c>
      <c r="G21" s="1"/>
      <c r="H21" s="15"/>
      <c r="I21" s="1"/>
      <c r="J21" s="1"/>
      <c r="K21" s="1"/>
      <c r="L21" s="15"/>
      <c r="M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">
      <c r="A22" s="1"/>
      <c r="B22" s="350"/>
      <c r="C22" s="121" t="s">
        <v>36</v>
      </c>
      <c r="D22" s="118">
        <v>7710.3249999999998</v>
      </c>
      <c r="E22" s="119">
        <v>0.44857999999999998</v>
      </c>
      <c r="F22" s="119">
        <v>0.41259171</v>
      </c>
      <c r="G22" s="1"/>
      <c r="H22" s="15"/>
      <c r="I22" s="1"/>
      <c r="J22" s="1"/>
      <c r="K22" s="1"/>
      <c r="M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">
      <c r="A23" s="1"/>
      <c r="B23" s="350"/>
      <c r="C23" s="121" t="s">
        <v>39</v>
      </c>
      <c r="D23" s="118">
        <v>9852.2180000000008</v>
      </c>
      <c r="E23" s="119">
        <v>0.196191304347826</v>
      </c>
      <c r="F23" s="119">
        <v>0.14010876521739099</v>
      </c>
      <c r="G23" s="1"/>
      <c r="H23" s="15"/>
      <c r="I23" s="1"/>
      <c r="J23" s="1"/>
      <c r="K23" s="1"/>
      <c r="L23" s="15"/>
      <c r="M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A24" s="1"/>
      <c r="B24" s="350"/>
      <c r="C24" s="122" t="s">
        <v>137</v>
      </c>
      <c r="D24" s="90">
        <v>19779.46</v>
      </c>
      <c r="E24" s="119">
        <v>0.46239999999999998</v>
      </c>
      <c r="F24" s="119">
        <v>0.43380000000000002</v>
      </c>
      <c r="G24" s="1"/>
      <c r="H24" s="15"/>
      <c r="I24" s="1"/>
      <c r="J24" s="1"/>
      <c r="K24" s="1"/>
      <c r="M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1"/>
      <c r="B25" s="350"/>
      <c r="C25" s="122" t="s">
        <v>138</v>
      </c>
      <c r="D25" s="90">
        <v>7855.43</v>
      </c>
      <c r="E25" s="91">
        <v>0.47120000000000001</v>
      </c>
      <c r="F25" s="91">
        <v>0.43130000000000002</v>
      </c>
      <c r="G25" s="1"/>
      <c r="H25" s="15"/>
      <c r="I25" s="1"/>
      <c r="J25" s="1"/>
      <c r="K25" s="1" t="s">
        <v>139</v>
      </c>
      <c r="M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1"/>
      <c r="B26" s="350"/>
      <c r="C26" s="122" t="s">
        <v>41</v>
      </c>
      <c r="D26" s="109">
        <v>11126</v>
      </c>
      <c r="E26" s="123">
        <f t="shared" ref="E26:F26" si="3">+E23</f>
        <v>0.196191304347826</v>
      </c>
      <c r="F26" s="123">
        <f t="shared" si="3"/>
        <v>0.14010876521739099</v>
      </c>
      <c r="G26" s="1"/>
      <c r="H26" s="15"/>
      <c r="I26" s="1"/>
      <c r="J26" s="1"/>
      <c r="K26" s="1"/>
      <c r="M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1"/>
      <c r="B27" s="351"/>
      <c r="C27" s="124" t="s">
        <v>140</v>
      </c>
      <c r="D27" s="125">
        <v>35808.82</v>
      </c>
      <c r="E27" s="126">
        <f t="shared" ref="E27:F27" si="4">+E18</f>
        <v>0.441342081414351</v>
      </c>
      <c r="F27" s="126">
        <f t="shared" si="4"/>
        <v>0.40327125984251999</v>
      </c>
      <c r="G27" s="1"/>
      <c r="H27" s="15"/>
      <c r="I27" s="1"/>
      <c r="J27" s="1"/>
      <c r="K27" s="1"/>
      <c r="L27" s="15"/>
      <c r="M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29.25" customHeight="1" x14ac:dyDescent="0.2">
      <c r="A28" s="1"/>
      <c r="B28" s="1"/>
      <c r="C28" s="113"/>
      <c r="D28" s="1"/>
      <c r="E28" s="1"/>
      <c r="F28" s="1"/>
      <c r="G28" s="1"/>
      <c r="H28" s="1"/>
      <c r="I28" s="1"/>
      <c r="J28" s="1"/>
      <c r="K28" s="1"/>
      <c r="M28" s="127"/>
      <c r="N28" s="128"/>
      <c r="O28" s="128"/>
      <c r="P28" s="128"/>
      <c r="Q28" s="128"/>
      <c r="R28" s="128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1"/>
      <c r="B29" s="1"/>
      <c r="C29" s="1"/>
      <c r="D29" s="15"/>
      <c r="E29" s="1"/>
      <c r="F29" s="1"/>
      <c r="G29" s="1"/>
      <c r="H29" s="1"/>
      <c r="I29" s="1"/>
      <c r="J29" s="1"/>
      <c r="K29" s="1"/>
      <c r="M29" s="74"/>
      <c r="N29" s="72"/>
      <c r="O29" s="72"/>
      <c r="P29" s="72"/>
      <c r="Q29" s="72"/>
      <c r="R29" s="72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1"/>
      <c r="B30" s="1"/>
      <c r="C30" s="1"/>
      <c r="D30" s="15"/>
      <c r="E30" s="1"/>
      <c r="F30" s="1"/>
      <c r="G30" s="1"/>
      <c r="H30" s="1"/>
      <c r="I30" s="1"/>
      <c r="J30" s="1"/>
      <c r="K30" s="1"/>
      <c r="L30" s="15"/>
      <c r="M30" s="74"/>
      <c r="N30" s="72"/>
      <c r="O30" s="72"/>
      <c r="P30" s="72"/>
      <c r="Q30" s="72"/>
      <c r="R30" s="72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1"/>
      <c r="B31" s="1"/>
      <c r="C31" s="1"/>
      <c r="D31" s="15"/>
      <c r="E31" s="1"/>
      <c r="F31" s="1"/>
      <c r="G31" s="1"/>
      <c r="H31" s="1"/>
      <c r="I31" s="1"/>
      <c r="J31" s="1"/>
      <c r="K31" s="1"/>
      <c r="M31" s="74"/>
      <c r="N31" s="72"/>
      <c r="O31" s="72"/>
      <c r="P31" s="72"/>
      <c r="Q31" s="72"/>
      <c r="R31" s="72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1"/>
      <c r="B32" s="1"/>
      <c r="C32" s="129"/>
      <c r="D32" s="130" t="s">
        <v>46</v>
      </c>
      <c r="E32" s="130" t="s">
        <v>96</v>
      </c>
      <c r="F32" s="130" t="s">
        <v>45</v>
      </c>
      <c r="G32" s="1"/>
      <c r="H32" s="131"/>
      <c r="I32" s="131"/>
      <c r="J32" s="1"/>
      <c r="K32" s="1"/>
      <c r="M32" s="74"/>
      <c r="N32" s="72"/>
      <c r="O32" s="72"/>
      <c r="P32" s="72"/>
      <c r="Q32" s="72"/>
      <c r="R32" s="72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1"/>
      <c r="B33" s="1"/>
      <c r="C33" s="132" t="s">
        <v>141</v>
      </c>
      <c r="D33" s="133">
        <v>394.25</v>
      </c>
      <c r="E33" s="133"/>
      <c r="F33" s="133">
        <v>277.25</v>
      </c>
      <c r="G33" s="1"/>
      <c r="H33" s="131"/>
      <c r="I33" s="131"/>
      <c r="J33" s="1"/>
      <c r="K33" s="1"/>
      <c r="M33" s="74"/>
      <c r="N33" s="72"/>
      <c r="O33" s="72"/>
      <c r="P33" s="72"/>
      <c r="Q33" s="72"/>
      <c r="R33" s="72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1"/>
      <c r="B34" s="1"/>
      <c r="C34" s="129"/>
      <c r="D34" s="130" t="s">
        <v>46</v>
      </c>
      <c r="E34" s="130" t="s">
        <v>51</v>
      </c>
      <c r="F34" s="130" t="s">
        <v>45</v>
      </c>
      <c r="G34" s="1"/>
      <c r="H34" s="131"/>
      <c r="I34" s="131"/>
      <c r="J34" s="1"/>
      <c r="K34" s="1"/>
      <c r="M34" s="74"/>
      <c r="N34" s="72"/>
      <c r="O34" s="72"/>
      <c r="P34" s="72"/>
      <c r="Q34" s="72"/>
      <c r="R34" s="72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1"/>
      <c r="B35" s="1"/>
      <c r="C35" s="132" t="s">
        <v>142</v>
      </c>
      <c r="D35" s="133"/>
      <c r="E35" s="133"/>
      <c r="F35" s="133"/>
      <c r="G35" s="1"/>
      <c r="H35" s="23"/>
      <c r="I35" s="23"/>
      <c r="J35" s="1"/>
      <c r="K35" s="1"/>
      <c r="M35" s="134"/>
      <c r="N35" s="135"/>
      <c r="O35" s="135"/>
      <c r="P35" s="135"/>
      <c r="Q35" s="135"/>
      <c r="R35" s="135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1"/>
      <c r="B36" s="1"/>
      <c r="C36" s="129"/>
      <c r="D36" s="130" t="s">
        <v>51</v>
      </c>
      <c r="E36" s="130" t="s">
        <v>96</v>
      </c>
      <c r="F36" s="130"/>
      <c r="G36" s="1"/>
      <c r="H36" s="15"/>
      <c r="I36" s="1"/>
      <c r="J36" s="1"/>
      <c r="K36" s="1"/>
      <c r="M36" s="1"/>
      <c r="O36" s="15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1"/>
      <c r="B37" s="1"/>
      <c r="C37" s="132" t="s">
        <v>143</v>
      </c>
      <c r="D37" s="133"/>
      <c r="E37" s="133">
        <v>663.3</v>
      </c>
      <c r="F37" s="133"/>
      <c r="G37" s="1"/>
      <c r="H37" s="1"/>
      <c r="I37" s="1"/>
      <c r="J37" s="1"/>
      <c r="K37" s="1"/>
      <c r="M37" s="1"/>
      <c r="O37" s="15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1"/>
      <c r="B38" s="1"/>
      <c r="C38" s="129"/>
      <c r="D38" s="130" t="s">
        <v>51</v>
      </c>
      <c r="E38" s="130" t="s">
        <v>96</v>
      </c>
      <c r="F38" s="130"/>
      <c r="G38" s="1"/>
      <c r="H38" s="1"/>
      <c r="I38" s="1"/>
      <c r="J38" s="1"/>
      <c r="K38" s="1"/>
      <c r="M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1"/>
      <c r="B39" s="1"/>
      <c r="C39" s="132" t="s">
        <v>144</v>
      </c>
      <c r="D39" s="133"/>
      <c r="E39" s="133"/>
      <c r="F39" s="133"/>
      <c r="G39" s="1"/>
      <c r="H39" s="1"/>
      <c r="I39" s="1"/>
      <c r="J39" s="1"/>
      <c r="K39" s="1"/>
      <c r="M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27" t="s">
        <v>145</v>
      </c>
      <c r="M40" s="127" t="s">
        <v>90</v>
      </c>
      <c r="N40" s="128" t="s">
        <v>146</v>
      </c>
      <c r="O40" s="128" t="s">
        <v>147</v>
      </c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74"/>
      <c r="M41" s="74" t="s">
        <v>50</v>
      </c>
      <c r="N41" s="72"/>
      <c r="O41" s="72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">
      <c r="A42" s="1"/>
      <c r="B42" s="1"/>
      <c r="C42" s="136"/>
      <c r="D42" s="137"/>
      <c r="E42" s="136"/>
      <c r="F42" s="1"/>
      <c r="G42" s="1"/>
      <c r="H42" s="1"/>
      <c r="I42" s="1"/>
      <c r="J42" s="1"/>
      <c r="K42" s="1"/>
      <c r="L42" s="74"/>
      <c r="M42" s="74" t="s">
        <v>51</v>
      </c>
      <c r="N42" s="72"/>
      <c r="O42" s="72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">
      <c r="A43" s="1"/>
      <c r="B43" s="1"/>
      <c r="C43" s="136"/>
      <c r="D43" s="137"/>
      <c r="E43" s="136"/>
      <c r="F43" s="1"/>
      <c r="G43" s="1"/>
      <c r="H43" s="1"/>
      <c r="I43" s="1"/>
      <c r="J43" s="1"/>
      <c r="K43" s="1"/>
      <c r="L43" s="74"/>
      <c r="M43" s="74" t="s">
        <v>45</v>
      </c>
      <c r="N43" s="72"/>
      <c r="O43" s="72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1"/>
      <c r="B44" s="1"/>
      <c r="C44" s="136"/>
      <c r="D44" s="137"/>
      <c r="E44" s="136"/>
      <c r="F44" s="1"/>
      <c r="G44" s="1"/>
      <c r="H44" s="1"/>
      <c r="I44" s="1"/>
      <c r="J44" s="1"/>
      <c r="K44" s="1"/>
      <c r="L44" s="74">
        <v>10000880</v>
      </c>
      <c r="M44" s="74" t="s">
        <v>122</v>
      </c>
      <c r="N44" s="72">
        <v>1.18</v>
      </c>
      <c r="O44" s="72">
        <v>0</v>
      </c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1"/>
      <c r="B45" s="1"/>
      <c r="C45" s="136"/>
      <c r="D45" s="137"/>
      <c r="E45" s="136"/>
      <c r="F45" s="1"/>
      <c r="G45" s="1"/>
      <c r="H45" s="1"/>
      <c r="I45" s="1"/>
      <c r="J45" s="1"/>
      <c r="K45" s="1"/>
      <c r="L45" s="74">
        <v>10000744</v>
      </c>
      <c r="M45" s="74" t="s">
        <v>49</v>
      </c>
      <c r="N45" s="72">
        <v>222.03</v>
      </c>
      <c r="O45" s="72">
        <v>0</v>
      </c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1"/>
      <c r="B46" s="1"/>
      <c r="C46" s="136"/>
      <c r="D46" s="137"/>
      <c r="E46" s="136"/>
      <c r="F46" s="1"/>
      <c r="G46" s="1"/>
      <c r="H46" s="1"/>
      <c r="I46" s="1"/>
      <c r="J46" s="1"/>
      <c r="K46" s="1"/>
      <c r="L46" s="74">
        <v>10000743</v>
      </c>
      <c r="M46" s="74" t="s">
        <v>48</v>
      </c>
      <c r="N46" s="72">
        <v>4.3999999999999997E-2</v>
      </c>
      <c r="O46" s="72">
        <v>0</v>
      </c>
      <c r="P46" s="15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34">
        <v>10000742</v>
      </c>
      <c r="M47" s="134" t="s">
        <v>148</v>
      </c>
      <c r="N47" s="135">
        <v>1982.18</v>
      </c>
      <c r="O47" s="135">
        <v>0</v>
      </c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M48" s="1"/>
      <c r="N48" s="15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M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M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M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M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M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M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M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M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M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M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M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M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M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M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M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M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M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M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M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M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M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M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M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M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M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M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M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M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M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M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M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M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M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M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M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M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M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M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M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M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M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M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M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M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M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M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M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M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M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M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M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M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M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M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M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M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M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M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M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M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M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M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M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M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M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M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M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M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M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M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M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M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M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M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M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M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M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M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M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M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M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M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M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M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M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M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M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M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M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M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M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M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M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M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M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M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M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M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M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M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M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M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M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M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M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M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M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M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M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M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M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M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M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M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M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M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M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M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M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M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M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M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M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M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M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M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M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M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M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M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M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M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M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M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M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M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M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M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M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M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M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M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M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M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M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M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M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M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M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M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M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M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M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M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M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M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M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M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M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M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M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M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M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M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M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M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M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M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M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M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M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M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M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M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M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M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M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M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M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M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M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M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M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M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M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M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M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M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M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M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M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M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M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M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M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M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M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M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M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M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M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M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M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M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M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M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M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M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M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M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M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M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M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M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M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M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M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M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M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M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M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M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M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M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M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M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M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M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M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M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M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M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M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M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M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M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M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M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M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M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M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M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M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M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M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M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M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M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M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M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M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M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M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M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M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M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M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M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M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M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M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M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M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M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M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M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M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M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M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M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M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M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M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M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M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M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M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M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M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M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M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M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M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M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M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M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M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M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M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M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M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M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M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M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M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M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M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M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M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M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M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M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M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M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M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M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M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M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M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M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M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M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M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M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M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M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M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M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M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M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M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M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M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M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M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M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M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M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M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M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M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M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M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M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M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M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M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M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M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M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M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M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M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M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M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M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M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M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M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M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M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M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M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M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M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M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M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M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M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M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M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M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M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M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M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M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M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M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M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M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M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M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M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M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M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M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M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M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M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M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M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M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M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M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M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M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M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M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M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M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M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M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M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M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M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M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M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M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M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M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M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M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M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M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M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M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M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M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M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M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M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M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M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M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M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M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M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M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M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M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M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M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M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M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M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M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M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M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M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M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M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M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M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M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M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M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M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M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M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M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M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M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M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M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M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M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M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M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M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M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M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M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M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M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M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M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M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M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M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M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M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M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M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M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M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M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M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M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M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M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M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M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M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M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M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M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M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M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M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M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M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M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M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M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M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M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M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M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M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M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M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M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M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M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M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M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M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M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M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M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M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M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M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M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M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M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M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M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M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M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M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M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M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M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M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M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M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M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M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M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M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M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M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M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M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M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M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M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M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M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M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M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M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M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M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M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M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M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M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M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M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M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M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M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M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M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M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M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M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M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M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M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M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M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M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M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M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M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M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M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M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M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M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M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M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M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M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M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M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M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M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M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M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M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M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M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M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M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M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M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M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M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M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M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M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M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M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M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M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M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M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M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M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M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M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M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M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M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M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M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M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M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M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M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M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M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M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M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M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M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M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M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M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M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M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M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M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M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M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M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M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M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M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M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M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M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M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M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M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M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M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M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M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M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M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M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M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M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M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M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M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M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M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M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M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M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M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M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M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M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M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M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M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M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M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M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M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M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M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M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M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M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M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M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M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M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M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M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M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M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M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M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M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M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M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M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M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M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M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M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M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M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M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M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M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M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M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M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M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M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M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M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M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M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M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M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M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M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M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M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M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M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M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M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M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M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M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M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M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M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M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M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M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M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M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M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M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M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M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M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M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M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M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M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M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M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M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M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M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M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M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M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M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M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M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M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M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M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M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M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M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M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M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M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M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M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M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M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M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M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M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M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M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M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M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M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M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M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M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M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M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M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M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M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M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M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M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M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M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M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M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M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M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M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M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M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M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M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M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M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M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M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M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M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M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M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M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M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M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M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M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M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M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M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M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M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M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M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M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M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M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M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M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M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M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M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M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M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M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M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M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M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M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M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M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M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M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M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M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M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M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M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M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M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M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M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M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M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M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M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M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M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M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M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M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M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M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M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M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M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M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M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M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M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M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M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M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M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M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M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M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M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M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M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M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M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M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M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M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M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M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M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M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M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M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M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M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M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M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M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M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M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M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M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M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M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M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M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M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M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M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M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M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M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M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M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M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M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M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M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M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M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M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M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M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M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M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M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M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M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M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M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M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M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M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M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M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M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M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M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M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M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M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M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M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M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M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M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M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M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M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M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M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M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M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M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M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M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M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M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M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M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M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M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M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M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M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M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M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M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M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M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M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M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M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M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M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M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M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M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M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M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7">
    <mergeCell ref="B18:B27"/>
    <mergeCell ref="H2:L2"/>
    <mergeCell ref="H3:I3"/>
    <mergeCell ref="K3:L3"/>
    <mergeCell ref="B4:B16"/>
    <mergeCell ref="K13:L13"/>
    <mergeCell ref="H16:I16"/>
  </mergeCells>
  <pageMargins left="0.7" right="0.7" top="0.75" bottom="0.75" header="0" footer="0"/>
  <pageSetup orientation="portrait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0"/>
  <sheetViews>
    <sheetView workbookViewId="0"/>
  </sheetViews>
  <sheetFormatPr baseColWidth="10" defaultColWidth="14.5" defaultRowHeight="15" customHeight="1" x14ac:dyDescent="0.2"/>
  <cols>
    <col min="1" max="2" width="11.5" customWidth="1"/>
    <col min="3" max="3" width="16.83203125" customWidth="1"/>
    <col min="4" max="10" width="11.5" customWidth="1"/>
    <col min="11" max="26" width="14.5" customWidth="1"/>
  </cols>
  <sheetData>
    <row r="1" spans="1:26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32" x14ac:dyDescent="0.2">
      <c r="A3" s="1"/>
      <c r="B3" s="1"/>
      <c r="C3" s="1"/>
      <c r="D3" s="1" t="s">
        <v>149</v>
      </c>
      <c r="E3" s="1" t="s">
        <v>150</v>
      </c>
      <c r="F3" s="1" t="s">
        <v>151</v>
      </c>
      <c r="G3" s="1" t="s">
        <v>152</v>
      </c>
      <c r="H3" s="1"/>
      <c r="I3" s="1"/>
      <c r="J3" s="138" t="s">
        <v>153</v>
      </c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x14ac:dyDescent="0.2">
      <c r="A4" s="1"/>
      <c r="B4" s="1"/>
      <c r="C4" s="1" t="s">
        <v>154</v>
      </c>
      <c r="D4" s="15">
        <f>+'Info Planta'!I4</f>
        <v>0</v>
      </c>
      <c r="E4" s="15">
        <f>+'Info Planta'!L4</f>
        <v>2867</v>
      </c>
      <c r="F4" s="15">
        <f t="shared" ref="F4:F12" si="0">+E4-D4</f>
        <v>2867</v>
      </c>
      <c r="G4" s="139">
        <f t="shared" ref="G4:G12" si="1">+IF(F4=0,0,IF(F4&lt;0,1,-1))</f>
        <v>-1</v>
      </c>
      <c r="H4" s="140" t="str">
        <f t="shared" ref="H4:H12" si="2">+IF(G4=1,"consume",IF(G4=0,"mantiene","aumenta"))</f>
        <v>aumenta</v>
      </c>
      <c r="I4" s="15">
        <f>+'Diag Bal AL FeT'!O41</f>
        <v>0</v>
      </c>
      <c r="J4" s="15">
        <f t="shared" ref="J4:J7" si="3">+D4+I4</f>
        <v>0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x14ac:dyDescent="0.2">
      <c r="A5" s="1"/>
      <c r="B5" s="1"/>
      <c r="C5" s="1" t="s">
        <v>155</v>
      </c>
      <c r="D5" s="15">
        <f>+'Info Planta'!I5</f>
        <v>226</v>
      </c>
      <c r="E5" s="15">
        <f>+'Info Planta'!L5</f>
        <v>438</v>
      </c>
      <c r="F5" s="15">
        <f t="shared" si="0"/>
        <v>212</v>
      </c>
      <c r="G5" s="139">
        <f t="shared" si="1"/>
        <v>-1</v>
      </c>
      <c r="H5" s="140" t="str">
        <f t="shared" si="2"/>
        <v>aumenta</v>
      </c>
      <c r="I5" s="15">
        <f>+'Diag Bal AL FeT'!O42</f>
        <v>0</v>
      </c>
      <c r="J5" s="15">
        <f t="shared" si="3"/>
        <v>226</v>
      </c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x14ac:dyDescent="0.2">
      <c r="A6" s="1"/>
      <c r="B6" s="1"/>
      <c r="C6" s="1" t="s">
        <v>156</v>
      </c>
      <c r="D6" s="15">
        <f>+'Info Planta'!I6</f>
        <v>1556</v>
      </c>
      <c r="E6" s="15">
        <f>+'Info Planta'!L6</f>
        <v>1078</v>
      </c>
      <c r="F6" s="15">
        <f t="shared" si="0"/>
        <v>-478</v>
      </c>
      <c r="G6" s="139">
        <f t="shared" si="1"/>
        <v>1</v>
      </c>
      <c r="H6" s="140" t="str">
        <f t="shared" si="2"/>
        <v>consume</v>
      </c>
      <c r="I6" s="15">
        <f>+'Diag Bal AL FeT'!O43</f>
        <v>0</v>
      </c>
      <c r="J6" s="15">
        <f t="shared" si="3"/>
        <v>1556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x14ac:dyDescent="0.2">
      <c r="A7" s="1"/>
      <c r="B7" s="1"/>
      <c r="C7" s="1" t="s">
        <v>157</v>
      </c>
      <c r="D7" s="15">
        <f>+'Info Planta'!I7</f>
        <v>382</v>
      </c>
      <c r="E7" s="15">
        <f>+'Info Planta'!L7</f>
        <v>910</v>
      </c>
      <c r="F7" s="15">
        <f t="shared" si="0"/>
        <v>528</v>
      </c>
      <c r="G7" s="139">
        <f t="shared" si="1"/>
        <v>-1</v>
      </c>
      <c r="H7" s="140" t="str">
        <f t="shared" si="2"/>
        <v>aumenta</v>
      </c>
      <c r="I7" s="15">
        <f>+'Diag Bal AL FeT'!O44</f>
        <v>0</v>
      </c>
      <c r="J7" s="15">
        <f t="shared" si="3"/>
        <v>382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x14ac:dyDescent="0.2">
      <c r="A8" s="1"/>
      <c r="B8" s="1"/>
      <c r="C8" s="141" t="s">
        <v>158</v>
      </c>
      <c r="D8" s="15">
        <f>+'Info Planta'!I8</f>
        <v>250</v>
      </c>
      <c r="E8" s="15">
        <f>+'Info Planta'!L8</f>
        <v>170</v>
      </c>
      <c r="F8" s="15">
        <f t="shared" si="0"/>
        <v>-80</v>
      </c>
      <c r="G8" s="139">
        <f t="shared" si="1"/>
        <v>1</v>
      </c>
      <c r="H8" s="140" t="str">
        <f t="shared" si="2"/>
        <v>consume</v>
      </c>
      <c r="I8" s="15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x14ac:dyDescent="0.2">
      <c r="A9" s="1"/>
      <c r="B9" s="1"/>
      <c r="C9" s="141" t="s">
        <v>159</v>
      </c>
      <c r="D9" s="15">
        <f>+'Info Planta'!I9</f>
        <v>0</v>
      </c>
      <c r="E9" s="15">
        <f>+'Info Planta'!L9</f>
        <v>1067</v>
      </c>
      <c r="F9" s="15">
        <f t="shared" si="0"/>
        <v>1067</v>
      </c>
      <c r="G9" s="139">
        <f t="shared" si="1"/>
        <v>-1</v>
      </c>
      <c r="H9" s="140" t="str">
        <f t="shared" si="2"/>
        <v>aumenta</v>
      </c>
      <c r="I9" s="15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x14ac:dyDescent="0.2">
      <c r="A10" s="1"/>
      <c r="B10" s="1"/>
      <c r="C10" s="141" t="s">
        <v>160</v>
      </c>
      <c r="D10" s="15">
        <f>+'Info Planta'!I10</f>
        <v>0</v>
      </c>
      <c r="E10" s="15">
        <f>+'Info Planta'!L10</f>
        <v>176</v>
      </c>
      <c r="F10" s="15">
        <f t="shared" si="0"/>
        <v>176</v>
      </c>
      <c r="G10" s="139">
        <f t="shared" si="1"/>
        <v>-1</v>
      </c>
      <c r="H10" s="140" t="str">
        <f t="shared" si="2"/>
        <v>aumenta</v>
      </c>
      <c r="I10" s="15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x14ac:dyDescent="0.2">
      <c r="A11" s="1"/>
      <c r="B11" s="1"/>
      <c r="C11" s="141" t="s">
        <v>161</v>
      </c>
      <c r="D11" s="15">
        <f>+'Info Planta'!I11</f>
        <v>3077</v>
      </c>
      <c r="E11" s="15">
        <f>+'Info Planta'!L11</f>
        <v>4239</v>
      </c>
      <c r="F11" s="15">
        <f t="shared" si="0"/>
        <v>1162</v>
      </c>
      <c r="G11" s="139">
        <f t="shared" si="1"/>
        <v>-1</v>
      </c>
      <c r="H11" s="140" t="str">
        <f t="shared" si="2"/>
        <v>aumenta</v>
      </c>
      <c r="I11" s="15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x14ac:dyDescent="0.2">
      <c r="A12" s="1"/>
      <c r="B12" s="1"/>
      <c r="C12" s="141" t="s">
        <v>162</v>
      </c>
      <c r="D12" s="1"/>
      <c r="E12" s="15">
        <f>+'Info Planta'!$L$16</f>
        <v>8414</v>
      </c>
      <c r="F12" s="15">
        <f t="shared" si="0"/>
        <v>8414</v>
      </c>
      <c r="G12" s="139">
        <f t="shared" si="1"/>
        <v>-1</v>
      </c>
      <c r="H12" s="140" t="str">
        <f t="shared" si="2"/>
        <v>aumenta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x14ac:dyDescent="0.2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x14ac:dyDescent="0.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F1000"/>
  <sheetViews>
    <sheetView workbookViewId="0"/>
  </sheetViews>
  <sheetFormatPr baseColWidth="10" defaultColWidth="14.5" defaultRowHeight="15" customHeight="1" x14ac:dyDescent="0.2"/>
  <cols>
    <col min="1" max="3" width="11.5" customWidth="1"/>
    <col min="4" max="4" width="8.6640625" customWidth="1"/>
    <col min="5" max="5" width="4.5" customWidth="1"/>
    <col min="6" max="6" width="36.5" customWidth="1"/>
    <col min="7" max="7" width="7.83203125" customWidth="1"/>
    <col min="8" max="8" width="12.33203125" customWidth="1"/>
    <col min="9" max="9" width="10" customWidth="1"/>
    <col min="10" max="11" width="11.83203125" customWidth="1"/>
    <col min="12" max="12" width="11.5" customWidth="1"/>
    <col min="13" max="13" width="16.5" customWidth="1"/>
    <col min="14" max="14" width="12" customWidth="1"/>
    <col min="15" max="20" width="11.5" customWidth="1"/>
    <col min="21" max="21" width="15" customWidth="1"/>
    <col min="22" max="32" width="11.5" customWidth="1"/>
  </cols>
  <sheetData>
    <row r="1" spans="1:32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</row>
    <row r="2" spans="1:32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</row>
    <row r="3" spans="1:32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</row>
    <row r="4" spans="1:32" x14ac:dyDescent="0.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</row>
    <row r="5" spans="1:32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</row>
    <row r="6" spans="1:32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</row>
    <row r="7" spans="1:32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</row>
    <row r="8" spans="1:32" x14ac:dyDescent="0.2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</row>
    <row r="9" spans="1:32" x14ac:dyDescent="0.2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5"/>
    </row>
    <row r="10" spans="1:32" x14ac:dyDescent="0.2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5"/>
    </row>
    <row r="11" spans="1:32" x14ac:dyDescent="0.2">
      <c r="A11" s="1" t="s">
        <v>163</v>
      </c>
      <c r="B11" s="15">
        <f>+SUM(G26:G28)</f>
        <v>0</v>
      </c>
      <c r="C11" s="1" t="e">
        <f>+C21/(B11*B21)</f>
        <v>#DIV/0!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5"/>
    </row>
    <row r="12" spans="1:32" x14ac:dyDescent="0.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5"/>
    </row>
    <row r="13" spans="1:32" x14ac:dyDescent="0.2">
      <c r="A13" s="15">
        <f t="shared" ref="A13:B13" si="0">+G29</f>
        <v>0</v>
      </c>
      <c r="B13" s="22">
        <f t="shared" si="0"/>
        <v>0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5"/>
    </row>
    <row r="14" spans="1:32" x14ac:dyDescent="0.2">
      <c r="A14" s="15">
        <f t="shared" ref="A14:B14" si="1">+G33</f>
        <v>0</v>
      </c>
      <c r="B14" s="22">
        <f t="shared" si="1"/>
        <v>0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5"/>
    </row>
    <row r="15" spans="1:32" x14ac:dyDescent="0.2">
      <c r="A15" s="15"/>
      <c r="B15" s="22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5"/>
    </row>
    <row r="16" spans="1:32" x14ac:dyDescent="0.2">
      <c r="A16" s="1" t="s">
        <v>164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5"/>
    </row>
    <row r="17" spans="1:32" x14ac:dyDescent="0.2">
      <c r="A17" s="15">
        <f>+SUM(A13:A15)</f>
        <v>0</v>
      </c>
      <c r="B17" s="22">
        <v>0.5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5"/>
    </row>
    <row r="18" spans="1:32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5"/>
    </row>
    <row r="19" spans="1:32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5"/>
    </row>
    <row r="20" spans="1:32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5"/>
    </row>
    <row r="21" spans="1:32" ht="15.75" customHeight="1" x14ac:dyDescent="0.2">
      <c r="A21" s="1"/>
      <c r="B21" s="23">
        <v>0.3</v>
      </c>
      <c r="C21" s="15">
        <f>+A17</f>
        <v>0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5"/>
    </row>
    <row r="22" spans="1:32" ht="15.75" customHeight="1" x14ac:dyDescent="0.2">
      <c r="A22" s="1"/>
      <c r="B22" s="23"/>
      <c r="C22" s="15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5"/>
    </row>
    <row r="23" spans="1:32" ht="15.75" customHeight="1" x14ac:dyDescent="0.2">
      <c r="A23" s="1"/>
      <c r="B23" s="23"/>
      <c r="C23" s="15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5"/>
    </row>
    <row r="24" spans="1:32" ht="15.75" customHeight="1" x14ac:dyDescent="0.25">
      <c r="A24" s="1"/>
      <c r="B24" s="1"/>
      <c r="C24" s="1"/>
      <c r="D24" s="1"/>
      <c r="E24" s="1"/>
      <c r="F24" s="1"/>
      <c r="G24" s="362" t="s">
        <v>165</v>
      </c>
      <c r="H24" s="273"/>
      <c r="I24" s="1"/>
      <c r="J24" s="363" t="s">
        <v>166</v>
      </c>
      <c r="K24" s="272"/>
      <c r="L24" s="273"/>
      <c r="M24" s="1"/>
      <c r="N24" s="364"/>
      <c r="O24" s="276"/>
      <c r="P24" s="1"/>
      <c r="Q24" s="1"/>
      <c r="R24" s="142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5"/>
    </row>
    <row r="25" spans="1:32" ht="15.75" customHeight="1" x14ac:dyDescent="0.2">
      <c r="A25" s="1"/>
      <c r="B25" s="1"/>
      <c r="C25" s="1"/>
      <c r="D25" s="1"/>
      <c r="E25" s="1"/>
      <c r="F25" s="1"/>
      <c r="G25" s="143" t="s">
        <v>8</v>
      </c>
      <c r="H25" s="143" t="s">
        <v>56</v>
      </c>
      <c r="I25" s="1"/>
      <c r="J25" s="144" t="s">
        <v>8</v>
      </c>
      <c r="K25" s="144" t="s">
        <v>56</v>
      </c>
      <c r="L25" s="144" t="s">
        <v>167</v>
      </c>
      <c r="M25" s="1"/>
      <c r="N25" s="25"/>
      <c r="O25" s="25"/>
      <c r="P25" s="145"/>
      <c r="Q25" s="146"/>
      <c r="R25" s="147"/>
      <c r="S25" s="146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5"/>
    </row>
    <row r="26" spans="1:32" ht="15.75" customHeight="1" x14ac:dyDescent="0.2">
      <c r="A26" s="1"/>
      <c r="B26" s="1"/>
      <c r="C26" s="1"/>
      <c r="D26" s="1"/>
      <c r="E26" s="1">
        <f t="shared" ref="E26:E42" si="2">+E3</f>
        <v>0</v>
      </c>
      <c r="F26" s="1" t="s">
        <v>13</v>
      </c>
      <c r="G26" s="148">
        <f>Utilidad!A1</f>
        <v>0</v>
      </c>
      <c r="H26" s="149">
        <f>IF(Utilidad!C$18&gt;1,Utilidad!C1/100,Utilidad!C1)</f>
        <v>0</v>
      </c>
      <c r="I26" s="23"/>
      <c r="J26" s="148">
        <f>Utilidad!B1</f>
        <v>0</v>
      </c>
      <c r="K26" s="149">
        <f>IF(Utilidad!D1&gt;1,Utilidad!D1/100,Utilidad!D1)</f>
        <v>0</v>
      </c>
      <c r="L26" s="90">
        <f t="shared" ref="L26:L42" si="3">+J26*K26</f>
        <v>0</v>
      </c>
      <c r="M26" s="1"/>
      <c r="N26" s="21"/>
      <c r="O26" s="22"/>
      <c r="P26" s="21"/>
      <c r="Q26" s="146"/>
      <c r="R26" s="150"/>
      <c r="S26" s="146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5"/>
    </row>
    <row r="27" spans="1:32" ht="15.75" customHeight="1" x14ac:dyDescent="0.2">
      <c r="A27" s="1"/>
      <c r="B27" s="1"/>
      <c r="C27" s="1"/>
      <c r="D27" s="1"/>
      <c r="E27" s="1">
        <f t="shared" si="2"/>
        <v>0</v>
      </c>
      <c r="F27" s="1" t="s">
        <v>14</v>
      </c>
      <c r="G27" s="148">
        <f>Utilidad!A2</f>
        <v>0</v>
      </c>
      <c r="H27" s="149">
        <f>IF(Utilidad!C$18&gt;1,Utilidad!C2/100,Utilidad!C2)</f>
        <v>0</v>
      </c>
      <c r="I27" s="23"/>
      <c r="J27" s="148">
        <f>Utilidad!B2</f>
        <v>0</v>
      </c>
      <c r="K27" s="149">
        <f>IF(Utilidad!D2&gt;1,Utilidad!D2/100,Utilidad!D2)</f>
        <v>0</v>
      </c>
      <c r="L27" s="90">
        <f t="shared" si="3"/>
        <v>0</v>
      </c>
      <c r="M27" s="1"/>
      <c r="N27" s="21"/>
      <c r="O27" s="22"/>
      <c r="P27" s="21"/>
      <c r="Q27" s="146"/>
      <c r="R27" s="150"/>
      <c r="S27" s="146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</row>
    <row r="28" spans="1:32" ht="15.75" customHeight="1" x14ac:dyDescent="0.2">
      <c r="A28" s="1"/>
      <c r="B28" s="1"/>
      <c r="C28" s="1"/>
      <c r="D28" s="1"/>
      <c r="E28" s="1">
        <f t="shared" si="2"/>
        <v>0</v>
      </c>
      <c r="F28" s="1" t="s">
        <v>15</v>
      </c>
      <c r="G28" s="148">
        <f>Utilidad!A3</f>
        <v>0</v>
      </c>
      <c r="H28" s="149">
        <f>IF(Utilidad!C$18&gt;1,Utilidad!C3/100,Utilidad!C3)</f>
        <v>0</v>
      </c>
      <c r="I28" s="23"/>
      <c r="J28" s="148">
        <f>Utilidad!B3</f>
        <v>0</v>
      </c>
      <c r="K28" s="149">
        <f>IF(Utilidad!D3&gt;1,Utilidad!D3/100,Utilidad!D3)</f>
        <v>0</v>
      </c>
      <c r="L28" s="90">
        <f t="shared" si="3"/>
        <v>0</v>
      </c>
      <c r="M28" s="1"/>
      <c r="N28" s="21"/>
      <c r="O28" s="22"/>
      <c r="P28" s="21"/>
      <c r="Q28" s="146"/>
      <c r="R28" s="150"/>
      <c r="S28" s="146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</row>
    <row r="29" spans="1:32" ht="15.75" customHeight="1" x14ac:dyDescent="0.2">
      <c r="A29" s="1"/>
      <c r="B29" s="1"/>
      <c r="C29" s="1"/>
      <c r="D29" s="1"/>
      <c r="E29" s="1">
        <f t="shared" si="2"/>
        <v>0</v>
      </c>
      <c r="F29" s="1" t="s">
        <v>16</v>
      </c>
      <c r="G29" s="148">
        <f>Utilidad!A4</f>
        <v>0</v>
      </c>
      <c r="H29" s="149">
        <f>IF(Utilidad!C$18&gt;1,Utilidad!C4/100,Utilidad!C4)</f>
        <v>0</v>
      </c>
      <c r="I29" s="1"/>
      <c r="J29" s="148">
        <f>Utilidad!B4</f>
        <v>0</v>
      </c>
      <c r="K29" s="149">
        <f>IF(Utilidad!D4&gt;1,Utilidad!D4/100,Utilidad!D4)</f>
        <v>0</v>
      </c>
      <c r="L29" s="90">
        <f t="shared" si="3"/>
        <v>0</v>
      </c>
      <c r="M29" s="1"/>
      <c r="N29" s="21"/>
      <c r="O29" s="22"/>
      <c r="P29" s="21"/>
      <c r="Q29" s="146"/>
      <c r="R29" s="150"/>
      <c r="S29" s="146"/>
      <c r="T29" s="1"/>
      <c r="U29" s="1"/>
      <c r="V29" s="1"/>
      <c r="W29" s="1"/>
      <c r="X29" s="15"/>
      <c r="Y29" s="15"/>
      <c r="Z29" s="1"/>
      <c r="AA29" s="1"/>
      <c r="AB29" s="1"/>
      <c r="AC29" s="1"/>
      <c r="AD29" s="1"/>
      <c r="AE29" s="1"/>
      <c r="AF29" s="1"/>
    </row>
    <row r="30" spans="1:32" ht="15.75" customHeight="1" x14ac:dyDescent="0.2">
      <c r="A30" s="15">
        <f>+'Calc Nodos'!F4</f>
        <v>2867</v>
      </c>
      <c r="B30" s="15"/>
      <c r="C30" s="15"/>
      <c r="D30" s="1">
        <f>+IF(A30&gt;0,1,IF(A30&lt;&gt;0,-1,0))</f>
        <v>1</v>
      </c>
      <c r="E30" s="1">
        <f t="shared" si="2"/>
        <v>0</v>
      </c>
      <c r="F30" s="108" t="s">
        <v>17</v>
      </c>
      <c r="G30" s="148">
        <f>Utilidad!A5</f>
        <v>0</v>
      </c>
      <c r="H30" s="149">
        <f>IF(Utilidad!C$18&gt;1,Utilidad!C5/100,Utilidad!C5)</f>
        <v>0</v>
      </c>
      <c r="I30" s="151"/>
      <c r="J30" s="148">
        <f>Utilidad!B5</f>
        <v>0</v>
      </c>
      <c r="K30" s="149">
        <f>IF(Utilidad!D5&gt;1,Utilidad!D5/100,Utilidad!D5)</f>
        <v>0</v>
      </c>
      <c r="L30" s="90">
        <f t="shared" si="3"/>
        <v>0</v>
      </c>
      <c r="M30" s="1"/>
      <c r="N30" s="21"/>
      <c r="O30" s="22"/>
      <c r="P30" s="21"/>
      <c r="Q30" s="146"/>
      <c r="R30" s="150"/>
      <c r="S30" s="146"/>
      <c r="T30" s="1"/>
      <c r="U30" s="1"/>
      <c r="V30" s="1"/>
      <c r="W30" s="1"/>
      <c r="X30" s="15"/>
      <c r="Y30" s="15"/>
      <c r="Z30" s="1"/>
      <c r="AA30" s="1"/>
      <c r="AB30" s="1"/>
      <c r="AC30" s="1"/>
      <c r="AD30" s="1"/>
      <c r="AE30" s="1"/>
      <c r="AF30" s="1"/>
    </row>
    <row r="31" spans="1:32" ht="15.75" customHeight="1" x14ac:dyDescent="0.2">
      <c r="A31" s="1"/>
      <c r="B31" s="1"/>
      <c r="C31" s="1"/>
      <c r="D31" s="1"/>
      <c r="E31" s="1">
        <f t="shared" si="2"/>
        <v>0</v>
      </c>
      <c r="F31" s="1" t="s">
        <v>18</v>
      </c>
      <c r="G31" s="148">
        <f>Utilidad!A6</f>
        <v>0</v>
      </c>
      <c r="H31" s="149">
        <f>IF(Utilidad!C$18&gt;1,Utilidad!C6/100,Utilidad!C6)</f>
        <v>0</v>
      </c>
      <c r="I31" s="1"/>
      <c r="J31" s="148">
        <f>Utilidad!B6</f>
        <v>0</v>
      </c>
      <c r="K31" s="149">
        <f>IF(Utilidad!D6&gt;1,Utilidad!D6/100,Utilidad!D6)</f>
        <v>0</v>
      </c>
      <c r="L31" s="90">
        <f t="shared" si="3"/>
        <v>0</v>
      </c>
      <c r="M31" s="1"/>
      <c r="N31" s="21"/>
      <c r="O31" s="22"/>
      <c r="P31" s="21"/>
      <c r="Q31" s="146"/>
      <c r="R31" s="150"/>
      <c r="S31" s="146"/>
      <c r="T31" s="1"/>
      <c r="U31" s="1"/>
      <c r="V31" s="1"/>
      <c r="W31" s="1"/>
      <c r="X31" s="15"/>
      <c r="Y31" s="15"/>
      <c r="Z31" s="1"/>
      <c r="AA31" s="1"/>
      <c r="AB31" s="1"/>
      <c r="AC31" s="1"/>
      <c r="AD31" s="1"/>
      <c r="AE31" s="1"/>
      <c r="AF31" s="1"/>
    </row>
    <row r="32" spans="1:32" ht="15.75" customHeight="1" x14ac:dyDescent="0.2">
      <c r="A32" s="1"/>
      <c r="B32" s="1"/>
      <c r="C32" s="1"/>
      <c r="D32" s="1"/>
      <c r="E32" s="1">
        <f t="shared" si="2"/>
        <v>0</v>
      </c>
      <c r="F32" s="1" t="s">
        <v>19</v>
      </c>
      <c r="G32" s="148">
        <f>Utilidad!A7</f>
        <v>0</v>
      </c>
      <c r="H32" s="149">
        <f>IF(Utilidad!C$18&gt;1,Utilidad!C7/100,Utilidad!C7)</f>
        <v>0</v>
      </c>
      <c r="I32" s="1"/>
      <c r="J32" s="148">
        <f>Utilidad!B7</f>
        <v>0</v>
      </c>
      <c r="K32" s="149">
        <f>IF(Utilidad!D7&gt;1,Utilidad!D7/100,Utilidad!D7)</f>
        <v>0</v>
      </c>
      <c r="L32" s="90">
        <f t="shared" si="3"/>
        <v>0</v>
      </c>
      <c r="M32" s="1"/>
      <c r="N32" s="21"/>
      <c r="O32" s="22"/>
      <c r="P32" s="21"/>
      <c r="Q32" s="146"/>
      <c r="R32" s="150"/>
      <c r="S32" s="146"/>
      <c r="T32" s="1"/>
      <c r="U32" s="1"/>
      <c r="V32" s="1"/>
      <c r="W32" s="1"/>
      <c r="X32" s="15"/>
      <c r="Y32" s="15"/>
      <c r="Z32" s="1"/>
      <c r="AA32" s="1"/>
      <c r="AB32" s="1"/>
      <c r="AC32" s="1"/>
      <c r="AD32" s="1"/>
      <c r="AE32" s="1"/>
      <c r="AF32" s="1"/>
    </row>
    <row r="33" spans="1:32" ht="15.75" customHeight="1" x14ac:dyDescent="0.2">
      <c r="A33" s="1"/>
      <c r="B33" s="1"/>
      <c r="C33" s="1"/>
      <c r="D33" s="1"/>
      <c r="E33" s="1">
        <f t="shared" si="2"/>
        <v>0</v>
      </c>
      <c r="F33" s="1" t="s">
        <v>20</v>
      </c>
      <c r="G33" s="148">
        <f>Utilidad!A8</f>
        <v>0</v>
      </c>
      <c r="H33" s="149">
        <f>IF(Utilidad!C$18&gt;1,Utilidad!C8/100,Utilidad!C8)</f>
        <v>0</v>
      </c>
      <c r="I33" s="1"/>
      <c r="J33" s="148">
        <f>Utilidad!B8</f>
        <v>0</v>
      </c>
      <c r="K33" s="149">
        <f>IF(Utilidad!D8&gt;1,Utilidad!D8/100,Utilidad!D8)</f>
        <v>0</v>
      </c>
      <c r="L33" s="90">
        <f t="shared" si="3"/>
        <v>0</v>
      </c>
      <c r="M33" s="1"/>
      <c r="N33" s="21"/>
      <c r="O33" s="22"/>
      <c r="P33" s="21"/>
      <c r="Q33" s="146"/>
      <c r="R33" s="150"/>
      <c r="S33" s="146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</row>
    <row r="34" spans="1:32" ht="15.75" customHeight="1" x14ac:dyDescent="0.2">
      <c r="A34" s="15">
        <f>+'Calc Nodos'!F5</f>
        <v>212</v>
      </c>
      <c r="B34" s="15"/>
      <c r="C34" s="15"/>
      <c r="D34" s="1">
        <f>+IF(A34&gt;0,1,IF(A34&lt;&gt;0,-1,0))</f>
        <v>1</v>
      </c>
      <c r="E34" s="1">
        <f t="shared" si="2"/>
        <v>0</v>
      </c>
      <c r="F34" s="108" t="s">
        <v>21</v>
      </c>
      <c r="G34" s="148">
        <f>Utilidad!A9</f>
        <v>0</v>
      </c>
      <c r="H34" s="149">
        <f>IF(Utilidad!C$18&gt;1,Utilidad!C9/100,Utilidad!C9)</f>
        <v>0</v>
      </c>
      <c r="I34" s="151"/>
      <c r="J34" s="148">
        <f>Utilidad!B9</f>
        <v>0</v>
      </c>
      <c r="K34" s="149">
        <f>IF(Utilidad!D9&gt;1,Utilidad!D9/100,Utilidad!D9)</f>
        <v>0</v>
      </c>
      <c r="L34" s="90">
        <f t="shared" si="3"/>
        <v>0</v>
      </c>
      <c r="M34" s="1"/>
      <c r="N34" s="21"/>
      <c r="O34" s="22"/>
      <c r="P34" s="21"/>
      <c r="Q34" s="146"/>
      <c r="R34" s="150"/>
      <c r="S34" s="146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</row>
    <row r="35" spans="1:32" ht="15.75" customHeight="1" x14ac:dyDescent="0.2">
      <c r="A35" s="1"/>
      <c r="B35" s="1"/>
      <c r="C35" s="1"/>
      <c r="D35" s="1"/>
      <c r="E35" s="1">
        <f t="shared" si="2"/>
        <v>0</v>
      </c>
      <c r="F35" s="1" t="s">
        <v>22</v>
      </c>
      <c r="G35" s="148">
        <f>Utilidad!A10</f>
        <v>0</v>
      </c>
      <c r="H35" s="149">
        <f>IF(Utilidad!C$18&gt;1,Utilidad!C10/100,Utilidad!C10)</f>
        <v>0</v>
      </c>
      <c r="I35" s="1"/>
      <c r="J35" s="148">
        <f>Utilidad!B10</f>
        <v>0</v>
      </c>
      <c r="K35" s="149">
        <f>IF(Utilidad!D10&gt;1,Utilidad!D10/100,Utilidad!D10)</f>
        <v>0</v>
      </c>
      <c r="L35" s="90">
        <f t="shared" si="3"/>
        <v>0</v>
      </c>
      <c r="M35" s="1"/>
      <c r="N35" s="21"/>
      <c r="O35" s="22"/>
      <c r="P35" s="21"/>
      <c r="Q35" s="146"/>
      <c r="R35" s="150"/>
      <c r="S35" s="146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</row>
    <row r="36" spans="1:32" ht="15.75" customHeight="1" x14ac:dyDescent="0.2">
      <c r="A36" s="1"/>
      <c r="B36" s="1"/>
      <c r="C36" s="1"/>
      <c r="D36" s="1"/>
      <c r="E36" s="1">
        <f t="shared" si="2"/>
        <v>0</v>
      </c>
      <c r="F36" s="1" t="s">
        <v>23</v>
      </c>
      <c r="G36" s="148">
        <f>Utilidad!A11</f>
        <v>0</v>
      </c>
      <c r="H36" s="149">
        <f>IF(Utilidad!C$18&gt;1,Utilidad!C11/100,Utilidad!C11)</f>
        <v>0</v>
      </c>
      <c r="I36" s="1"/>
      <c r="J36" s="148">
        <f>Utilidad!B11</f>
        <v>0</v>
      </c>
      <c r="K36" s="149">
        <f>IF(Utilidad!D11&gt;1,Utilidad!D11/100,Utilidad!D11)</f>
        <v>0</v>
      </c>
      <c r="L36" s="90">
        <f t="shared" si="3"/>
        <v>0</v>
      </c>
      <c r="M36" s="1"/>
      <c r="N36" s="21"/>
      <c r="O36" s="22"/>
      <c r="P36" s="21"/>
      <c r="Q36" s="146"/>
      <c r="R36" s="150"/>
      <c r="S36" s="146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</row>
    <row r="37" spans="1:32" ht="15.75" customHeight="1" x14ac:dyDescent="0.2">
      <c r="A37" s="1"/>
      <c r="B37" s="1"/>
      <c r="C37" s="1"/>
      <c r="D37" s="1"/>
      <c r="E37" s="1">
        <f t="shared" si="2"/>
        <v>0</v>
      </c>
      <c r="F37" s="1" t="s">
        <v>24</v>
      </c>
      <c r="G37" s="148">
        <f>Utilidad!A12</f>
        <v>0</v>
      </c>
      <c r="H37" s="149">
        <f>IF(Utilidad!C$18&gt;1,Utilidad!C12/100,Utilidad!C12)</f>
        <v>0</v>
      </c>
      <c r="I37" s="1"/>
      <c r="J37" s="148">
        <f>Utilidad!B12</f>
        <v>0</v>
      </c>
      <c r="K37" s="149">
        <f>IF(Utilidad!D12&gt;1,Utilidad!D12/100,Utilidad!D12)</f>
        <v>0</v>
      </c>
      <c r="L37" s="90">
        <f t="shared" si="3"/>
        <v>0</v>
      </c>
      <c r="M37" s="1"/>
      <c r="N37" s="21"/>
      <c r="O37" s="22"/>
      <c r="P37" s="21"/>
      <c r="Q37" s="146"/>
      <c r="R37" s="150"/>
      <c r="S37" s="146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</row>
    <row r="38" spans="1:32" ht="15.75" customHeight="1" x14ac:dyDescent="0.2">
      <c r="A38" s="15">
        <f>+'Calc Nodos'!F6</f>
        <v>-478</v>
      </c>
      <c r="B38" s="15"/>
      <c r="C38" s="15"/>
      <c r="D38" s="1">
        <f>+IF(A38&gt;0,1,IF(A38&lt;&gt;0,-1,0))</f>
        <v>-1</v>
      </c>
      <c r="E38" s="1">
        <f t="shared" si="2"/>
        <v>0</v>
      </c>
      <c r="F38" s="108" t="s">
        <v>25</v>
      </c>
      <c r="G38" s="148">
        <f>Utilidad!A13</f>
        <v>0</v>
      </c>
      <c r="H38" s="149">
        <f>IF(Utilidad!C$18&gt;1,Utilidad!C13/100,Utilidad!C13)</f>
        <v>0</v>
      </c>
      <c r="I38" s="151"/>
      <c r="J38" s="148">
        <f>Utilidad!B13</f>
        <v>0</v>
      </c>
      <c r="K38" s="149">
        <f>IF(Utilidad!D13&gt;1,Utilidad!D13/100,Utilidad!D13)</f>
        <v>0</v>
      </c>
      <c r="L38" s="90">
        <f t="shared" si="3"/>
        <v>0</v>
      </c>
      <c r="M38" s="1"/>
      <c r="N38" s="21"/>
      <c r="O38" s="22"/>
      <c r="P38" s="21"/>
      <c r="Q38" s="146"/>
      <c r="R38" s="150"/>
      <c r="S38" s="146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</row>
    <row r="39" spans="1:32" ht="15.75" customHeight="1" x14ac:dyDescent="0.2">
      <c r="A39" s="1"/>
      <c r="B39" s="1"/>
      <c r="C39" s="1"/>
      <c r="D39" s="1"/>
      <c r="E39" s="1">
        <f t="shared" si="2"/>
        <v>0</v>
      </c>
      <c r="F39" s="1" t="s">
        <v>26</v>
      </c>
      <c r="G39" s="148">
        <f>Utilidad!A14</f>
        <v>0</v>
      </c>
      <c r="H39" s="149">
        <f>IF(Utilidad!C$18&gt;1,Utilidad!C14/100,Utilidad!C14)</f>
        <v>0</v>
      </c>
      <c r="I39" s="1"/>
      <c r="J39" s="148">
        <f>Utilidad!B14</f>
        <v>0</v>
      </c>
      <c r="K39" s="149">
        <f>IF(Utilidad!D14&gt;1,Utilidad!D14/100,Utilidad!D14)</f>
        <v>0</v>
      </c>
      <c r="L39" s="90">
        <f t="shared" si="3"/>
        <v>0</v>
      </c>
      <c r="M39" s="1"/>
      <c r="N39" s="21"/>
      <c r="O39" s="22"/>
      <c r="P39" s="21"/>
      <c r="Q39" s="146"/>
      <c r="R39" s="150"/>
      <c r="S39" s="146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</row>
    <row r="40" spans="1:32" ht="15.75" customHeight="1" x14ac:dyDescent="0.2">
      <c r="A40" s="1"/>
      <c r="B40" s="1"/>
      <c r="C40" s="1"/>
      <c r="D40" s="1"/>
      <c r="E40" s="1">
        <f t="shared" si="2"/>
        <v>0</v>
      </c>
      <c r="F40" s="1" t="s">
        <v>27</v>
      </c>
      <c r="G40" s="148">
        <f>Utilidad!A15</f>
        <v>0</v>
      </c>
      <c r="H40" s="149">
        <f>IF(Utilidad!C$18&gt;1,Utilidad!C15/100,Utilidad!C15)</f>
        <v>0</v>
      </c>
      <c r="I40" s="1"/>
      <c r="J40" s="148">
        <f>Utilidad!B15</f>
        <v>0</v>
      </c>
      <c r="K40" s="149">
        <f>IF(Utilidad!D15&gt;1,Utilidad!D15/100,Utilidad!D15)</f>
        <v>0</v>
      </c>
      <c r="L40" s="90">
        <f t="shared" si="3"/>
        <v>0</v>
      </c>
      <c r="M40" s="15"/>
      <c r="N40" s="21"/>
      <c r="O40" s="22"/>
      <c r="P40" s="21"/>
      <c r="Q40" s="146"/>
      <c r="R40" s="150"/>
      <c r="S40" s="146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</row>
    <row r="41" spans="1:32" ht="15.75" customHeight="1" x14ac:dyDescent="0.2">
      <c r="A41" s="15">
        <f>+'Calc Nodos'!F7</f>
        <v>528</v>
      </c>
      <c r="B41" s="15"/>
      <c r="C41" s="15"/>
      <c r="D41" s="1">
        <f>+IF(A41&gt;0,1,IF(A41&lt;&gt;0,-1,0))</f>
        <v>1</v>
      </c>
      <c r="E41" s="1">
        <f t="shared" si="2"/>
        <v>0</v>
      </c>
      <c r="F41" s="108" t="s">
        <v>28</v>
      </c>
      <c r="G41" s="148">
        <f>Utilidad!A16</f>
        <v>0</v>
      </c>
      <c r="H41" s="149">
        <f>IF(Utilidad!C$18&gt;1,Utilidad!C16/100,Utilidad!C16)</f>
        <v>0</v>
      </c>
      <c r="I41" s="151"/>
      <c r="J41" s="148">
        <f>Utilidad!B16</f>
        <v>0</v>
      </c>
      <c r="K41" s="149">
        <f>IF(Utilidad!D16&gt;1,Utilidad!D16/100,Utilidad!D16)</f>
        <v>0</v>
      </c>
      <c r="L41" s="90">
        <f t="shared" si="3"/>
        <v>0</v>
      </c>
      <c r="M41" s="1"/>
      <c r="N41" s="21"/>
      <c r="O41" s="22"/>
      <c r="P41" s="21"/>
      <c r="Q41" s="146"/>
      <c r="R41" s="150"/>
      <c r="S41" s="146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</row>
    <row r="42" spans="1:32" ht="15.75" customHeight="1" x14ac:dyDescent="0.2">
      <c r="A42" s="1"/>
      <c r="B42" s="1"/>
      <c r="C42" s="1"/>
      <c r="D42" s="1"/>
      <c r="E42" s="1">
        <f t="shared" si="2"/>
        <v>0</v>
      </c>
      <c r="F42" s="1" t="s">
        <v>29</v>
      </c>
      <c r="G42" s="148">
        <f>Utilidad!A17</f>
        <v>0</v>
      </c>
      <c r="H42" s="149">
        <f>IF(Utilidad!C$18&gt;1,Utilidad!C17/100,Utilidad!C17)</f>
        <v>0</v>
      </c>
      <c r="I42" s="1"/>
      <c r="J42" s="148">
        <f>Utilidad!B17</f>
        <v>0</v>
      </c>
      <c r="K42" s="149">
        <f>IF(Utilidad!D17&gt;1,Utilidad!D17/100,Utilidad!D17)</f>
        <v>0</v>
      </c>
      <c r="L42" s="90">
        <f t="shared" si="3"/>
        <v>0</v>
      </c>
      <c r="M42" s="1"/>
      <c r="N42" s="21"/>
      <c r="O42" s="22"/>
      <c r="P42" s="21"/>
      <c r="Q42" s="146"/>
      <c r="R42" s="150"/>
      <c r="S42" s="146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</row>
    <row r="43" spans="1:32" ht="15.7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</row>
    <row r="44" spans="1:32" ht="15.75" customHeight="1" x14ac:dyDescent="0.2">
      <c r="A44" s="1"/>
      <c r="B44" s="1"/>
      <c r="C44" s="1"/>
      <c r="D44" s="1"/>
      <c r="E44" s="1"/>
      <c r="F44" s="138"/>
      <c r="G44" s="361"/>
      <c r="H44" s="276"/>
      <c r="I44" s="1"/>
      <c r="J44" s="361"/>
      <c r="K44" s="276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</row>
    <row r="45" spans="1:32" ht="15.75" customHeight="1" x14ac:dyDescent="0.2">
      <c r="A45" s="1"/>
      <c r="B45" s="1"/>
      <c r="C45" s="1"/>
      <c r="D45" s="1"/>
      <c r="E45" s="1"/>
      <c r="F45" s="138"/>
      <c r="G45" s="25"/>
      <c r="H45" s="25"/>
      <c r="I45" s="1"/>
      <c r="J45" s="25"/>
      <c r="K45" s="25"/>
      <c r="L45" s="1"/>
      <c r="M45" s="25"/>
      <c r="N45" s="25"/>
      <c r="O45" s="25"/>
      <c r="P45" s="25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</row>
    <row r="46" spans="1:32" ht="15.7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5"/>
      <c r="K46" s="23"/>
      <c r="L46" s="1"/>
      <c r="M46" s="25"/>
      <c r="N46" s="58"/>
      <c r="O46" s="150"/>
      <c r="P46" s="150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</row>
    <row r="47" spans="1:32" ht="15.7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5"/>
      <c r="K47" s="23"/>
      <c r="L47" s="1"/>
      <c r="M47" s="25"/>
      <c r="N47" s="58"/>
      <c r="O47" s="150"/>
      <c r="P47" s="150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</row>
    <row r="48" spans="1:32" ht="15.7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5"/>
      <c r="K48" s="23"/>
      <c r="L48" s="1"/>
      <c r="M48" s="1"/>
      <c r="N48" s="15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</row>
    <row r="49" spans="1:32" ht="15.7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5"/>
      <c r="K49" s="23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</row>
    <row r="50" spans="1:32" ht="15.7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5"/>
      <c r="K50" s="23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</row>
    <row r="51" spans="1:32" ht="15.7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5"/>
      <c r="K51" s="23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</row>
    <row r="52" spans="1:32" ht="15.7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5"/>
      <c r="K52" s="23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</row>
    <row r="53" spans="1:32" ht="15.7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5"/>
      <c r="K53" s="23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</row>
    <row r="54" spans="1:32" ht="15.7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5"/>
      <c r="K54" s="23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</row>
    <row r="55" spans="1:32" ht="15.7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5"/>
      <c r="K55" s="23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</row>
    <row r="56" spans="1:32" ht="15.7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5"/>
      <c r="K56" s="23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</row>
    <row r="57" spans="1:32" ht="15.7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5"/>
      <c r="K57" s="23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</row>
    <row r="58" spans="1:32" ht="15.7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5"/>
      <c r="K58" s="23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</row>
    <row r="59" spans="1:32" ht="15.7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5"/>
      <c r="K59" s="23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</row>
    <row r="60" spans="1:32" ht="15.7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5"/>
      <c r="K60" s="23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</row>
    <row r="61" spans="1:32" ht="15.7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5"/>
      <c r="K61" s="23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</row>
    <row r="62" spans="1:32" ht="15.7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5"/>
      <c r="K62" s="23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</row>
    <row r="63" spans="1:32" ht="15.7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</row>
    <row r="64" spans="1:32" ht="15.75" customHeight="1" x14ac:dyDescent="0.2">
      <c r="A64" s="1"/>
      <c r="B64" s="1"/>
      <c r="C64" s="1"/>
      <c r="D64" s="1"/>
      <c r="E64" s="1"/>
      <c r="F64" s="138"/>
      <c r="G64" s="361"/>
      <c r="H64" s="276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</row>
    <row r="65" spans="1:32" ht="15.75" customHeight="1" x14ac:dyDescent="0.2">
      <c r="A65" s="1"/>
      <c r="B65" s="1"/>
      <c r="C65" s="1"/>
      <c r="D65" s="1"/>
      <c r="E65" s="1"/>
      <c r="F65" s="138"/>
      <c r="G65" s="25"/>
      <c r="H65" s="25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</row>
    <row r="66" spans="1:32" ht="15.7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</row>
    <row r="67" spans="1:32" ht="15.7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</row>
    <row r="68" spans="1:32" ht="15.7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</row>
    <row r="69" spans="1:32" ht="15.7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</row>
    <row r="70" spans="1:32" ht="15.7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</row>
    <row r="71" spans="1:32" ht="15.7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</row>
    <row r="72" spans="1:32" ht="15.7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</row>
    <row r="73" spans="1:32" ht="15.7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</row>
    <row r="74" spans="1:32" ht="15.7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</row>
    <row r="75" spans="1:32" ht="15.7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</row>
    <row r="76" spans="1:32" ht="15.7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</row>
    <row r="77" spans="1:32" ht="15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</row>
    <row r="78" spans="1:32" ht="15.7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</row>
    <row r="79" spans="1:32" ht="15.7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</row>
    <row r="80" spans="1:32" ht="15.7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</row>
    <row r="81" spans="1:32" ht="15.7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</row>
    <row r="82" spans="1:32" ht="15.7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</row>
    <row r="83" spans="1:32" ht="15.7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</row>
    <row r="84" spans="1:32" ht="15.7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</row>
    <row r="85" spans="1:32" ht="15.7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</row>
    <row r="86" spans="1:32" ht="15.7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</row>
    <row r="87" spans="1:32" ht="15.7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</row>
    <row r="88" spans="1:32" ht="15.7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</row>
    <row r="89" spans="1:32" ht="15.7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</row>
    <row r="90" spans="1:32" ht="15.7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</row>
    <row r="91" spans="1:32" ht="15.7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</row>
    <row r="92" spans="1:32" ht="15.7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</row>
    <row r="93" spans="1:32" ht="15.7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</row>
    <row r="94" spans="1:32" ht="15.7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</row>
    <row r="95" spans="1:32" ht="15.7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</row>
    <row r="96" spans="1:32" ht="15.7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</row>
    <row r="97" spans="1:32" ht="15.7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</row>
    <row r="98" spans="1:32" ht="15.7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</row>
    <row r="99" spans="1:32" ht="15.7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</row>
    <row r="100" spans="1:32" ht="15.7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</row>
    <row r="101" spans="1:32" ht="15.7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</row>
    <row r="102" spans="1:32" ht="15.7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</row>
    <row r="103" spans="1:32" ht="15.7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</row>
    <row r="104" spans="1:32" ht="15.7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</row>
    <row r="105" spans="1:32" ht="15.7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</row>
    <row r="106" spans="1:32" ht="15.7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</row>
    <row r="107" spans="1:32" ht="15.7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</row>
    <row r="108" spans="1:32" ht="15.7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</row>
    <row r="109" spans="1:32" ht="15.7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</row>
    <row r="110" spans="1:32" ht="15.7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</row>
    <row r="111" spans="1:32" ht="15.7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</row>
    <row r="112" spans="1:32" ht="15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</row>
    <row r="113" spans="1:32" ht="15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</row>
    <row r="114" spans="1:32" ht="15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</row>
    <row r="115" spans="1:32" ht="15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</row>
    <row r="116" spans="1:32" ht="15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</row>
    <row r="117" spans="1:32" ht="15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</row>
    <row r="118" spans="1:32" ht="15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</row>
    <row r="119" spans="1:32" ht="15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</row>
    <row r="120" spans="1:32" ht="15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</row>
    <row r="121" spans="1:32" ht="15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</row>
    <row r="122" spans="1:32" ht="15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</row>
    <row r="123" spans="1:32" ht="15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</row>
    <row r="124" spans="1:32" ht="15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</row>
    <row r="125" spans="1:32" ht="15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</row>
    <row r="126" spans="1:32" ht="15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</row>
    <row r="127" spans="1:32" ht="15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</row>
    <row r="128" spans="1:32" ht="15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</row>
    <row r="129" spans="1:32" ht="15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</row>
    <row r="130" spans="1:32" ht="15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</row>
    <row r="131" spans="1:32" ht="15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</row>
    <row r="132" spans="1:32" ht="15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</row>
    <row r="133" spans="1:32" ht="15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</row>
    <row r="134" spans="1:32" ht="15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</row>
    <row r="135" spans="1:32" ht="15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</row>
    <row r="136" spans="1:32" ht="15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</row>
    <row r="137" spans="1:32" ht="15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</row>
    <row r="138" spans="1:32" ht="15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</row>
    <row r="139" spans="1:32" ht="15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</row>
    <row r="140" spans="1:32" ht="15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</row>
    <row r="141" spans="1:32" ht="15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</row>
    <row r="142" spans="1:32" ht="15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</row>
    <row r="143" spans="1:32" ht="15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</row>
    <row r="144" spans="1:32" ht="15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</row>
    <row r="145" spans="1:32" ht="15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</row>
    <row r="146" spans="1:32" ht="15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</row>
    <row r="147" spans="1:32" ht="15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</row>
    <row r="148" spans="1:32" ht="15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</row>
    <row r="149" spans="1:32" ht="15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</row>
    <row r="150" spans="1:32" ht="15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</row>
    <row r="151" spans="1:32" ht="15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</row>
    <row r="152" spans="1:32" ht="15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</row>
    <row r="153" spans="1:32" ht="15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</row>
    <row r="154" spans="1:32" ht="15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</row>
    <row r="155" spans="1:32" ht="15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</row>
    <row r="156" spans="1:32" ht="15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</row>
    <row r="157" spans="1:32" ht="15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</row>
    <row r="158" spans="1:32" ht="15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</row>
    <row r="159" spans="1:32" ht="15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</row>
    <row r="160" spans="1:32" ht="15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</row>
    <row r="161" spans="1:32" ht="15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</row>
    <row r="162" spans="1:32" ht="15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</row>
    <row r="163" spans="1:32" ht="15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</row>
    <row r="164" spans="1:32" ht="15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</row>
    <row r="165" spans="1:32" ht="15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</row>
    <row r="166" spans="1:32" ht="15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</row>
    <row r="167" spans="1:32" ht="15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</row>
    <row r="168" spans="1:32" ht="15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</row>
    <row r="169" spans="1:32" ht="15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</row>
    <row r="170" spans="1:32" ht="15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</row>
    <row r="171" spans="1:32" ht="15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</row>
    <row r="172" spans="1:32" ht="15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</row>
    <row r="173" spans="1:32" ht="15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</row>
    <row r="174" spans="1:32" ht="15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</row>
    <row r="175" spans="1:32" ht="15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</row>
    <row r="176" spans="1:32" ht="15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</row>
    <row r="177" spans="1:32" ht="15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</row>
    <row r="178" spans="1:32" ht="15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</row>
    <row r="179" spans="1:32" ht="15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</row>
    <row r="180" spans="1:32" ht="15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</row>
    <row r="181" spans="1:32" ht="15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</row>
    <row r="182" spans="1:32" ht="15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</row>
    <row r="183" spans="1:32" ht="15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</row>
    <row r="184" spans="1:32" ht="15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</row>
    <row r="185" spans="1:32" ht="15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</row>
    <row r="186" spans="1:32" ht="15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</row>
    <row r="187" spans="1:32" ht="15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</row>
    <row r="188" spans="1:32" ht="15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</row>
    <row r="189" spans="1:32" ht="15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</row>
    <row r="190" spans="1:32" ht="15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</row>
    <row r="191" spans="1:32" ht="15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</row>
    <row r="192" spans="1:32" ht="15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</row>
    <row r="193" spans="1:32" ht="15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</row>
    <row r="194" spans="1:32" ht="15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</row>
    <row r="195" spans="1:32" ht="15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</row>
    <row r="196" spans="1:32" ht="15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</row>
    <row r="197" spans="1:32" ht="15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</row>
    <row r="198" spans="1:32" ht="15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</row>
    <row r="199" spans="1:32" ht="15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</row>
    <row r="200" spans="1:32" ht="15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</row>
    <row r="201" spans="1:32" ht="15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</row>
    <row r="202" spans="1:32" ht="15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</row>
    <row r="203" spans="1:32" ht="15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</row>
    <row r="204" spans="1:32" ht="15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</row>
    <row r="205" spans="1:32" ht="15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</row>
    <row r="206" spans="1:32" ht="15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</row>
    <row r="207" spans="1:32" ht="15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</row>
    <row r="208" spans="1:32" ht="15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</row>
    <row r="209" spans="1:32" ht="15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</row>
    <row r="210" spans="1:32" ht="15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</row>
    <row r="211" spans="1:32" ht="15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</row>
    <row r="212" spans="1:32" ht="15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</row>
    <row r="213" spans="1:32" ht="15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</row>
    <row r="214" spans="1:32" ht="15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</row>
    <row r="215" spans="1:32" ht="15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</row>
    <row r="216" spans="1:32" ht="15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</row>
    <row r="217" spans="1:32" ht="15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</row>
    <row r="218" spans="1:32" ht="15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</row>
    <row r="219" spans="1:32" ht="15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</row>
    <row r="220" spans="1:32" ht="15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</row>
    <row r="221" spans="1:32" ht="15.7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</row>
    <row r="222" spans="1:32" ht="15.7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</row>
    <row r="223" spans="1:32" ht="15.7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</row>
    <row r="224" spans="1:32" ht="15.7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</row>
    <row r="225" spans="1:32" ht="15.7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</row>
    <row r="226" spans="1:32" ht="15.7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</row>
    <row r="227" spans="1:32" ht="15.7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</row>
    <row r="228" spans="1:32" ht="15.7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</row>
    <row r="229" spans="1:32" ht="15.7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</row>
    <row r="230" spans="1:32" ht="15.7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</row>
    <row r="231" spans="1:32" ht="15.7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</row>
    <row r="232" spans="1:32" ht="15.7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</row>
    <row r="233" spans="1:32" ht="15.7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</row>
    <row r="234" spans="1:32" ht="15.7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</row>
    <row r="235" spans="1:32" ht="15.7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</row>
    <row r="236" spans="1:32" ht="15.7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</row>
    <row r="237" spans="1:32" ht="15.7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</row>
    <row r="238" spans="1:32" ht="15.7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</row>
    <row r="239" spans="1:32" ht="15.7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</row>
    <row r="240" spans="1:32" ht="15.7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</row>
    <row r="241" spans="1:32" ht="15.7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</row>
    <row r="242" spans="1:32" ht="15.7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</row>
    <row r="243" spans="1:32" ht="15.7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</row>
    <row r="244" spans="1:32" ht="15.7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</row>
    <row r="245" spans="1:32" ht="15.7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</row>
    <row r="246" spans="1:32" ht="15.7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</row>
    <row r="247" spans="1:32" ht="15.7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</row>
    <row r="248" spans="1:32" ht="15.7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</row>
    <row r="249" spans="1:32" ht="15.7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</row>
    <row r="250" spans="1:32" ht="15.7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</row>
    <row r="251" spans="1:32" ht="15.7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</row>
    <row r="252" spans="1:32" ht="15.7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</row>
    <row r="253" spans="1:32" ht="15.7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</row>
    <row r="254" spans="1:32" ht="15.7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</row>
    <row r="255" spans="1:32" ht="15.7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</row>
    <row r="256" spans="1:32" ht="15.7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</row>
    <row r="257" spans="1:32" ht="15.7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</row>
    <row r="258" spans="1:32" ht="15.7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</row>
    <row r="259" spans="1:32" ht="15.7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</row>
    <row r="260" spans="1:32" ht="15.7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</row>
    <row r="261" spans="1:32" ht="15.7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</row>
    <row r="262" spans="1:32" ht="15.7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</row>
    <row r="263" spans="1:32" ht="15.7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</row>
    <row r="264" spans="1:32" ht="15.7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</row>
    <row r="265" spans="1:32" ht="15.7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</row>
    <row r="266" spans="1:32" ht="15.7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</row>
    <row r="267" spans="1:32" ht="15.7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</row>
    <row r="268" spans="1:32" ht="15.7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</row>
    <row r="269" spans="1:32" ht="15.7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</row>
    <row r="270" spans="1:32" ht="15.7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</row>
    <row r="271" spans="1:32" ht="15.7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</row>
    <row r="272" spans="1:32" ht="15.7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</row>
    <row r="273" spans="1:32" ht="15.7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</row>
    <row r="274" spans="1:32" ht="15.7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</row>
    <row r="275" spans="1:32" ht="15.7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</row>
    <row r="276" spans="1:32" ht="15.7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</row>
    <row r="277" spans="1:32" ht="15.7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</row>
    <row r="278" spans="1:32" ht="15.7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</row>
    <row r="279" spans="1:32" ht="15.7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</row>
    <row r="280" spans="1:32" ht="15.7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</row>
    <row r="281" spans="1:32" ht="15.7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</row>
    <row r="282" spans="1:32" ht="15.7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</row>
    <row r="283" spans="1:32" ht="15.7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</row>
    <row r="284" spans="1:32" ht="15.7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</row>
    <row r="285" spans="1:32" ht="15.7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</row>
    <row r="286" spans="1:32" ht="15.7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</row>
    <row r="287" spans="1:32" ht="15.7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</row>
    <row r="288" spans="1:32" ht="15.7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</row>
    <row r="289" spans="1:32" ht="15.7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</row>
    <row r="290" spans="1:32" ht="15.7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</row>
    <row r="291" spans="1:32" ht="15.7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</row>
    <row r="292" spans="1:32" ht="15.7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</row>
    <row r="293" spans="1:32" ht="15.7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</row>
    <row r="294" spans="1:32" ht="15.7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</row>
    <row r="295" spans="1:32" ht="15.7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</row>
    <row r="296" spans="1:32" ht="15.7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</row>
    <row r="297" spans="1:32" ht="15.7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</row>
    <row r="298" spans="1:32" ht="15.7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</row>
    <row r="299" spans="1:32" ht="15.7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</row>
    <row r="300" spans="1:32" ht="15.7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</row>
    <row r="301" spans="1:32" ht="15.7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</row>
    <row r="302" spans="1:32" ht="15.7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</row>
    <row r="303" spans="1:32" ht="15.7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</row>
    <row r="304" spans="1:32" ht="15.7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</row>
    <row r="305" spans="1:32" ht="15.7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</row>
    <row r="306" spans="1:32" ht="15.7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</row>
    <row r="307" spans="1:32" ht="15.7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</row>
    <row r="308" spans="1:32" ht="15.7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</row>
    <row r="309" spans="1:32" ht="15.7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</row>
    <row r="310" spans="1:32" ht="15.7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</row>
    <row r="311" spans="1:32" ht="15.7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</row>
    <row r="312" spans="1:32" ht="15.7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</row>
    <row r="313" spans="1:32" ht="15.7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</row>
    <row r="314" spans="1:32" ht="15.7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</row>
    <row r="315" spans="1:32" ht="15.7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</row>
    <row r="316" spans="1:32" ht="15.7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</row>
    <row r="317" spans="1:32" ht="15.7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</row>
    <row r="318" spans="1:32" ht="15.7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</row>
    <row r="319" spans="1:32" ht="15.7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</row>
    <row r="320" spans="1:32" ht="15.7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</row>
    <row r="321" spans="1:32" ht="15.7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</row>
    <row r="322" spans="1:32" ht="15.7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</row>
    <row r="323" spans="1:32" ht="15.7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</row>
    <row r="324" spans="1:32" ht="15.7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</row>
    <row r="325" spans="1:32" ht="15.7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</row>
    <row r="326" spans="1:32" ht="15.7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</row>
    <row r="327" spans="1:32" ht="15.7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</row>
    <row r="328" spans="1:32" ht="15.7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</row>
    <row r="329" spans="1:32" ht="15.7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</row>
    <row r="330" spans="1:32" ht="15.7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</row>
    <row r="331" spans="1:32" ht="15.7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</row>
    <row r="332" spans="1:32" ht="15.7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</row>
    <row r="333" spans="1:32" ht="15.7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</row>
    <row r="334" spans="1:32" ht="15.7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</row>
    <row r="335" spans="1:32" ht="15.7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</row>
    <row r="336" spans="1:32" ht="15.7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</row>
    <row r="337" spans="1:32" ht="15.7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</row>
    <row r="338" spans="1:32" ht="15.7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</row>
    <row r="339" spans="1:32" ht="15.7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</row>
    <row r="340" spans="1:32" ht="15.7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</row>
    <row r="341" spans="1:32" ht="15.7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</row>
    <row r="342" spans="1:32" ht="15.7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</row>
    <row r="343" spans="1:32" ht="15.7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</row>
    <row r="344" spans="1:32" ht="15.7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</row>
    <row r="345" spans="1:32" ht="15.7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</row>
    <row r="346" spans="1:32" ht="15.7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</row>
    <row r="347" spans="1:32" ht="15.7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</row>
    <row r="348" spans="1:32" ht="15.7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</row>
    <row r="349" spans="1:32" ht="15.7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</row>
    <row r="350" spans="1:32" ht="15.7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</row>
    <row r="351" spans="1:32" ht="15.7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</row>
    <row r="352" spans="1:32" ht="15.7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</row>
    <row r="353" spans="1:32" ht="15.7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</row>
    <row r="354" spans="1:32" ht="15.7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</row>
    <row r="355" spans="1:32" ht="15.7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</row>
    <row r="356" spans="1:32" ht="15.7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</row>
    <row r="357" spans="1:32" ht="15.7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</row>
    <row r="358" spans="1:32" ht="15.7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</row>
    <row r="359" spans="1:32" ht="15.7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</row>
    <row r="360" spans="1:32" ht="15.7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</row>
    <row r="361" spans="1:32" ht="15.7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</row>
    <row r="362" spans="1:32" ht="15.7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</row>
    <row r="363" spans="1:32" ht="15.7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</row>
    <row r="364" spans="1:32" ht="15.7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</row>
    <row r="365" spans="1:32" ht="15.7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</row>
    <row r="366" spans="1:32" ht="15.7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</row>
    <row r="367" spans="1:32" ht="15.7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</row>
    <row r="368" spans="1:32" ht="15.7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</row>
    <row r="369" spans="1:32" ht="15.7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</row>
    <row r="370" spans="1:32" ht="15.7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</row>
    <row r="371" spans="1:32" ht="15.7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</row>
    <row r="372" spans="1:32" ht="15.7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</row>
    <row r="373" spans="1:32" ht="15.7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</row>
    <row r="374" spans="1:32" ht="15.7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</row>
    <row r="375" spans="1:32" ht="15.7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</row>
    <row r="376" spans="1:32" ht="15.7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</row>
    <row r="377" spans="1:32" ht="15.7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</row>
    <row r="378" spans="1:32" ht="15.7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</row>
    <row r="379" spans="1:32" ht="15.7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</row>
    <row r="380" spans="1:32" ht="15.7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</row>
    <row r="381" spans="1:32" ht="15.7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</row>
    <row r="382" spans="1:32" ht="15.7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</row>
    <row r="383" spans="1:32" ht="15.7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</row>
    <row r="384" spans="1:32" ht="15.7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</row>
    <row r="385" spans="1:32" ht="15.7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</row>
    <row r="386" spans="1:32" ht="15.7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</row>
    <row r="387" spans="1:32" ht="15.7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</row>
    <row r="388" spans="1:32" ht="15.7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</row>
    <row r="389" spans="1:32" ht="15.7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</row>
    <row r="390" spans="1:32" ht="15.7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</row>
    <row r="391" spans="1:32" ht="15.7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</row>
    <row r="392" spans="1:32" ht="15.7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</row>
    <row r="393" spans="1:32" ht="15.7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</row>
    <row r="394" spans="1:32" ht="15.7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</row>
    <row r="395" spans="1:32" ht="15.7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</row>
    <row r="396" spans="1:32" ht="15.7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</row>
    <row r="397" spans="1:32" ht="15.7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</row>
    <row r="398" spans="1:32" ht="15.7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</row>
    <row r="399" spans="1:32" ht="15.7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</row>
    <row r="400" spans="1:32" ht="15.7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</row>
    <row r="401" spans="1:32" ht="15.7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</row>
    <row r="402" spans="1:32" ht="15.7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</row>
    <row r="403" spans="1:32" ht="15.7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</row>
    <row r="404" spans="1:32" ht="15.7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</row>
    <row r="405" spans="1:32" ht="15.7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</row>
    <row r="406" spans="1:32" ht="15.7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</row>
    <row r="407" spans="1:32" ht="15.7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</row>
    <row r="408" spans="1:32" ht="15.7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</row>
    <row r="409" spans="1:32" ht="15.7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</row>
    <row r="410" spans="1:32" ht="15.7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</row>
    <row r="411" spans="1:32" ht="15.7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</row>
    <row r="412" spans="1:32" ht="15.7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</row>
    <row r="413" spans="1:32" ht="15.7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</row>
    <row r="414" spans="1:32" ht="15.7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</row>
    <row r="415" spans="1:32" ht="15.7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</row>
    <row r="416" spans="1:32" ht="15.7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</row>
    <row r="417" spans="1:32" ht="15.7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</row>
    <row r="418" spans="1:32" ht="15.7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</row>
    <row r="419" spans="1:32" ht="15.7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</row>
    <row r="420" spans="1:32" ht="15.7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</row>
    <row r="421" spans="1:32" ht="15.7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</row>
    <row r="422" spans="1:32" ht="15.7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</row>
    <row r="423" spans="1:32" ht="15.7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</row>
    <row r="424" spans="1:32" ht="15.7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</row>
    <row r="425" spans="1:32" ht="15.7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</row>
    <row r="426" spans="1:32" ht="15.7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</row>
    <row r="427" spans="1:32" ht="15.7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</row>
    <row r="428" spans="1:32" ht="15.7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</row>
    <row r="429" spans="1:32" ht="15.7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</row>
    <row r="430" spans="1:32" ht="15.7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</row>
    <row r="431" spans="1:32" ht="15.7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</row>
    <row r="432" spans="1:32" ht="15.7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</row>
    <row r="433" spans="1:32" ht="15.7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</row>
    <row r="434" spans="1:32" ht="15.7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</row>
    <row r="435" spans="1:32" ht="15.7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</row>
    <row r="436" spans="1:32" ht="15.7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</row>
    <row r="437" spans="1:32" ht="15.7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</row>
    <row r="438" spans="1:32" ht="15.7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</row>
    <row r="439" spans="1:32" ht="15.7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</row>
    <row r="440" spans="1:32" ht="15.7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</row>
    <row r="441" spans="1:32" ht="15.7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</row>
    <row r="442" spans="1:32" ht="15.7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</row>
    <row r="443" spans="1:32" ht="15.7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</row>
    <row r="444" spans="1:32" ht="15.7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</row>
    <row r="445" spans="1:32" ht="15.7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</row>
    <row r="446" spans="1:32" ht="15.7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</row>
    <row r="447" spans="1:32" ht="15.7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</row>
    <row r="448" spans="1:32" ht="15.7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</row>
    <row r="449" spans="1:32" ht="15.7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</row>
    <row r="450" spans="1:32" ht="15.7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</row>
    <row r="451" spans="1:32" ht="15.7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</row>
    <row r="452" spans="1:32" ht="15.7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</row>
    <row r="453" spans="1:32" ht="15.7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</row>
    <row r="454" spans="1:32" ht="15.7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</row>
    <row r="455" spans="1:32" ht="15.7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</row>
    <row r="456" spans="1:32" ht="15.7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</row>
    <row r="457" spans="1:32" ht="15.7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</row>
    <row r="458" spans="1:32" ht="15.7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</row>
    <row r="459" spans="1:32" ht="15.7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</row>
    <row r="460" spans="1:32" ht="15.7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</row>
    <row r="461" spans="1:32" ht="15.7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</row>
    <row r="462" spans="1:32" ht="15.7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</row>
    <row r="463" spans="1:32" ht="15.7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</row>
    <row r="464" spans="1:32" ht="15.7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</row>
    <row r="465" spans="1:32" ht="15.7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</row>
    <row r="466" spans="1:32" ht="15.7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</row>
    <row r="467" spans="1:32" ht="15.7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</row>
    <row r="468" spans="1:32" ht="15.7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</row>
    <row r="469" spans="1:32" ht="15.7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</row>
    <row r="470" spans="1:32" ht="15.7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</row>
    <row r="471" spans="1:32" ht="15.7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</row>
    <row r="472" spans="1:32" ht="15.7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</row>
    <row r="473" spans="1:32" ht="15.7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</row>
    <row r="474" spans="1:32" ht="15.7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</row>
    <row r="475" spans="1:32" ht="15.7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</row>
    <row r="476" spans="1:32" ht="15.7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</row>
    <row r="477" spans="1:32" ht="15.7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</row>
    <row r="478" spans="1:32" ht="15.7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</row>
    <row r="479" spans="1:32" ht="15.7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</row>
    <row r="480" spans="1:32" ht="15.7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</row>
    <row r="481" spans="1:32" ht="15.7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</row>
    <row r="482" spans="1:32" ht="15.7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</row>
    <row r="483" spans="1:32" ht="15.7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</row>
    <row r="484" spans="1:32" ht="15.7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</row>
    <row r="485" spans="1:32" ht="15.7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</row>
    <row r="486" spans="1:32" ht="15.7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</row>
    <row r="487" spans="1:32" ht="15.7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</row>
    <row r="488" spans="1:32" ht="15.7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</row>
    <row r="489" spans="1:32" ht="15.7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</row>
    <row r="490" spans="1:32" ht="15.7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</row>
    <row r="491" spans="1:32" ht="15.7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</row>
    <row r="492" spans="1:32" ht="15.7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</row>
    <row r="493" spans="1:32" ht="15.7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</row>
    <row r="494" spans="1:32" ht="15.7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</row>
    <row r="495" spans="1:32" ht="15.7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</row>
    <row r="496" spans="1:32" ht="15.7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</row>
    <row r="497" spans="1:32" ht="15.7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</row>
    <row r="498" spans="1:32" ht="15.7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</row>
    <row r="499" spans="1:32" ht="15.7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</row>
    <row r="500" spans="1:32" ht="15.7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</row>
    <row r="501" spans="1:32" ht="15.7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</row>
    <row r="502" spans="1:32" ht="15.7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</row>
    <row r="503" spans="1:32" ht="15.7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</row>
    <row r="504" spans="1:32" ht="15.7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</row>
    <row r="505" spans="1:32" ht="15.7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</row>
    <row r="506" spans="1:32" ht="15.7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</row>
    <row r="507" spans="1:32" ht="15.7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</row>
    <row r="508" spans="1:32" ht="15.7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</row>
    <row r="509" spans="1:32" ht="15.7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</row>
    <row r="510" spans="1:32" ht="15.7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</row>
    <row r="511" spans="1:32" ht="15.7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</row>
    <row r="512" spans="1:32" ht="15.7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</row>
    <row r="513" spans="1:32" ht="15.7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</row>
    <row r="514" spans="1:32" ht="15.7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</row>
    <row r="515" spans="1:32" ht="15.7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</row>
    <row r="516" spans="1:32" ht="15.7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</row>
    <row r="517" spans="1:32" ht="15.7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</row>
    <row r="518" spans="1:32" ht="15.7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</row>
    <row r="519" spans="1:32" ht="15.7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</row>
    <row r="520" spans="1:32" ht="15.7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</row>
    <row r="521" spans="1:32" ht="15.7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</row>
    <row r="522" spans="1:32" ht="15.7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</row>
    <row r="523" spans="1:32" ht="15.7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</row>
    <row r="524" spans="1:32" ht="15.7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</row>
    <row r="525" spans="1:32" ht="15.7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</row>
    <row r="526" spans="1:32" ht="15.7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</row>
    <row r="527" spans="1:32" ht="15.7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</row>
    <row r="528" spans="1:32" ht="15.7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</row>
    <row r="529" spans="1:32" ht="15.7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</row>
    <row r="530" spans="1:32" ht="15.7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</row>
    <row r="531" spans="1:32" ht="15.7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</row>
    <row r="532" spans="1:32" ht="15.7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</row>
    <row r="533" spans="1:32" ht="15.7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</row>
    <row r="534" spans="1:32" ht="15.7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</row>
    <row r="535" spans="1:32" ht="15.7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</row>
    <row r="536" spans="1:32" ht="15.7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</row>
    <row r="537" spans="1:32" ht="15.7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</row>
    <row r="538" spans="1:32" ht="15.7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</row>
    <row r="539" spans="1:32" ht="15.7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</row>
    <row r="540" spans="1:32" ht="15.7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</row>
    <row r="541" spans="1:32" ht="15.7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</row>
    <row r="542" spans="1:32" ht="15.7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</row>
    <row r="543" spans="1:32" ht="15.7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</row>
    <row r="544" spans="1:32" ht="15.7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</row>
    <row r="545" spans="1:32" ht="15.7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</row>
    <row r="546" spans="1:32" ht="15.7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</row>
    <row r="547" spans="1:32" ht="15.7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</row>
    <row r="548" spans="1:32" ht="15.7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</row>
    <row r="549" spans="1:32" ht="15.7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</row>
    <row r="550" spans="1:32" ht="15.7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</row>
    <row r="551" spans="1:32" ht="15.7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</row>
    <row r="552" spans="1:32" ht="15.7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</row>
    <row r="553" spans="1:32" ht="15.7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</row>
    <row r="554" spans="1:32" ht="15.7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</row>
    <row r="555" spans="1:32" ht="15.7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</row>
    <row r="556" spans="1:32" ht="15.7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</row>
    <row r="557" spans="1:32" ht="15.7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</row>
    <row r="558" spans="1:32" ht="15.7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</row>
    <row r="559" spans="1:32" ht="15.7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</row>
    <row r="560" spans="1:32" ht="15.7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</row>
    <row r="561" spans="1:32" ht="15.7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</row>
    <row r="562" spans="1:32" ht="15.7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</row>
    <row r="563" spans="1:32" ht="15.7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</row>
    <row r="564" spans="1:32" ht="15.7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</row>
    <row r="565" spans="1:32" ht="15.7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</row>
    <row r="566" spans="1:32" ht="15.7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</row>
    <row r="567" spans="1:32" ht="15.7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</row>
    <row r="568" spans="1:32" ht="15.7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</row>
    <row r="569" spans="1:32" ht="15.7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</row>
    <row r="570" spans="1:32" ht="15.7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</row>
    <row r="571" spans="1:32" ht="15.7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</row>
    <row r="572" spans="1:32" ht="15.7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</row>
    <row r="573" spans="1:32" ht="15.7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</row>
    <row r="574" spans="1:32" ht="15.7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</row>
    <row r="575" spans="1:32" ht="15.7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</row>
    <row r="576" spans="1:32" ht="15.7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</row>
    <row r="577" spans="1:32" ht="15.7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</row>
    <row r="578" spans="1:32" ht="15.7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</row>
    <row r="579" spans="1:32" ht="15.7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</row>
    <row r="580" spans="1:32" ht="15.7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</row>
    <row r="581" spans="1:32" ht="15.7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</row>
    <row r="582" spans="1:32" ht="15.7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</row>
    <row r="583" spans="1:32" ht="15.7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</row>
    <row r="584" spans="1:32" ht="15.7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</row>
    <row r="585" spans="1:32" ht="15.7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</row>
    <row r="586" spans="1:32" ht="15.7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</row>
    <row r="587" spans="1:32" ht="15.7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</row>
    <row r="588" spans="1:32" ht="15.7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</row>
    <row r="589" spans="1:32" ht="15.7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</row>
    <row r="590" spans="1:32" ht="15.7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</row>
    <row r="591" spans="1:32" ht="15.7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</row>
    <row r="592" spans="1:32" ht="15.7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</row>
    <row r="593" spans="1:32" ht="15.7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</row>
    <row r="594" spans="1:32" ht="15.7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</row>
    <row r="595" spans="1:32" ht="15.7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</row>
    <row r="596" spans="1:32" ht="15.7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</row>
    <row r="597" spans="1:32" ht="15.7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</row>
    <row r="598" spans="1:32" ht="15.7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</row>
    <row r="599" spans="1:32" ht="15.7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</row>
    <row r="600" spans="1:32" ht="15.7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</row>
    <row r="601" spans="1:32" ht="15.7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</row>
    <row r="602" spans="1:32" ht="15.7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</row>
    <row r="603" spans="1:32" ht="15.7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</row>
    <row r="604" spans="1:32" ht="15.7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</row>
    <row r="605" spans="1:32" ht="15.7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</row>
    <row r="606" spans="1:32" ht="15.7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</row>
    <row r="607" spans="1:32" ht="15.7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</row>
    <row r="608" spans="1:32" ht="15.7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</row>
    <row r="609" spans="1:32" ht="15.7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</row>
    <row r="610" spans="1:32" ht="15.7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</row>
    <row r="611" spans="1:32" ht="15.7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</row>
    <row r="612" spans="1:32" ht="15.7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</row>
    <row r="613" spans="1:32" ht="15.7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</row>
    <row r="614" spans="1:32" ht="15.7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</row>
    <row r="615" spans="1:32" ht="15.7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</row>
    <row r="616" spans="1:32" ht="15.7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</row>
    <row r="617" spans="1:32" ht="15.7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</row>
    <row r="618" spans="1:32" ht="15.7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</row>
    <row r="619" spans="1:32" ht="15.7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</row>
    <row r="620" spans="1:32" ht="15.7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</row>
    <row r="621" spans="1:32" ht="15.7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</row>
    <row r="622" spans="1:32" ht="15.7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</row>
    <row r="623" spans="1:32" ht="15.7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</row>
    <row r="624" spans="1:32" ht="15.7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</row>
    <row r="625" spans="1:32" ht="15.7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</row>
    <row r="626" spans="1:32" ht="15.7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</row>
    <row r="627" spans="1:32" ht="15.7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</row>
    <row r="628" spans="1:32" ht="15.7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</row>
    <row r="629" spans="1:32" ht="15.7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</row>
    <row r="630" spans="1:32" ht="15.7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</row>
    <row r="631" spans="1:32" ht="15.7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</row>
    <row r="632" spans="1:32" ht="15.7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</row>
    <row r="633" spans="1:32" ht="15.7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</row>
    <row r="634" spans="1:32" ht="15.7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</row>
    <row r="635" spans="1:32" ht="15.7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</row>
    <row r="636" spans="1:32" ht="15.7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</row>
    <row r="637" spans="1:32" ht="15.7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</row>
    <row r="638" spans="1:32" ht="15.7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</row>
    <row r="639" spans="1:32" ht="15.7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</row>
    <row r="640" spans="1:32" ht="15.7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</row>
    <row r="641" spans="1:32" ht="15.7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</row>
    <row r="642" spans="1:32" ht="15.7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</row>
    <row r="643" spans="1:32" ht="15.7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</row>
    <row r="644" spans="1:32" ht="15.7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</row>
    <row r="645" spans="1:32" ht="15.7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</row>
    <row r="646" spans="1:32" ht="15.7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</row>
    <row r="647" spans="1:32" ht="15.7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</row>
    <row r="648" spans="1:32" ht="15.7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</row>
    <row r="649" spans="1:32" ht="15.7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</row>
    <row r="650" spans="1:32" ht="15.7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</row>
    <row r="651" spans="1:32" ht="15.7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</row>
    <row r="652" spans="1:32" ht="15.7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</row>
    <row r="653" spans="1:32" ht="15.7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</row>
    <row r="654" spans="1:32" ht="15.7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</row>
    <row r="655" spans="1:32" ht="15.7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</row>
    <row r="656" spans="1:32" ht="15.7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</row>
    <row r="657" spans="1:32" ht="15.7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</row>
    <row r="658" spans="1:32" ht="15.7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</row>
    <row r="659" spans="1:32" ht="15.7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</row>
    <row r="660" spans="1:32" ht="15.7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</row>
    <row r="661" spans="1:32" ht="15.7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</row>
    <row r="662" spans="1:32" ht="15.7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</row>
    <row r="663" spans="1:32" ht="15.7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</row>
    <row r="664" spans="1:32" ht="15.7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</row>
    <row r="665" spans="1:32" ht="15.7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</row>
    <row r="666" spans="1:32" ht="15.7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</row>
    <row r="667" spans="1:32" ht="15.7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</row>
    <row r="668" spans="1:32" ht="15.7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</row>
    <row r="669" spans="1:32" ht="15.7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</row>
    <row r="670" spans="1:32" ht="15.7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</row>
    <row r="671" spans="1:32" ht="15.7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</row>
    <row r="672" spans="1:32" ht="15.7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</row>
    <row r="673" spans="1:32" ht="15.7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</row>
    <row r="674" spans="1:32" ht="15.7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</row>
    <row r="675" spans="1:32" ht="15.7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</row>
    <row r="676" spans="1:32" ht="15.7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</row>
    <row r="677" spans="1:32" ht="15.7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</row>
    <row r="678" spans="1:32" ht="15.7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</row>
    <row r="679" spans="1:32" ht="15.7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</row>
    <row r="680" spans="1:32" ht="15.7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</row>
    <row r="681" spans="1:32" ht="15.7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</row>
    <row r="682" spans="1:32" ht="15.7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</row>
    <row r="683" spans="1:32" ht="15.7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</row>
    <row r="684" spans="1:32" ht="15.7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</row>
    <row r="685" spans="1:32" ht="15.7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</row>
    <row r="686" spans="1:32" ht="15.7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</row>
    <row r="687" spans="1:32" ht="15.7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</row>
    <row r="688" spans="1:32" ht="15.7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</row>
    <row r="689" spans="1:32" ht="15.7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</row>
    <row r="690" spans="1:32" ht="15.7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</row>
    <row r="691" spans="1:32" ht="15.7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</row>
    <row r="692" spans="1:32" ht="15.7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</row>
    <row r="693" spans="1:32" ht="15.7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</row>
    <row r="694" spans="1:32" ht="15.7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</row>
    <row r="695" spans="1:32" ht="15.7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</row>
    <row r="696" spans="1:32" ht="15.7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</row>
    <row r="697" spans="1:32" ht="15.7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</row>
    <row r="698" spans="1:32" ht="15.7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</row>
    <row r="699" spans="1:32" ht="15.7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</row>
    <row r="700" spans="1:32" ht="15.7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</row>
    <row r="701" spans="1:32" ht="15.7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</row>
    <row r="702" spans="1:32" ht="15.7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</row>
    <row r="703" spans="1:32" ht="15.7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</row>
    <row r="704" spans="1:32" ht="15.7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</row>
    <row r="705" spans="1:32" ht="15.7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</row>
    <row r="706" spans="1:32" ht="15.7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</row>
    <row r="707" spans="1:32" ht="15.7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</row>
    <row r="708" spans="1:32" ht="15.7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</row>
    <row r="709" spans="1:32" ht="15.7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</row>
    <row r="710" spans="1:32" ht="15.7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</row>
    <row r="711" spans="1:32" ht="15.7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</row>
    <row r="712" spans="1:32" ht="15.7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</row>
    <row r="713" spans="1:32" ht="15.7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</row>
    <row r="714" spans="1:32" ht="15.7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</row>
    <row r="715" spans="1:32" ht="15.7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</row>
    <row r="716" spans="1:32" ht="15.7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</row>
    <row r="717" spans="1:32" ht="15.7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</row>
    <row r="718" spans="1:32" ht="15.7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</row>
    <row r="719" spans="1:32" ht="15.7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</row>
    <row r="720" spans="1:32" ht="15.7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</row>
    <row r="721" spans="1:32" ht="15.7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</row>
    <row r="722" spans="1:32" ht="15.7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</row>
    <row r="723" spans="1:32" ht="15.7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</row>
    <row r="724" spans="1:32" ht="15.7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</row>
    <row r="725" spans="1:32" ht="15.7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</row>
    <row r="726" spans="1:32" ht="15.7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</row>
    <row r="727" spans="1:32" ht="15.7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</row>
    <row r="728" spans="1:32" ht="15.7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</row>
    <row r="729" spans="1:32" ht="15.7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</row>
    <row r="730" spans="1:32" ht="15.7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</row>
    <row r="731" spans="1:32" ht="15.7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</row>
    <row r="732" spans="1:32" ht="15.7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</row>
    <row r="733" spans="1:32" ht="15.7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</row>
    <row r="734" spans="1:32" ht="15.7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</row>
    <row r="735" spans="1:32" ht="15.7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</row>
    <row r="736" spans="1:32" ht="15.7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</row>
    <row r="737" spans="1:32" ht="15.7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</row>
    <row r="738" spans="1:32" ht="15.7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</row>
    <row r="739" spans="1:32" ht="15.7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</row>
    <row r="740" spans="1:32" ht="15.7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</row>
    <row r="741" spans="1:32" ht="15.7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</row>
    <row r="742" spans="1:32" ht="15.7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</row>
    <row r="743" spans="1:32" ht="15.7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</row>
    <row r="744" spans="1:32" ht="15.7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</row>
    <row r="745" spans="1:32" ht="15.7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</row>
    <row r="746" spans="1:32" ht="15.7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</row>
    <row r="747" spans="1:32" ht="15.7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</row>
    <row r="748" spans="1:32" ht="15.7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</row>
    <row r="749" spans="1:32" ht="15.7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</row>
    <row r="750" spans="1:32" ht="15.7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</row>
    <row r="751" spans="1:32" ht="15.7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</row>
    <row r="752" spans="1:32" ht="15.7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</row>
    <row r="753" spans="1:32" ht="15.7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</row>
    <row r="754" spans="1:32" ht="15.7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</row>
    <row r="755" spans="1:32" ht="15.7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</row>
    <row r="756" spans="1:32" ht="15.7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</row>
    <row r="757" spans="1:32" ht="15.7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</row>
    <row r="758" spans="1:32" ht="15.7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</row>
    <row r="759" spans="1:32" ht="15.7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</row>
    <row r="760" spans="1:32" ht="15.7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</row>
    <row r="761" spans="1:32" ht="15.7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</row>
    <row r="762" spans="1:32" ht="15.7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</row>
    <row r="763" spans="1:32" ht="15.7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</row>
    <row r="764" spans="1:32" ht="15.7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</row>
    <row r="765" spans="1:32" ht="15.7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</row>
    <row r="766" spans="1:32" ht="15.7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</row>
    <row r="767" spans="1:32" ht="15.7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</row>
    <row r="768" spans="1:32" ht="15.7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</row>
    <row r="769" spans="1:32" ht="15.7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</row>
    <row r="770" spans="1:32" ht="15.7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</row>
    <row r="771" spans="1:32" ht="15.7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</row>
    <row r="772" spans="1:32" ht="15.7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</row>
    <row r="773" spans="1:32" ht="15.7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</row>
    <row r="774" spans="1:32" ht="15.7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</row>
    <row r="775" spans="1:32" ht="15.7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</row>
    <row r="776" spans="1:32" ht="15.7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</row>
    <row r="777" spans="1:32" ht="15.7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</row>
    <row r="778" spans="1:32" ht="15.7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</row>
    <row r="779" spans="1:32" ht="15.7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</row>
    <row r="780" spans="1:32" ht="15.7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</row>
    <row r="781" spans="1:32" ht="15.7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</row>
    <row r="782" spans="1:32" ht="15.7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</row>
    <row r="783" spans="1:32" ht="15.7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</row>
    <row r="784" spans="1:32" ht="15.7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</row>
    <row r="785" spans="1:32" ht="15.7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</row>
    <row r="786" spans="1:32" ht="15.7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</row>
    <row r="787" spans="1:32" ht="15.7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</row>
    <row r="788" spans="1:32" ht="15.7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</row>
    <row r="789" spans="1:32" ht="15.7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</row>
    <row r="790" spans="1:32" ht="15.7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</row>
    <row r="791" spans="1:32" ht="15.7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</row>
    <row r="792" spans="1:32" ht="15.7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</row>
    <row r="793" spans="1:32" ht="15.7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</row>
    <row r="794" spans="1:32" ht="15.7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</row>
    <row r="795" spans="1:32" ht="15.7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</row>
    <row r="796" spans="1:32" ht="15.7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</row>
    <row r="797" spans="1:32" ht="15.7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</row>
    <row r="798" spans="1:32" ht="15.7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</row>
    <row r="799" spans="1:32" ht="15.7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</row>
    <row r="800" spans="1:32" ht="15.7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</row>
    <row r="801" spans="1:32" ht="15.7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</row>
    <row r="802" spans="1:32" ht="15.7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</row>
    <row r="803" spans="1:32" ht="15.7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</row>
    <row r="804" spans="1:32" ht="15.7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</row>
    <row r="805" spans="1:32" ht="15.7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</row>
    <row r="806" spans="1:32" ht="15.7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</row>
    <row r="807" spans="1:32" ht="15.7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</row>
    <row r="808" spans="1:32" ht="15.7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</row>
    <row r="809" spans="1:32" ht="15.7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</row>
    <row r="810" spans="1:32" ht="15.7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</row>
    <row r="811" spans="1:32" ht="15.7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</row>
    <row r="812" spans="1:32" ht="15.7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</row>
    <row r="813" spans="1:32" ht="15.7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</row>
    <row r="814" spans="1:32" ht="15.7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</row>
    <row r="815" spans="1:32" ht="15.7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</row>
    <row r="816" spans="1:32" ht="15.7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</row>
    <row r="817" spans="1:32" ht="15.7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</row>
    <row r="818" spans="1:32" ht="15.7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</row>
    <row r="819" spans="1:32" ht="15.7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</row>
    <row r="820" spans="1:32" ht="15.7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</row>
    <row r="821" spans="1:32" ht="15.7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</row>
    <row r="822" spans="1:32" ht="15.7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</row>
    <row r="823" spans="1:32" ht="15.7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</row>
    <row r="824" spans="1:32" ht="15.7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</row>
    <row r="825" spans="1:32" ht="15.7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</row>
    <row r="826" spans="1:32" ht="15.7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</row>
    <row r="827" spans="1:32" ht="15.7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</row>
    <row r="828" spans="1:32" ht="15.7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</row>
    <row r="829" spans="1:32" ht="15.7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</row>
    <row r="830" spans="1:32" ht="15.7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</row>
    <row r="831" spans="1:32" ht="15.7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</row>
    <row r="832" spans="1:32" ht="15.7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</row>
    <row r="833" spans="1:32" ht="15.7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</row>
    <row r="834" spans="1:32" ht="15.7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</row>
    <row r="835" spans="1:32" ht="15.7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</row>
    <row r="836" spans="1:32" ht="15.7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</row>
    <row r="837" spans="1:32" ht="15.7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</row>
    <row r="838" spans="1:32" ht="15.7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</row>
    <row r="839" spans="1:32" ht="15.7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</row>
    <row r="840" spans="1:32" ht="15.7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</row>
    <row r="841" spans="1:32" ht="15.7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</row>
    <row r="842" spans="1:32" ht="15.7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</row>
    <row r="843" spans="1:32" ht="15.7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</row>
    <row r="844" spans="1:32" ht="15.7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</row>
    <row r="845" spans="1:32" ht="15.7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</row>
    <row r="846" spans="1:32" ht="15.7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</row>
    <row r="847" spans="1:32" ht="15.7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</row>
    <row r="848" spans="1:32" ht="15.7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</row>
    <row r="849" spans="1:32" ht="15.7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</row>
    <row r="850" spans="1:32" ht="15.7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</row>
    <row r="851" spans="1:32" ht="15.7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</row>
    <row r="852" spans="1:32" ht="15.7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</row>
    <row r="853" spans="1:32" ht="15.7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</row>
    <row r="854" spans="1:32" ht="15.7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</row>
    <row r="855" spans="1:32" ht="15.7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</row>
    <row r="856" spans="1:32" ht="15.7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</row>
    <row r="857" spans="1:32" ht="15.7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</row>
    <row r="858" spans="1:32" ht="15.7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</row>
    <row r="859" spans="1:32" ht="15.7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</row>
    <row r="860" spans="1:32" ht="15.7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</row>
    <row r="861" spans="1:32" ht="15.7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</row>
    <row r="862" spans="1:32" ht="15.7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</row>
    <row r="863" spans="1:32" ht="15.7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</row>
    <row r="864" spans="1:32" ht="15.7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</row>
    <row r="865" spans="1:32" ht="15.7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</row>
    <row r="866" spans="1:32" ht="15.7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</row>
    <row r="867" spans="1:32" ht="15.7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</row>
    <row r="868" spans="1:32" ht="15.7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</row>
    <row r="869" spans="1:32" ht="15.7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</row>
    <row r="870" spans="1:32" ht="15.7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</row>
    <row r="871" spans="1:32" ht="15.7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</row>
    <row r="872" spans="1:32" ht="15.7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</row>
    <row r="873" spans="1:32" ht="15.7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</row>
    <row r="874" spans="1:32" ht="15.7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</row>
    <row r="875" spans="1:32" ht="15.7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</row>
    <row r="876" spans="1:32" ht="15.7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</row>
    <row r="877" spans="1:32" ht="15.7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</row>
    <row r="878" spans="1:32" ht="15.7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</row>
    <row r="879" spans="1:32" ht="15.7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</row>
    <row r="880" spans="1:32" ht="15.7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</row>
    <row r="881" spans="1:32" ht="15.7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</row>
    <row r="882" spans="1:32" ht="15.7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</row>
    <row r="883" spans="1:32" ht="15.7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</row>
    <row r="884" spans="1:32" ht="15.7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</row>
    <row r="885" spans="1:32" ht="15.7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</row>
    <row r="886" spans="1:32" ht="15.7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</row>
    <row r="887" spans="1:32" ht="15.7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</row>
    <row r="888" spans="1:32" ht="15.7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</row>
    <row r="889" spans="1:32" ht="15.7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</row>
    <row r="890" spans="1:32" ht="15.7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</row>
    <row r="891" spans="1:32" ht="15.7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</row>
    <row r="892" spans="1:32" ht="15.7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</row>
    <row r="893" spans="1:32" ht="15.7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</row>
    <row r="894" spans="1:32" ht="15.7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</row>
    <row r="895" spans="1:32" ht="15.7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</row>
    <row r="896" spans="1:32" ht="15.7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</row>
    <row r="897" spans="1:32" ht="15.7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</row>
    <row r="898" spans="1:32" ht="15.7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</row>
    <row r="899" spans="1:32" ht="15.7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</row>
    <row r="900" spans="1:32" ht="15.7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</row>
    <row r="901" spans="1:32" ht="15.7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</row>
    <row r="902" spans="1:32" ht="15.7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</row>
    <row r="903" spans="1:32" ht="15.7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</row>
    <row r="904" spans="1:32" ht="15.7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</row>
    <row r="905" spans="1:32" ht="15.7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</row>
    <row r="906" spans="1:32" ht="15.7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</row>
    <row r="907" spans="1:32" ht="15.7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</row>
    <row r="908" spans="1:32" ht="15.7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</row>
    <row r="909" spans="1:32" ht="15.7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</row>
    <row r="910" spans="1:32" ht="15.7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</row>
    <row r="911" spans="1:32" ht="15.7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</row>
    <row r="912" spans="1:32" ht="15.7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</row>
    <row r="913" spans="1:32" ht="15.7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</row>
    <row r="914" spans="1:32" ht="15.7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</row>
    <row r="915" spans="1:32" ht="15.7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</row>
    <row r="916" spans="1:32" ht="15.7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</row>
    <row r="917" spans="1:32" ht="15.7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</row>
    <row r="918" spans="1:32" ht="15.7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</row>
    <row r="919" spans="1:32" ht="15.7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</row>
    <row r="920" spans="1:32" ht="15.7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</row>
    <row r="921" spans="1:32" ht="15.7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</row>
    <row r="922" spans="1:32" ht="15.7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</row>
    <row r="923" spans="1:32" ht="15.7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</row>
    <row r="924" spans="1:32" ht="15.7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</row>
    <row r="925" spans="1:32" ht="15.7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</row>
    <row r="926" spans="1:32" ht="15.7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</row>
    <row r="927" spans="1:32" ht="15.7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</row>
    <row r="928" spans="1:32" ht="15.7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</row>
    <row r="929" spans="1:32" ht="15.7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</row>
    <row r="930" spans="1:32" ht="15.7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</row>
    <row r="931" spans="1:32" ht="15.7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</row>
    <row r="932" spans="1:32" ht="15.7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</row>
    <row r="933" spans="1:32" ht="15.7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</row>
    <row r="934" spans="1:32" ht="15.7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</row>
    <row r="935" spans="1:32" ht="15.7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</row>
    <row r="936" spans="1:32" ht="15.7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</row>
    <row r="937" spans="1:32" ht="15.7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</row>
    <row r="938" spans="1:32" ht="15.7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</row>
    <row r="939" spans="1:32" ht="15.7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</row>
    <row r="940" spans="1:32" ht="15.7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</row>
    <row r="941" spans="1:32" ht="15.7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</row>
    <row r="942" spans="1:32" ht="15.7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</row>
    <row r="943" spans="1:32" ht="15.7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</row>
    <row r="944" spans="1:32" ht="15.7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</row>
    <row r="945" spans="1:32" ht="15.7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</row>
    <row r="946" spans="1:32" ht="15.7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</row>
    <row r="947" spans="1:32" ht="15.7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</row>
    <row r="948" spans="1:32" ht="15.7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</row>
    <row r="949" spans="1:32" ht="15.7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</row>
    <row r="950" spans="1:32" ht="15.7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</row>
    <row r="951" spans="1:32" ht="15.7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</row>
    <row r="952" spans="1:32" ht="15.7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</row>
    <row r="953" spans="1:32" ht="15.7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</row>
    <row r="954" spans="1:32" ht="15.7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</row>
    <row r="955" spans="1:32" ht="15.7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</row>
    <row r="956" spans="1:32" ht="15.7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</row>
    <row r="957" spans="1:32" ht="15.7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</row>
    <row r="958" spans="1:32" ht="15.7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</row>
    <row r="959" spans="1:32" ht="15.7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</row>
    <row r="960" spans="1:32" ht="15.7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</row>
    <row r="961" spans="1:32" ht="15.7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</row>
    <row r="962" spans="1:32" ht="15.7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</row>
    <row r="963" spans="1:32" ht="15.7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</row>
    <row r="964" spans="1:32" ht="15.7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</row>
    <row r="965" spans="1:32" ht="15.7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</row>
    <row r="966" spans="1:32" ht="15.7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</row>
    <row r="967" spans="1:32" ht="15.7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</row>
    <row r="968" spans="1:32" ht="15.7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</row>
    <row r="969" spans="1:32" ht="15.7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</row>
    <row r="970" spans="1:32" ht="15.7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</row>
    <row r="971" spans="1:32" ht="15.7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</row>
    <row r="972" spans="1:32" ht="15.7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</row>
    <row r="973" spans="1:32" ht="15.7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</row>
    <row r="974" spans="1:32" ht="15.7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</row>
    <row r="975" spans="1:32" ht="15.7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</row>
    <row r="976" spans="1:32" ht="15.7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</row>
    <row r="977" spans="1:32" ht="15.7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</row>
    <row r="978" spans="1:32" ht="15.7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</row>
    <row r="979" spans="1:32" ht="15.7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</row>
    <row r="980" spans="1:32" ht="15.7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</row>
    <row r="981" spans="1:32" ht="15.7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</row>
    <row r="982" spans="1:32" ht="15.7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</row>
    <row r="983" spans="1:32" ht="15.7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</row>
    <row r="984" spans="1:32" ht="15.7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</row>
    <row r="985" spans="1:32" ht="15.7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</row>
    <row r="986" spans="1:32" ht="15.7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</row>
    <row r="987" spans="1:32" ht="15.7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</row>
    <row r="988" spans="1:32" ht="15.7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</row>
    <row r="989" spans="1:32" ht="15.7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</row>
    <row r="990" spans="1:32" ht="15.7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</row>
    <row r="991" spans="1:32" ht="15.7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</row>
    <row r="992" spans="1:32" ht="15.7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</row>
    <row r="993" spans="1:32" ht="15.7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</row>
    <row r="994" spans="1:32" ht="15.7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</row>
    <row r="995" spans="1:32" ht="15.7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</row>
    <row r="996" spans="1:32" ht="15.7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</row>
    <row r="997" spans="1:32" ht="15.7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</row>
    <row r="998" spans="1:32" ht="15.7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</row>
    <row r="999" spans="1:32" ht="15.7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</row>
    <row r="1000" spans="1:32" ht="15.75" customHeight="1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</row>
  </sheetData>
  <mergeCells count="6">
    <mergeCell ref="G64:H64"/>
    <mergeCell ref="G24:H24"/>
    <mergeCell ref="J24:L24"/>
    <mergeCell ref="N24:O24"/>
    <mergeCell ref="G44:H44"/>
    <mergeCell ref="J44:K44"/>
  </mergeCells>
  <conditionalFormatting sqref="N26:O42">
    <cfRule type="expression" dxfId="3" priority="1">
      <formula>ABS(N26)&gt;=10%</formula>
    </cfRule>
  </conditionalFormatting>
  <pageMargins left="0.7" right="0.7" top="0.75" bottom="0.75" header="0" footer="0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G1000"/>
  <sheetViews>
    <sheetView workbookViewId="0"/>
  </sheetViews>
  <sheetFormatPr baseColWidth="10" defaultColWidth="14.5" defaultRowHeight="15" customHeight="1" x14ac:dyDescent="0.2"/>
  <cols>
    <col min="1" max="3" width="11.5" customWidth="1"/>
    <col min="4" max="4" width="8.6640625" customWidth="1"/>
    <col min="5" max="5" width="4.5" customWidth="1"/>
    <col min="6" max="6" width="26.5" customWidth="1"/>
    <col min="7" max="7" width="7.83203125" customWidth="1"/>
    <col min="8" max="8" width="12.33203125" customWidth="1"/>
    <col min="9" max="9" width="10" customWidth="1"/>
    <col min="10" max="11" width="11.83203125" customWidth="1"/>
    <col min="12" max="20" width="11.5" customWidth="1"/>
    <col min="21" max="21" width="15" customWidth="1"/>
    <col min="22" max="33" width="11.5" customWidth="1"/>
  </cols>
  <sheetData>
    <row r="1" spans="1:33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</row>
    <row r="2" spans="1:33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</row>
    <row r="3" spans="1:33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</row>
    <row r="4" spans="1:33" x14ac:dyDescent="0.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</row>
    <row r="5" spans="1:33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</row>
    <row r="6" spans="1:33" x14ac:dyDescent="0.2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</row>
    <row r="7" spans="1:33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</row>
    <row r="8" spans="1:33" x14ac:dyDescent="0.2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</row>
    <row r="9" spans="1:33" x14ac:dyDescent="0.2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5"/>
      <c r="AG9" s="15"/>
    </row>
    <row r="10" spans="1:33" x14ac:dyDescent="0.2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5"/>
      <c r="AG10" s="15"/>
    </row>
    <row r="11" spans="1:33" x14ac:dyDescent="0.2">
      <c r="A11" s="1" t="s">
        <v>163</v>
      </c>
      <c r="B11" s="15">
        <f>+SUM(G26:G28)</f>
        <v>0</v>
      </c>
      <c r="C11" s="1" t="e">
        <f>+C21/(B11*B21)</f>
        <v>#DIV/0!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5"/>
      <c r="AG11" s="15"/>
    </row>
    <row r="12" spans="1:33" x14ac:dyDescent="0.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5"/>
      <c r="AG12" s="15"/>
    </row>
    <row r="13" spans="1:33" x14ac:dyDescent="0.2">
      <c r="A13" s="15">
        <f t="shared" ref="A13:B13" si="0">+G29</f>
        <v>0</v>
      </c>
      <c r="B13" s="22">
        <f t="shared" si="0"/>
        <v>0.59221159069767404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5"/>
      <c r="AG13" s="15"/>
    </row>
    <row r="14" spans="1:33" x14ac:dyDescent="0.2">
      <c r="A14" s="15">
        <f t="shared" ref="A14:B14" si="1">+G33</f>
        <v>0</v>
      </c>
      <c r="B14" s="22">
        <f t="shared" si="1"/>
        <v>0.58622512000000004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5"/>
      <c r="AG14" s="15"/>
    </row>
    <row r="15" spans="1:33" x14ac:dyDescent="0.2">
      <c r="A15" s="15"/>
      <c r="B15" s="22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5"/>
      <c r="AG15" s="15"/>
    </row>
    <row r="16" spans="1:33" x14ac:dyDescent="0.2">
      <c r="A16" s="1" t="s">
        <v>164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5"/>
      <c r="AG16" s="15"/>
    </row>
    <row r="17" spans="1:33" x14ac:dyDescent="0.2">
      <c r="A17" s="15">
        <f>+SUM(A13:A15)</f>
        <v>0</v>
      </c>
      <c r="B17" s="22">
        <v>0.5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5"/>
      <c r="AG17" s="15"/>
    </row>
    <row r="18" spans="1:33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5"/>
      <c r="AG18" s="15"/>
    </row>
    <row r="19" spans="1:33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5"/>
      <c r="AG19" s="15"/>
    </row>
    <row r="20" spans="1:33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5"/>
      <c r="AG20" s="15"/>
    </row>
    <row r="21" spans="1:33" ht="15.75" customHeight="1" x14ac:dyDescent="0.2">
      <c r="A21" s="1"/>
      <c r="B21" s="23">
        <v>0.3</v>
      </c>
      <c r="C21" s="15">
        <f>+A17</f>
        <v>0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5"/>
      <c r="AG21" s="15"/>
    </row>
    <row r="22" spans="1:33" ht="15.75" customHeight="1" x14ac:dyDescent="0.2">
      <c r="A22" s="1"/>
      <c r="B22" s="23"/>
      <c r="C22" s="15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5"/>
      <c r="AG22" s="15"/>
    </row>
    <row r="23" spans="1:33" ht="15.75" customHeight="1" x14ac:dyDescent="0.2">
      <c r="A23" s="1"/>
      <c r="B23" s="23"/>
      <c r="C23" s="15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5">
        <f t="shared" ref="AF23:AF25" si="2">+J40</f>
        <v>0</v>
      </c>
      <c r="AG23" s="15">
        <f t="shared" ref="AG23:AG25" si="3">+L40</f>
        <v>0</v>
      </c>
    </row>
    <row r="24" spans="1:33" ht="15.75" customHeight="1" x14ac:dyDescent="0.25">
      <c r="A24" s="1"/>
      <c r="B24" s="1"/>
      <c r="C24" s="1"/>
      <c r="D24" s="1"/>
      <c r="E24" s="1"/>
      <c r="F24" s="1"/>
      <c r="G24" s="362" t="s">
        <v>165</v>
      </c>
      <c r="H24" s="273"/>
      <c r="I24" s="1"/>
      <c r="J24" s="365" t="s">
        <v>166</v>
      </c>
      <c r="K24" s="366"/>
      <c r="L24" s="367"/>
      <c r="M24" s="1"/>
      <c r="N24" s="364"/>
      <c r="O24" s="276"/>
      <c r="P24" s="1"/>
      <c r="Q24" s="1"/>
      <c r="R24" s="142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5">
        <f t="shared" si="2"/>
        <v>0</v>
      </c>
      <c r="AG24" s="15">
        <f t="shared" si="3"/>
        <v>0</v>
      </c>
    </row>
    <row r="25" spans="1:33" ht="15.75" customHeight="1" x14ac:dyDescent="0.2">
      <c r="A25" s="1"/>
      <c r="B25" s="1"/>
      <c r="C25" s="1"/>
      <c r="D25" s="1"/>
      <c r="E25" s="1"/>
      <c r="F25" s="1"/>
      <c r="G25" s="143" t="s">
        <v>8</v>
      </c>
      <c r="H25" s="143" t="s">
        <v>168</v>
      </c>
      <c r="I25" s="1"/>
      <c r="J25" s="152" t="s">
        <v>8</v>
      </c>
      <c r="K25" s="144" t="s">
        <v>168</v>
      </c>
      <c r="L25" s="153" t="s">
        <v>169</v>
      </c>
      <c r="M25" s="1"/>
      <c r="N25" s="25"/>
      <c r="O25" s="25"/>
      <c r="P25" s="145"/>
      <c r="Q25" s="146"/>
      <c r="R25" s="147"/>
      <c r="S25" s="146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5">
        <f t="shared" si="2"/>
        <v>0</v>
      </c>
      <c r="AG25" s="15">
        <f t="shared" si="3"/>
        <v>0</v>
      </c>
    </row>
    <row r="26" spans="1:33" ht="15.75" customHeight="1" x14ac:dyDescent="0.2">
      <c r="A26" s="1"/>
      <c r="B26" s="1"/>
      <c r="C26" s="1"/>
      <c r="D26" s="1"/>
      <c r="E26" s="1">
        <f t="shared" ref="E26:E42" si="4">+E3</f>
        <v>0</v>
      </c>
      <c r="F26" s="1" t="s">
        <v>13</v>
      </c>
      <c r="G26" s="148">
        <f>'Bal AL FeT'!G26</f>
        <v>0</v>
      </c>
      <c r="H26" s="149">
        <f>+'Info Planta'!F4</f>
        <v>0</v>
      </c>
      <c r="I26" s="23"/>
      <c r="J26" s="90">
        <f>'Bal AL FeT'!J26</f>
        <v>0</v>
      </c>
      <c r="K26" s="154">
        <f>IF(Utilidad!F1&gt;1,Utilidad!F1/100,Utilidad!F1)</f>
        <v>0</v>
      </c>
      <c r="L26" s="90">
        <f t="shared" ref="L26:L42" si="5">+J26*K26</f>
        <v>0</v>
      </c>
      <c r="M26" s="1"/>
      <c r="N26" s="21"/>
      <c r="O26" s="22"/>
      <c r="P26" s="21"/>
      <c r="Q26" s="146"/>
      <c r="R26" s="150"/>
      <c r="S26" s="146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5"/>
      <c r="AG26" s="15"/>
    </row>
    <row r="27" spans="1:33" ht="15.75" customHeight="1" x14ac:dyDescent="0.2">
      <c r="A27" s="1"/>
      <c r="B27" s="1"/>
      <c r="C27" s="1"/>
      <c r="D27" s="1"/>
      <c r="E27" s="1">
        <f t="shared" si="4"/>
        <v>0</v>
      </c>
      <c r="F27" s="1" t="s">
        <v>14</v>
      </c>
      <c r="G27" s="148">
        <f>'Bal AL FeT'!G27</f>
        <v>0</v>
      </c>
      <c r="H27" s="149">
        <f>+'Info Planta'!F5</f>
        <v>0.48852658240691099</v>
      </c>
      <c r="I27" s="23"/>
      <c r="J27" s="90">
        <f>'Bal AL FeT'!J27</f>
        <v>0</v>
      </c>
      <c r="K27" s="154">
        <f>IF(Utilidad!F2&gt;1,Utilidad!F2/100,Utilidad!F2)</f>
        <v>0</v>
      </c>
      <c r="L27" s="90">
        <f t="shared" si="5"/>
        <v>0</v>
      </c>
      <c r="M27" s="1"/>
      <c r="N27" s="21"/>
      <c r="O27" s="22"/>
      <c r="P27" s="21"/>
      <c r="Q27" s="146"/>
      <c r="R27" s="150"/>
      <c r="S27" s="146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</row>
    <row r="28" spans="1:33" ht="15.75" customHeight="1" x14ac:dyDescent="0.2">
      <c r="A28" s="1"/>
      <c r="B28" s="1"/>
      <c r="C28" s="1"/>
      <c r="D28" s="1"/>
      <c r="E28" s="1">
        <f t="shared" si="4"/>
        <v>0</v>
      </c>
      <c r="F28" s="1" t="s">
        <v>15</v>
      </c>
      <c r="G28" s="148">
        <f>'Bal AL FeT'!G28</f>
        <v>0</v>
      </c>
      <c r="H28" s="149">
        <f>+'Info Planta'!F6</f>
        <v>0.50318076980484305</v>
      </c>
      <c r="I28" s="23"/>
      <c r="J28" s="90">
        <f>'Bal AL FeT'!J28</f>
        <v>0</v>
      </c>
      <c r="K28" s="154">
        <f>IF(Utilidad!F3&gt;1,Utilidad!F3/100,Utilidad!F3)</f>
        <v>0</v>
      </c>
      <c r="L28" s="90">
        <f t="shared" si="5"/>
        <v>0</v>
      </c>
      <c r="M28" s="1"/>
      <c r="N28" s="21"/>
      <c r="O28" s="22"/>
      <c r="P28" s="21"/>
      <c r="Q28" s="146"/>
      <c r="R28" s="150"/>
      <c r="S28" s="146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</row>
    <row r="29" spans="1:33" ht="15.75" customHeight="1" x14ac:dyDescent="0.2">
      <c r="A29" s="1"/>
      <c r="B29" s="1"/>
      <c r="C29" s="1"/>
      <c r="D29" s="1"/>
      <c r="E29" s="1">
        <f t="shared" si="4"/>
        <v>0</v>
      </c>
      <c r="F29" s="1" t="s">
        <v>16</v>
      </c>
      <c r="G29" s="148">
        <f>'Bal AL FeT'!G29</f>
        <v>0</v>
      </c>
      <c r="H29" s="155">
        <f>+'Info Planta'!F7</f>
        <v>0.59221159069767404</v>
      </c>
      <c r="I29" s="1"/>
      <c r="J29" s="90">
        <f>'Bal AL FeT'!J29</f>
        <v>0</v>
      </c>
      <c r="K29" s="154">
        <f>IF(Utilidad!F4&gt;1,Utilidad!F4/100,Utilidad!F4)</f>
        <v>0</v>
      </c>
      <c r="L29" s="90">
        <f t="shared" si="5"/>
        <v>0</v>
      </c>
      <c r="M29" s="1"/>
      <c r="N29" s="21"/>
      <c r="O29" s="22"/>
      <c r="P29" s="21"/>
      <c r="Q29" s="146"/>
      <c r="R29" s="150"/>
      <c r="S29" s="146"/>
      <c r="T29" s="1"/>
      <c r="U29" s="1"/>
      <c r="V29" s="1"/>
      <c r="W29" s="1"/>
      <c r="X29" s="15"/>
      <c r="Y29" s="15"/>
      <c r="Z29" s="1"/>
      <c r="AA29" s="1"/>
      <c r="AB29" s="1"/>
      <c r="AC29" s="1"/>
      <c r="AD29" s="1"/>
      <c r="AE29" s="1"/>
      <c r="AF29" s="1"/>
      <c r="AG29" s="1"/>
    </row>
    <row r="30" spans="1:33" ht="15.75" customHeight="1" x14ac:dyDescent="0.2">
      <c r="A30" s="15">
        <f>+'Calc Nodos'!F4</f>
        <v>2867</v>
      </c>
      <c r="B30" s="15"/>
      <c r="C30" s="15"/>
      <c r="D30" s="1">
        <f>+IF(A30&gt;0,1,IF(A30&lt;&gt;0,-1,0))</f>
        <v>1</v>
      </c>
      <c r="E30" s="1">
        <f t="shared" si="4"/>
        <v>0</v>
      </c>
      <c r="F30" s="108" t="s">
        <v>17</v>
      </c>
      <c r="G30" s="148">
        <f>'Bal AL FeT'!G30</f>
        <v>0</v>
      </c>
      <c r="H30" s="156">
        <f>+IF((G31+G32)&lt;&gt;0,(G31*H31+G32*H32)/(G31+G32),0)</f>
        <v>0</v>
      </c>
      <c r="I30" s="74"/>
      <c r="J30" s="90">
        <f>'Bal AL FeT'!J30</f>
        <v>0</v>
      </c>
      <c r="K30" s="154">
        <f>IF(Utilidad!F5&gt;1,Utilidad!F5/100,Utilidad!F5)</f>
        <v>0</v>
      </c>
      <c r="L30" s="90">
        <f t="shared" si="5"/>
        <v>0</v>
      </c>
      <c r="M30" s="151"/>
      <c r="N30" s="21"/>
      <c r="O30" s="22"/>
      <c r="P30" s="21"/>
      <c r="Q30" s="146"/>
      <c r="R30" s="150"/>
      <c r="S30" s="146"/>
      <c r="T30" s="1"/>
      <c r="U30" s="1"/>
      <c r="V30" s="1"/>
      <c r="W30" s="1"/>
      <c r="X30" s="15"/>
      <c r="Y30" s="15"/>
      <c r="Z30" s="1"/>
      <c r="AA30" s="1"/>
      <c r="AB30" s="1"/>
      <c r="AC30" s="1"/>
      <c r="AD30" s="1"/>
      <c r="AE30" s="1"/>
      <c r="AF30" s="1"/>
      <c r="AG30" s="1"/>
    </row>
    <row r="31" spans="1:33" ht="15.75" customHeight="1" x14ac:dyDescent="0.2">
      <c r="A31" s="1"/>
      <c r="B31" s="1"/>
      <c r="C31" s="1"/>
      <c r="D31" s="1"/>
      <c r="E31" s="1">
        <f t="shared" si="4"/>
        <v>0</v>
      </c>
      <c r="F31" s="1" t="s">
        <v>18</v>
      </c>
      <c r="G31" s="148">
        <f>'Bal AL FeT'!G31</f>
        <v>0</v>
      </c>
      <c r="H31" s="157">
        <f>+'Info Planta'!F11</f>
        <v>0</v>
      </c>
      <c r="I31" s="1"/>
      <c r="J31" s="90">
        <f>'Bal AL FeT'!J31</f>
        <v>0</v>
      </c>
      <c r="K31" s="154">
        <f>IF(Utilidad!F6&gt;1,Utilidad!F6/100,Utilidad!F6)</f>
        <v>0</v>
      </c>
      <c r="L31" s="90">
        <f t="shared" si="5"/>
        <v>0</v>
      </c>
      <c r="M31" s="1"/>
      <c r="N31" s="21"/>
      <c r="O31" s="22"/>
      <c r="P31" s="21"/>
      <c r="Q31" s="146"/>
      <c r="R31" s="150"/>
      <c r="S31" s="146"/>
      <c r="T31" s="1"/>
      <c r="U31" s="1"/>
      <c r="V31" s="1"/>
      <c r="W31" s="1"/>
      <c r="X31" s="15"/>
      <c r="Y31" s="15"/>
      <c r="Z31" s="1"/>
      <c r="AA31" s="1"/>
      <c r="AB31" s="1"/>
      <c r="AC31" s="1"/>
      <c r="AD31" s="1"/>
      <c r="AE31" s="1"/>
      <c r="AF31" s="1"/>
      <c r="AG31" s="1"/>
    </row>
    <row r="32" spans="1:33" ht="15.75" customHeight="1" x14ac:dyDescent="0.2">
      <c r="A32" s="1"/>
      <c r="B32" s="1"/>
      <c r="C32" s="1"/>
      <c r="D32" s="1"/>
      <c r="E32" s="1">
        <f t="shared" si="4"/>
        <v>0</v>
      </c>
      <c r="F32" s="1" t="s">
        <v>19</v>
      </c>
      <c r="G32" s="148">
        <f>'Bal AL FeT'!G32</f>
        <v>0</v>
      </c>
      <c r="H32" s="149">
        <f>+'Info Planta'!F12</f>
        <v>0.59221159069767404</v>
      </c>
      <c r="I32" s="1"/>
      <c r="J32" s="90">
        <f>'Bal AL FeT'!J32</f>
        <v>0</v>
      </c>
      <c r="K32" s="154">
        <f>IF(Utilidad!F7&gt;1,Utilidad!F7/100,Utilidad!F7)</f>
        <v>0</v>
      </c>
      <c r="L32" s="90">
        <f t="shared" si="5"/>
        <v>0</v>
      </c>
      <c r="M32" s="1"/>
      <c r="N32" s="21"/>
      <c r="O32" s="22"/>
      <c r="P32" s="21"/>
      <c r="Q32" s="146"/>
      <c r="R32" s="150"/>
      <c r="S32" s="146"/>
      <c r="T32" s="1"/>
      <c r="U32" s="1"/>
      <c r="V32" s="1"/>
      <c r="W32" s="1"/>
      <c r="X32" s="15"/>
      <c r="Y32" s="15"/>
      <c r="Z32" s="1"/>
      <c r="AA32" s="1"/>
      <c r="AB32" s="1"/>
      <c r="AC32" s="1"/>
      <c r="AD32" s="1"/>
      <c r="AE32" s="1"/>
      <c r="AF32" s="1"/>
      <c r="AG32" s="1"/>
    </row>
    <row r="33" spans="1:33" ht="15.75" customHeight="1" x14ac:dyDescent="0.2">
      <c r="A33" s="1"/>
      <c r="B33" s="1"/>
      <c r="C33" s="1"/>
      <c r="D33" s="1"/>
      <c r="E33" s="1">
        <f t="shared" si="4"/>
        <v>0</v>
      </c>
      <c r="F33" s="1" t="s">
        <v>20</v>
      </c>
      <c r="G33" s="148">
        <f>'Bal AL FeT'!G33</f>
        <v>0</v>
      </c>
      <c r="H33" s="155">
        <f>+'Info Planta'!F8</f>
        <v>0.58622512000000004</v>
      </c>
      <c r="I33" s="1"/>
      <c r="J33" s="90">
        <f>'Bal AL FeT'!J33</f>
        <v>0</v>
      </c>
      <c r="K33" s="154">
        <f>IF(Utilidad!F8&gt;1,Utilidad!F8/100,Utilidad!F8)</f>
        <v>0</v>
      </c>
      <c r="L33" s="90">
        <f t="shared" si="5"/>
        <v>0</v>
      </c>
      <c r="M33" s="1"/>
      <c r="N33" s="21"/>
      <c r="O33" s="22"/>
      <c r="P33" s="21"/>
      <c r="Q33" s="146"/>
      <c r="R33" s="150"/>
      <c r="S33" s="146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</row>
    <row r="34" spans="1:33" ht="15.75" customHeight="1" x14ac:dyDescent="0.2">
      <c r="A34" s="15">
        <f>+'Calc Nodos'!F5</f>
        <v>212</v>
      </c>
      <c r="B34" s="15"/>
      <c r="C34" s="15"/>
      <c r="D34" s="1">
        <f>+IF(A34&gt;0,1,IF(A34&lt;&gt;0,-1,0))</f>
        <v>1</v>
      </c>
      <c r="E34" s="1">
        <f t="shared" si="4"/>
        <v>0</v>
      </c>
      <c r="F34" s="108" t="s">
        <v>21</v>
      </c>
      <c r="G34" s="148">
        <f>'Bal AL FeT'!G34</f>
        <v>0</v>
      </c>
      <c r="H34" s="156">
        <f>+IF((G35+G36)&lt;&gt;0,(G35*H35+G36*H36)/(G35+G36),0)</f>
        <v>0</v>
      </c>
      <c r="I34" s="74"/>
      <c r="J34" s="90">
        <f>'Bal AL FeT'!J34</f>
        <v>0</v>
      </c>
      <c r="K34" s="154">
        <f>IF(Utilidad!F9&gt;1,Utilidad!F9/100,Utilidad!F9)</f>
        <v>0</v>
      </c>
      <c r="L34" s="90">
        <f t="shared" si="5"/>
        <v>0</v>
      </c>
      <c r="M34" s="151"/>
      <c r="N34" s="21"/>
      <c r="O34" s="22"/>
      <c r="P34" s="21"/>
      <c r="Q34" s="146"/>
      <c r="R34" s="150"/>
      <c r="S34" s="146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</row>
    <row r="35" spans="1:33" ht="15.75" customHeight="1" x14ac:dyDescent="0.2">
      <c r="A35" s="1"/>
      <c r="B35" s="1"/>
      <c r="C35" s="1"/>
      <c r="D35" s="1"/>
      <c r="E35" s="1">
        <f t="shared" si="4"/>
        <v>0</v>
      </c>
      <c r="F35" s="1" t="s">
        <v>22</v>
      </c>
      <c r="G35" s="148">
        <f>'Bal AL FeT'!G35</f>
        <v>0</v>
      </c>
      <c r="H35" s="157">
        <f>+'Info Planta'!F13</f>
        <v>0</v>
      </c>
      <c r="I35" s="1"/>
      <c r="J35" s="90">
        <f>'Bal AL FeT'!J35</f>
        <v>0</v>
      </c>
      <c r="K35" s="154">
        <f>IF(Utilidad!F10&gt;1,Utilidad!F10/100,Utilidad!F10)</f>
        <v>0</v>
      </c>
      <c r="L35" s="90">
        <f t="shared" si="5"/>
        <v>0</v>
      </c>
      <c r="M35" s="1"/>
      <c r="N35" s="21"/>
      <c r="O35" s="22"/>
      <c r="P35" s="21"/>
      <c r="Q35" s="146"/>
      <c r="R35" s="150"/>
      <c r="S35" s="146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</row>
    <row r="36" spans="1:33" ht="15.75" customHeight="1" x14ac:dyDescent="0.2">
      <c r="A36" s="1"/>
      <c r="B36" s="1"/>
      <c r="C36" s="1"/>
      <c r="D36" s="1"/>
      <c r="E36" s="1">
        <f t="shared" si="4"/>
        <v>0</v>
      </c>
      <c r="F36" s="1" t="s">
        <v>23</v>
      </c>
      <c r="G36" s="148">
        <f>'Bal AL FeT'!G36</f>
        <v>0</v>
      </c>
      <c r="H36" s="149">
        <f>+'Info Planta'!F14</f>
        <v>0.58622512000000004</v>
      </c>
      <c r="I36" s="1"/>
      <c r="J36" s="90">
        <f>'Bal AL FeT'!J36</f>
        <v>0</v>
      </c>
      <c r="K36" s="154">
        <f>IF(Utilidad!F11&gt;1,Utilidad!F11/100,Utilidad!F11)</f>
        <v>0</v>
      </c>
      <c r="L36" s="90">
        <f t="shared" si="5"/>
        <v>0</v>
      </c>
      <c r="M36" s="1"/>
      <c r="N36" s="21"/>
      <c r="O36" s="22"/>
      <c r="P36" s="21"/>
      <c r="Q36" s="146"/>
      <c r="R36" s="150"/>
      <c r="S36" s="146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</row>
    <row r="37" spans="1:33" ht="15.75" customHeight="1" x14ac:dyDescent="0.2">
      <c r="A37" s="1"/>
      <c r="B37" s="1"/>
      <c r="C37" s="1"/>
      <c r="D37" s="1"/>
      <c r="E37" s="1">
        <f t="shared" si="4"/>
        <v>0</v>
      </c>
      <c r="F37" s="1" t="s">
        <v>24</v>
      </c>
      <c r="G37" s="148">
        <f>'Bal AL FeT'!G37</f>
        <v>0</v>
      </c>
      <c r="H37" s="155">
        <f>+'Info Planta'!F9</f>
        <v>0.321851323255814</v>
      </c>
      <c r="I37" s="1"/>
      <c r="J37" s="90">
        <f>'Bal AL FeT'!J37</f>
        <v>0</v>
      </c>
      <c r="K37" s="154">
        <f>IF(Utilidad!F12&gt;1,Utilidad!F12/100,Utilidad!F12)</f>
        <v>0</v>
      </c>
      <c r="L37" s="90">
        <f t="shared" si="5"/>
        <v>0</v>
      </c>
      <c r="M37" s="1"/>
      <c r="N37" s="21"/>
      <c r="O37" s="22"/>
      <c r="P37" s="21"/>
      <c r="Q37" s="146"/>
      <c r="R37" s="150"/>
      <c r="S37" s="146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</row>
    <row r="38" spans="1:33" ht="15.75" customHeight="1" x14ac:dyDescent="0.2">
      <c r="A38" s="15">
        <f>+'Calc Nodos'!F6</f>
        <v>-478</v>
      </c>
      <c r="B38" s="15"/>
      <c r="C38" s="15"/>
      <c r="D38" s="1">
        <f>+IF(A38&gt;0,1,IF(A38&lt;&gt;0,-1,0))</f>
        <v>-1</v>
      </c>
      <c r="E38" s="1">
        <f t="shared" si="4"/>
        <v>0</v>
      </c>
      <c r="F38" s="108" t="s">
        <v>25</v>
      </c>
      <c r="G38" s="148">
        <f>'Bal AL FeT'!G38</f>
        <v>0</v>
      </c>
      <c r="H38" s="156">
        <f>+H37</f>
        <v>0.321851323255814</v>
      </c>
      <c r="I38" s="74"/>
      <c r="J38" s="90">
        <f>'Bal AL FeT'!J38</f>
        <v>0</v>
      </c>
      <c r="K38" s="154">
        <f>IF(Utilidad!F13&gt;1,Utilidad!F13/100,Utilidad!F13)</f>
        <v>0</v>
      </c>
      <c r="L38" s="90">
        <f t="shared" si="5"/>
        <v>0</v>
      </c>
      <c r="M38" s="151"/>
      <c r="N38" s="21"/>
      <c r="O38" s="22"/>
      <c r="P38" s="21"/>
      <c r="Q38" s="146"/>
      <c r="R38" s="150"/>
      <c r="S38" s="146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</row>
    <row r="39" spans="1:33" ht="15.75" customHeight="1" x14ac:dyDescent="0.2">
      <c r="A39" s="1"/>
      <c r="B39" s="1"/>
      <c r="C39" s="1"/>
      <c r="D39" s="1"/>
      <c r="E39" s="1">
        <f t="shared" si="4"/>
        <v>0</v>
      </c>
      <c r="F39" s="1" t="s">
        <v>26</v>
      </c>
      <c r="G39" s="148">
        <f>'Bal AL FeT'!G39</f>
        <v>0</v>
      </c>
      <c r="H39" s="157">
        <f>+'Info Planta'!F15</f>
        <v>0.321851323255814</v>
      </c>
      <c r="I39" s="1"/>
      <c r="J39" s="90">
        <f>'Bal AL FeT'!J39</f>
        <v>0</v>
      </c>
      <c r="K39" s="154">
        <f>IF(Utilidad!F14&gt;1,Utilidad!F14/100,Utilidad!F14)</f>
        <v>0</v>
      </c>
      <c r="L39" s="90">
        <f t="shared" si="5"/>
        <v>0</v>
      </c>
      <c r="M39" s="1"/>
      <c r="N39" s="21"/>
      <c r="O39" s="22"/>
      <c r="P39" s="21"/>
      <c r="Q39" s="146"/>
      <c r="R39" s="150"/>
      <c r="S39" s="146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</row>
    <row r="40" spans="1:33" ht="15.75" customHeight="1" x14ac:dyDescent="0.2">
      <c r="A40" s="1"/>
      <c r="B40" s="1"/>
      <c r="C40" s="1"/>
      <c r="D40" s="1"/>
      <c r="E40" s="1">
        <f t="shared" si="4"/>
        <v>0</v>
      </c>
      <c r="F40" s="1" t="s">
        <v>27</v>
      </c>
      <c r="G40" s="148">
        <f>'Bal AL FeT'!G40</f>
        <v>0</v>
      </c>
      <c r="H40" s="155">
        <f>+IF(G40&lt;&gt;0,(G42*H42+A41*H41)/G40,0)</f>
        <v>0</v>
      </c>
      <c r="I40" s="1"/>
      <c r="J40" s="90">
        <f>'Bal AL FeT'!J40</f>
        <v>0</v>
      </c>
      <c r="K40" s="154">
        <f>IF(Utilidad!F15&gt;1,Utilidad!F15/100,Utilidad!F15)</f>
        <v>0</v>
      </c>
      <c r="L40" s="90">
        <f t="shared" si="5"/>
        <v>0</v>
      </c>
      <c r="M40" s="1"/>
      <c r="N40" s="21"/>
      <c r="O40" s="22"/>
      <c r="P40" s="21"/>
      <c r="Q40" s="146"/>
      <c r="R40" s="150"/>
      <c r="S40" s="146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</row>
    <row r="41" spans="1:33" ht="15.75" customHeight="1" x14ac:dyDescent="0.2">
      <c r="A41" s="15">
        <f>+'Calc Nodos'!F7</f>
        <v>528</v>
      </c>
      <c r="B41" s="15"/>
      <c r="C41" s="15"/>
      <c r="D41" s="1">
        <f>+IF(A41&gt;0,1,IF(A41&lt;&gt;0,-1,0))</f>
        <v>1</v>
      </c>
      <c r="E41" s="1">
        <f t="shared" si="4"/>
        <v>0</v>
      </c>
      <c r="F41" s="108" t="s">
        <v>28</v>
      </c>
      <c r="G41" s="148">
        <f>'Bal AL FeT'!G41</f>
        <v>0</v>
      </c>
      <c r="H41" s="156">
        <f>+H42</f>
        <v>0.376</v>
      </c>
      <c r="I41" s="74"/>
      <c r="J41" s="90">
        <f>'Bal AL FeT'!J41</f>
        <v>0</v>
      </c>
      <c r="K41" s="154">
        <f>IF(Utilidad!F16&gt;1,Utilidad!F16/100,Utilidad!F16)</f>
        <v>0</v>
      </c>
      <c r="L41" s="90">
        <f t="shared" si="5"/>
        <v>0</v>
      </c>
      <c r="M41" s="151"/>
      <c r="N41" s="21"/>
      <c r="O41" s="22"/>
      <c r="P41" s="21"/>
      <c r="Q41" s="146"/>
      <c r="R41" s="150"/>
      <c r="S41" s="146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</row>
    <row r="42" spans="1:33" ht="15.75" customHeight="1" x14ac:dyDescent="0.2">
      <c r="A42" s="1"/>
      <c r="B42" s="1"/>
      <c r="C42" s="1"/>
      <c r="D42" s="1"/>
      <c r="E42" s="1">
        <f t="shared" si="4"/>
        <v>0</v>
      </c>
      <c r="F42" s="1" t="s">
        <v>29</v>
      </c>
      <c r="G42" s="148">
        <f>'Bal AL FeT'!G42</f>
        <v>0</v>
      </c>
      <c r="H42" s="157">
        <f>+'Info Planta'!F16</f>
        <v>0.376</v>
      </c>
      <c r="I42" s="1"/>
      <c r="J42" s="90">
        <f>'Bal AL FeT'!J42</f>
        <v>0</v>
      </c>
      <c r="K42" s="154">
        <f>IF(Utilidad!F17&gt;1,Utilidad!F17/100,Utilidad!F17)</f>
        <v>0</v>
      </c>
      <c r="L42" s="90">
        <f t="shared" si="5"/>
        <v>0</v>
      </c>
      <c r="M42" s="1"/>
      <c r="N42" s="21"/>
      <c r="O42" s="22"/>
      <c r="P42" s="21"/>
      <c r="Q42" s="146"/>
      <c r="R42" s="150"/>
      <c r="S42" s="146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</row>
    <row r="43" spans="1:33" ht="15.7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</row>
    <row r="44" spans="1:33" ht="15.75" customHeight="1" x14ac:dyDescent="0.2">
      <c r="A44" s="1"/>
      <c r="B44" s="1"/>
      <c r="C44" s="1"/>
      <c r="D44" s="1"/>
      <c r="E44" s="1"/>
      <c r="F44" s="138"/>
      <c r="G44" s="361"/>
      <c r="H44" s="276"/>
      <c r="I44" s="1"/>
      <c r="J44" s="361"/>
      <c r="K44" s="276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</row>
    <row r="45" spans="1:33" ht="15.75" customHeight="1" x14ac:dyDescent="0.2">
      <c r="A45" s="1"/>
      <c r="B45" s="1"/>
      <c r="C45" s="1"/>
      <c r="D45" s="1"/>
      <c r="E45" s="1"/>
      <c r="F45" s="138"/>
      <c r="G45" s="25"/>
      <c r="H45" s="25"/>
      <c r="I45" s="1"/>
      <c r="J45" s="25"/>
      <c r="K45" s="25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</row>
    <row r="46" spans="1:33" ht="15.7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5"/>
      <c r="K46" s="23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</row>
    <row r="47" spans="1:33" ht="15.7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5"/>
      <c r="K47" s="23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</row>
    <row r="48" spans="1:33" ht="15.7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5"/>
      <c r="K48" s="23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</row>
    <row r="49" spans="1:33" ht="15.7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5"/>
      <c r="K49" s="23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</row>
    <row r="50" spans="1:33" ht="15.7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5"/>
      <c r="K50" s="23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</row>
    <row r="51" spans="1:33" ht="15.7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5"/>
      <c r="K51" s="23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</row>
    <row r="52" spans="1:33" ht="15.7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5"/>
      <c r="K52" s="23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</row>
    <row r="53" spans="1:33" ht="15.7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5"/>
      <c r="K53" s="23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</row>
    <row r="54" spans="1:33" ht="15.7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5"/>
      <c r="K54" s="23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</row>
    <row r="55" spans="1:33" ht="15.7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5"/>
      <c r="K55" s="23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</row>
    <row r="56" spans="1:33" ht="15.7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5"/>
      <c r="K56" s="23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</row>
    <row r="57" spans="1:33" ht="15.7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5"/>
      <c r="K57" s="23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</row>
    <row r="58" spans="1:33" ht="15.7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5"/>
      <c r="K58" s="23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</row>
    <row r="59" spans="1:33" ht="15.7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5"/>
      <c r="K59" s="23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</row>
    <row r="60" spans="1:33" ht="15.7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5"/>
      <c r="K60" s="23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</row>
    <row r="61" spans="1:33" ht="15.7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5"/>
      <c r="K61" s="23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</row>
    <row r="62" spans="1:33" ht="15.7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5"/>
      <c r="K62" s="23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</row>
    <row r="63" spans="1:33" ht="15.7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</row>
    <row r="64" spans="1:33" ht="15.75" customHeight="1" x14ac:dyDescent="0.2">
      <c r="A64" s="1"/>
      <c r="B64" s="1"/>
      <c r="C64" s="1"/>
      <c r="D64" s="1"/>
      <c r="E64" s="1"/>
      <c r="F64" s="138"/>
      <c r="G64" s="361"/>
      <c r="H64" s="276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</row>
    <row r="65" spans="1:33" ht="15.75" customHeight="1" x14ac:dyDescent="0.2">
      <c r="A65" s="1"/>
      <c r="B65" s="1"/>
      <c r="C65" s="1"/>
      <c r="D65" s="1"/>
      <c r="E65" s="1"/>
      <c r="F65" s="138"/>
      <c r="G65" s="25"/>
      <c r="H65" s="25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</row>
    <row r="66" spans="1:33" ht="15.7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</row>
    <row r="67" spans="1:33" ht="15.7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</row>
    <row r="68" spans="1:33" ht="15.7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</row>
    <row r="69" spans="1:33" ht="15.7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</row>
    <row r="70" spans="1:33" ht="15.7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</row>
    <row r="71" spans="1:33" ht="15.7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</row>
    <row r="72" spans="1:33" ht="15.7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</row>
    <row r="73" spans="1:33" ht="15.7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</row>
    <row r="74" spans="1:33" ht="15.7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</row>
    <row r="75" spans="1:33" ht="15.7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</row>
    <row r="76" spans="1:33" ht="15.7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</row>
    <row r="77" spans="1:33" ht="15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</row>
    <row r="78" spans="1:33" ht="15.7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</row>
    <row r="79" spans="1:33" ht="15.7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</row>
    <row r="80" spans="1:33" ht="15.7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</row>
    <row r="81" spans="1:33" ht="15.7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</row>
    <row r="82" spans="1:33" ht="15.7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</row>
    <row r="83" spans="1:33" ht="15.7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</row>
    <row r="84" spans="1:33" ht="15.7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</row>
    <row r="85" spans="1:33" ht="15.7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</row>
    <row r="86" spans="1:33" ht="15.7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</row>
    <row r="87" spans="1:33" ht="15.7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</row>
    <row r="88" spans="1:33" ht="15.7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</row>
    <row r="89" spans="1:33" ht="15.7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</row>
    <row r="90" spans="1:33" ht="15.7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</row>
    <row r="91" spans="1:33" ht="15.7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</row>
    <row r="92" spans="1:33" ht="15.7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</row>
    <row r="93" spans="1:33" ht="15.7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</row>
    <row r="94" spans="1:33" ht="15.7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</row>
    <row r="95" spans="1:33" ht="15.7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</row>
    <row r="96" spans="1:33" ht="15.7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</row>
    <row r="97" spans="1:33" ht="15.7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</row>
    <row r="98" spans="1:33" ht="15.7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</row>
    <row r="99" spans="1:33" ht="15.7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</row>
    <row r="100" spans="1:33" ht="15.7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</row>
    <row r="101" spans="1:33" ht="15.7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</row>
    <row r="102" spans="1:33" ht="15.7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</row>
    <row r="103" spans="1:33" ht="15.7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</row>
    <row r="104" spans="1:33" ht="15.7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</row>
    <row r="105" spans="1:33" ht="15.7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</row>
    <row r="106" spans="1:33" ht="15.7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</row>
    <row r="107" spans="1:33" ht="15.7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</row>
    <row r="108" spans="1:33" ht="15.7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</row>
    <row r="109" spans="1:33" ht="15.7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</row>
    <row r="110" spans="1:33" ht="15.7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</row>
    <row r="111" spans="1:33" ht="15.7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</row>
    <row r="112" spans="1:33" ht="15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</row>
    <row r="113" spans="1:33" ht="15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</row>
    <row r="114" spans="1:33" ht="15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</row>
    <row r="115" spans="1:33" ht="15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</row>
    <row r="116" spans="1:33" ht="15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</row>
    <row r="117" spans="1:33" ht="15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</row>
    <row r="118" spans="1:33" ht="15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</row>
    <row r="119" spans="1:33" ht="15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</row>
    <row r="120" spans="1:33" ht="15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</row>
    <row r="121" spans="1:33" ht="15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</row>
    <row r="122" spans="1:33" ht="15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</row>
    <row r="123" spans="1:33" ht="15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</row>
    <row r="124" spans="1:33" ht="15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</row>
    <row r="125" spans="1:33" ht="15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</row>
    <row r="126" spans="1:33" ht="15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</row>
    <row r="127" spans="1:33" ht="15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</row>
    <row r="128" spans="1:33" ht="15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</row>
    <row r="129" spans="1:33" ht="15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</row>
    <row r="130" spans="1:33" ht="15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</row>
    <row r="131" spans="1:33" ht="15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</row>
    <row r="132" spans="1:33" ht="15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</row>
    <row r="133" spans="1:33" ht="15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</row>
    <row r="134" spans="1:33" ht="15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</row>
    <row r="135" spans="1:33" ht="15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</row>
    <row r="136" spans="1:33" ht="15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</row>
    <row r="137" spans="1:33" ht="15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</row>
    <row r="138" spans="1:33" ht="15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</row>
    <row r="139" spans="1:33" ht="15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</row>
    <row r="140" spans="1:33" ht="15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</row>
    <row r="141" spans="1:33" ht="15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</row>
    <row r="142" spans="1:33" ht="15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</row>
    <row r="143" spans="1:33" ht="15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</row>
    <row r="144" spans="1:33" ht="15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</row>
    <row r="145" spans="1:33" ht="15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</row>
    <row r="146" spans="1:33" ht="15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</row>
    <row r="147" spans="1:33" ht="15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</row>
    <row r="148" spans="1:33" ht="15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</row>
    <row r="149" spans="1:33" ht="15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</row>
    <row r="150" spans="1:33" ht="15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</row>
    <row r="151" spans="1:33" ht="15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</row>
    <row r="152" spans="1:33" ht="15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</row>
    <row r="153" spans="1:33" ht="15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</row>
    <row r="154" spans="1:33" ht="15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</row>
    <row r="155" spans="1:33" ht="15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</row>
    <row r="156" spans="1:33" ht="15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</row>
    <row r="157" spans="1:33" ht="15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</row>
    <row r="158" spans="1:33" ht="15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</row>
    <row r="159" spans="1:33" ht="15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</row>
    <row r="160" spans="1:33" ht="15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</row>
    <row r="161" spans="1:33" ht="15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</row>
    <row r="162" spans="1:33" ht="15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</row>
    <row r="163" spans="1:33" ht="15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</row>
    <row r="164" spans="1:33" ht="15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</row>
    <row r="165" spans="1:33" ht="15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</row>
    <row r="166" spans="1:33" ht="15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</row>
    <row r="167" spans="1:33" ht="15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</row>
    <row r="168" spans="1:33" ht="15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</row>
    <row r="169" spans="1:33" ht="15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</row>
    <row r="170" spans="1:33" ht="15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</row>
    <row r="171" spans="1:33" ht="15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</row>
    <row r="172" spans="1:33" ht="15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</row>
    <row r="173" spans="1:33" ht="15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</row>
    <row r="174" spans="1:33" ht="15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</row>
    <row r="175" spans="1:33" ht="15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</row>
    <row r="176" spans="1:33" ht="15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</row>
    <row r="177" spans="1:33" ht="15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</row>
    <row r="178" spans="1:33" ht="15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</row>
    <row r="179" spans="1:33" ht="15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</row>
    <row r="180" spans="1:33" ht="15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</row>
    <row r="181" spans="1:33" ht="15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</row>
    <row r="182" spans="1:33" ht="15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</row>
    <row r="183" spans="1:33" ht="15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</row>
    <row r="184" spans="1:33" ht="15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</row>
    <row r="185" spans="1:33" ht="15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</row>
    <row r="186" spans="1:33" ht="15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</row>
    <row r="187" spans="1:33" ht="15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</row>
    <row r="188" spans="1:33" ht="15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</row>
    <row r="189" spans="1:33" ht="15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</row>
    <row r="190" spans="1:33" ht="15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</row>
    <row r="191" spans="1:33" ht="15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</row>
    <row r="192" spans="1:33" ht="15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</row>
    <row r="193" spans="1:33" ht="15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</row>
    <row r="194" spans="1:33" ht="15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</row>
    <row r="195" spans="1:33" ht="15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</row>
    <row r="196" spans="1:33" ht="15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</row>
    <row r="197" spans="1:33" ht="15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</row>
    <row r="198" spans="1:33" ht="15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</row>
    <row r="199" spans="1:33" ht="15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</row>
    <row r="200" spans="1:33" ht="15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</row>
    <row r="201" spans="1:33" ht="15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</row>
    <row r="202" spans="1:33" ht="15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</row>
    <row r="203" spans="1:33" ht="15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</row>
    <row r="204" spans="1:33" ht="15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</row>
    <row r="205" spans="1:33" ht="15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</row>
    <row r="206" spans="1:33" ht="15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</row>
    <row r="207" spans="1:33" ht="15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</row>
    <row r="208" spans="1:33" ht="15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</row>
    <row r="209" spans="1:33" ht="15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</row>
    <row r="210" spans="1:33" ht="15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</row>
    <row r="211" spans="1:33" ht="15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</row>
    <row r="212" spans="1:33" ht="15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</row>
    <row r="213" spans="1:33" ht="15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</row>
    <row r="214" spans="1:33" ht="15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</row>
    <row r="215" spans="1:33" ht="15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</row>
    <row r="216" spans="1:33" ht="15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</row>
    <row r="217" spans="1:33" ht="15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</row>
    <row r="218" spans="1:33" ht="15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</row>
    <row r="219" spans="1:33" ht="15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</row>
    <row r="220" spans="1:33" ht="15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</row>
    <row r="221" spans="1:33" ht="15.7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</row>
    <row r="222" spans="1:33" ht="15.7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</row>
    <row r="223" spans="1:33" ht="15.7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</row>
    <row r="224" spans="1:33" ht="15.7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</row>
    <row r="225" spans="1:33" ht="15.7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</row>
    <row r="226" spans="1:33" ht="15.7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</row>
    <row r="227" spans="1:33" ht="15.7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</row>
    <row r="228" spans="1:33" ht="15.7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</row>
    <row r="229" spans="1:33" ht="15.7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</row>
    <row r="230" spans="1:33" ht="15.7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</row>
    <row r="231" spans="1:33" ht="15.7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</row>
    <row r="232" spans="1:33" ht="15.7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</row>
    <row r="233" spans="1:33" ht="15.7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</row>
    <row r="234" spans="1:33" ht="15.7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</row>
    <row r="235" spans="1:33" ht="15.7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</row>
    <row r="236" spans="1:33" ht="15.7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</row>
    <row r="237" spans="1:33" ht="15.7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</row>
    <row r="238" spans="1:33" ht="15.7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</row>
    <row r="239" spans="1:33" ht="15.7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</row>
    <row r="240" spans="1:33" ht="15.7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</row>
    <row r="241" spans="1:33" ht="15.7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</row>
    <row r="242" spans="1:33" ht="15.7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</row>
    <row r="243" spans="1:33" ht="15.7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</row>
    <row r="244" spans="1:33" ht="15.7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</row>
    <row r="245" spans="1:33" ht="15.7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</row>
    <row r="246" spans="1:33" ht="15.7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</row>
    <row r="247" spans="1:33" ht="15.7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</row>
    <row r="248" spans="1:33" ht="15.7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</row>
    <row r="249" spans="1:33" ht="15.7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</row>
    <row r="250" spans="1:33" ht="15.7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</row>
    <row r="251" spans="1:33" ht="15.7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</row>
    <row r="252" spans="1:33" ht="15.7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</row>
    <row r="253" spans="1:33" ht="15.7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</row>
    <row r="254" spans="1:33" ht="15.7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</row>
    <row r="255" spans="1:33" ht="15.7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</row>
    <row r="256" spans="1:33" ht="15.7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</row>
    <row r="257" spans="1:33" ht="15.7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</row>
    <row r="258" spans="1:33" ht="15.7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</row>
    <row r="259" spans="1:33" ht="15.7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</row>
    <row r="260" spans="1:33" ht="15.7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</row>
    <row r="261" spans="1:33" ht="15.7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</row>
    <row r="262" spans="1:33" ht="15.7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</row>
    <row r="263" spans="1:33" ht="15.7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</row>
    <row r="264" spans="1:33" ht="15.7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</row>
    <row r="265" spans="1:33" ht="15.7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</row>
    <row r="266" spans="1:33" ht="15.7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</row>
    <row r="267" spans="1:33" ht="15.7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</row>
    <row r="268" spans="1:33" ht="15.7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</row>
    <row r="269" spans="1:33" ht="15.7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</row>
    <row r="270" spans="1:33" ht="15.7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</row>
    <row r="271" spans="1:33" ht="15.7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</row>
    <row r="272" spans="1:33" ht="15.7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</row>
    <row r="273" spans="1:33" ht="15.7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</row>
    <row r="274" spans="1:33" ht="15.7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</row>
    <row r="275" spans="1:33" ht="15.7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</row>
    <row r="276" spans="1:33" ht="15.7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</row>
    <row r="277" spans="1:33" ht="15.7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</row>
    <row r="278" spans="1:33" ht="15.7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</row>
    <row r="279" spans="1:33" ht="15.7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</row>
    <row r="280" spans="1:33" ht="15.7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</row>
    <row r="281" spans="1:33" ht="15.7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</row>
    <row r="282" spans="1:33" ht="15.7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</row>
    <row r="283" spans="1:33" ht="15.7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</row>
    <row r="284" spans="1:33" ht="15.7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</row>
    <row r="285" spans="1:33" ht="15.7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</row>
    <row r="286" spans="1:33" ht="15.7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</row>
    <row r="287" spans="1:33" ht="15.7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</row>
    <row r="288" spans="1:33" ht="15.7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</row>
    <row r="289" spans="1:33" ht="15.7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</row>
    <row r="290" spans="1:33" ht="15.7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</row>
    <row r="291" spans="1:33" ht="15.7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</row>
    <row r="292" spans="1:33" ht="15.7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</row>
    <row r="293" spans="1:33" ht="15.7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</row>
    <row r="294" spans="1:33" ht="15.7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</row>
    <row r="295" spans="1:33" ht="15.7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</row>
    <row r="296" spans="1:33" ht="15.7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</row>
    <row r="297" spans="1:33" ht="15.7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</row>
    <row r="298" spans="1:33" ht="15.7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</row>
    <row r="299" spans="1:33" ht="15.7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</row>
    <row r="300" spans="1:33" ht="15.7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</row>
    <row r="301" spans="1:33" ht="15.7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</row>
    <row r="302" spans="1:33" ht="15.7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</row>
    <row r="303" spans="1:33" ht="15.7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</row>
    <row r="304" spans="1:33" ht="15.7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</row>
    <row r="305" spans="1:33" ht="15.7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</row>
    <row r="306" spans="1:33" ht="15.7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</row>
    <row r="307" spans="1:33" ht="15.7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</row>
    <row r="308" spans="1:33" ht="15.7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</row>
    <row r="309" spans="1:33" ht="15.7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</row>
    <row r="310" spans="1:33" ht="15.7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</row>
    <row r="311" spans="1:33" ht="15.7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</row>
    <row r="312" spans="1:33" ht="15.7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</row>
    <row r="313" spans="1:33" ht="15.7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</row>
    <row r="314" spans="1:33" ht="15.7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</row>
    <row r="315" spans="1:33" ht="15.7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</row>
    <row r="316" spans="1:33" ht="15.7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</row>
    <row r="317" spans="1:33" ht="15.7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</row>
    <row r="318" spans="1:33" ht="15.7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</row>
    <row r="319" spans="1:33" ht="15.7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</row>
    <row r="320" spans="1:33" ht="15.7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</row>
    <row r="321" spans="1:33" ht="15.7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</row>
    <row r="322" spans="1:33" ht="15.7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</row>
    <row r="323" spans="1:33" ht="15.7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</row>
    <row r="324" spans="1:33" ht="15.7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</row>
    <row r="325" spans="1:33" ht="15.7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</row>
    <row r="326" spans="1:33" ht="15.7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</row>
    <row r="327" spans="1:33" ht="15.7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</row>
    <row r="328" spans="1:33" ht="15.7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</row>
    <row r="329" spans="1:33" ht="15.7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</row>
    <row r="330" spans="1:33" ht="15.7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</row>
    <row r="331" spans="1:33" ht="15.7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</row>
    <row r="332" spans="1:33" ht="15.7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</row>
    <row r="333" spans="1:33" ht="15.7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</row>
    <row r="334" spans="1:33" ht="15.7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</row>
    <row r="335" spans="1:33" ht="15.7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</row>
    <row r="336" spans="1:33" ht="15.7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</row>
    <row r="337" spans="1:33" ht="15.7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</row>
    <row r="338" spans="1:33" ht="15.7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</row>
    <row r="339" spans="1:33" ht="15.7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</row>
    <row r="340" spans="1:33" ht="15.7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</row>
    <row r="341" spans="1:33" ht="15.7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</row>
    <row r="342" spans="1:33" ht="15.7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</row>
    <row r="343" spans="1:33" ht="15.7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</row>
    <row r="344" spans="1:33" ht="15.7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</row>
    <row r="345" spans="1:33" ht="15.7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</row>
    <row r="346" spans="1:33" ht="15.7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</row>
    <row r="347" spans="1:33" ht="15.7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</row>
    <row r="348" spans="1:33" ht="15.7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</row>
    <row r="349" spans="1:33" ht="15.7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</row>
    <row r="350" spans="1:33" ht="15.7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</row>
    <row r="351" spans="1:33" ht="15.7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</row>
    <row r="352" spans="1:33" ht="15.7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</row>
    <row r="353" spans="1:33" ht="15.7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</row>
    <row r="354" spans="1:33" ht="15.7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</row>
    <row r="355" spans="1:33" ht="15.7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</row>
    <row r="356" spans="1:33" ht="15.7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</row>
    <row r="357" spans="1:33" ht="15.7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</row>
    <row r="358" spans="1:33" ht="15.7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</row>
    <row r="359" spans="1:33" ht="15.7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</row>
    <row r="360" spans="1:33" ht="15.7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</row>
    <row r="361" spans="1:33" ht="15.7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</row>
    <row r="362" spans="1:33" ht="15.7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</row>
    <row r="363" spans="1:33" ht="15.7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</row>
    <row r="364" spans="1:33" ht="15.7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</row>
    <row r="365" spans="1:33" ht="15.7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</row>
    <row r="366" spans="1:33" ht="15.7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</row>
    <row r="367" spans="1:33" ht="15.7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</row>
    <row r="368" spans="1:33" ht="15.7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</row>
    <row r="369" spans="1:33" ht="15.7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</row>
    <row r="370" spans="1:33" ht="15.7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</row>
    <row r="371" spans="1:33" ht="15.7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</row>
    <row r="372" spans="1:33" ht="15.7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</row>
    <row r="373" spans="1:33" ht="15.7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</row>
    <row r="374" spans="1:33" ht="15.7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</row>
    <row r="375" spans="1:33" ht="15.7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</row>
    <row r="376" spans="1:33" ht="15.7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</row>
    <row r="377" spans="1:33" ht="15.7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</row>
    <row r="378" spans="1:33" ht="15.7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</row>
    <row r="379" spans="1:33" ht="15.7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</row>
    <row r="380" spans="1:33" ht="15.7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</row>
    <row r="381" spans="1:33" ht="15.7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</row>
    <row r="382" spans="1:33" ht="15.7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</row>
    <row r="383" spans="1:33" ht="15.7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</row>
    <row r="384" spans="1:33" ht="15.7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</row>
    <row r="385" spans="1:33" ht="15.7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</row>
    <row r="386" spans="1:33" ht="15.7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</row>
    <row r="387" spans="1:33" ht="15.7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</row>
    <row r="388" spans="1:33" ht="15.7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</row>
    <row r="389" spans="1:33" ht="15.7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</row>
    <row r="390" spans="1:33" ht="15.7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</row>
    <row r="391" spans="1:33" ht="15.7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</row>
    <row r="392" spans="1:33" ht="15.7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</row>
    <row r="393" spans="1:33" ht="15.7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</row>
    <row r="394" spans="1:33" ht="15.7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</row>
    <row r="395" spans="1:33" ht="15.7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</row>
    <row r="396" spans="1:33" ht="15.7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</row>
    <row r="397" spans="1:33" ht="15.7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</row>
    <row r="398" spans="1:33" ht="15.7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</row>
    <row r="399" spans="1:33" ht="15.7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</row>
    <row r="400" spans="1:33" ht="15.7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</row>
    <row r="401" spans="1:33" ht="15.7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</row>
    <row r="402" spans="1:33" ht="15.7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</row>
    <row r="403" spans="1:33" ht="15.7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</row>
    <row r="404" spans="1:33" ht="15.7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</row>
    <row r="405" spans="1:33" ht="15.7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</row>
    <row r="406" spans="1:33" ht="15.7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</row>
    <row r="407" spans="1:33" ht="15.7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</row>
    <row r="408" spans="1:33" ht="15.7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</row>
    <row r="409" spans="1:33" ht="15.7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</row>
    <row r="410" spans="1:33" ht="15.7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</row>
    <row r="411" spans="1:33" ht="15.7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</row>
    <row r="412" spans="1:33" ht="15.7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</row>
    <row r="413" spans="1:33" ht="15.7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</row>
    <row r="414" spans="1:33" ht="15.7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</row>
    <row r="415" spans="1:33" ht="15.7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</row>
    <row r="416" spans="1:33" ht="15.7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</row>
    <row r="417" spans="1:33" ht="15.7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</row>
    <row r="418" spans="1:33" ht="15.7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</row>
    <row r="419" spans="1:33" ht="15.7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</row>
    <row r="420" spans="1:33" ht="15.7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</row>
    <row r="421" spans="1:33" ht="15.7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</row>
    <row r="422" spans="1:33" ht="15.7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</row>
    <row r="423" spans="1:33" ht="15.7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</row>
    <row r="424" spans="1:33" ht="15.7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</row>
    <row r="425" spans="1:33" ht="15.7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</row>
    <row r="426" spans="1:33" ht="15.7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</row>
    <row r="427" spans="1:33" ht="15.7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</row>
    <row r="428" spans="1:33" ht="15.7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</row>
    <row r="429" spans="1:33" ht="15.7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</row>
    <row r="430" spans="1:33" ht="15.7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</row>
    <row r="431" spans="1:33" ht="15.7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</row>
    <row r="432" spans="1:33" ht="15.7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</row>
    <row r="433" spans="1:33" ht="15.7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</row>
    <row r="434" spans="1:33" ht="15.7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</row>
    <row r="435" spans="1:33" ht="15.7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</row>
    <row r="436" spans="1:33" ht="15.7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</row>
    <row r="437" spans="1:33" ht="15.7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</row>
    <row r="438" spans="1:33" ht="15.7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</row>
    <row r="439" spans="1:33" ht="15.7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</row>
    <row r="440" spans="1:33" ht="15.7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</row>
    <row r="441" spans="1:33" ht="15.7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</row>
    <row r="442" spans="1:33" ht="15.7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</row>
    <row r="443" spans="1:33" ht="15.7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</row>
    <row r="444" spans="1:33" ht="15.7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</row>
    <row r="445" spans="1:33" ht="15.7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</row>
    <row r="446" spans="1:33" ht="15.7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</row>
    <row r="447" spans="1:33" ht="15.7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</row>
    <row r="448" spans="1:33" ht="15.7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</row>
    <row r="449" spans="1:33" ht="15.7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</row>
    <row r="450" spans="1:33" ht="15.7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</row>
    <row r="451" spans="1:33" ht="15.7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</row>
    <row r="452" spans="1:33" ht="15.7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</row>
    <row r="453" spans="1:33" ht="15.7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</row>
    <row r="454" spans="1:33" ht="15.7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</row>
    <row r="455" spans="1:33" ht="15.7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</row>
    <row r="456" spans="1:33" ht="15.7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</row>
    <row r="457" spans="1:33" ht="15.7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</row>
    <row r="458" spans="1:33" ht="15.7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</row>
    <row r="459" spans="1:33" ht="15.7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</row>
    <row r="460" spans="1:33" ht="15.7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</row>
    <row r="461" spans="1:33" ht="15.7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</row>
    <row r="462" spans="1:33" ht="15.7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</row>
    <row r="463" spans="1:33" ht="15.7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</row>
    <row r="464" spans="1:33" ht="15.7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</row>
    <row r="465" spans="1:33" ht="15.7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</row>
    <row r="466" spans="1:33" ht="15.7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</row>
    <row r="467" spans="1:33" ht="15.7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</row>
    <row r="468" spans="1:33" ht="15.7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</row>
    <row r="469" spans="1:33" ht="15.7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</row>
    <row r="470" spans="1:33" ht="15.7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</row>
    <row r="471" spans="1:33" ht="15.7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</row>
    <row r="472" spans="1:33" ht="15.7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</row>
    <row r="473" spans="1:33" ht="15.7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</row>
    <row r="474" spans="1:33" ht="15.7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</row>
    <row r="475" spans="1:33" ht="15.7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</row>
    <row r="476" spans="1:33" ht="15.7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</row>
    <row r="477" spans="1:33" ht="15.7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</row>
    <row r="478" spans="1:33" ht="15.7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</row>
    <row r="479" spans="1:33" ht="15.7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</row>
    <row r="480" spans="1:33" ht="15.7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</row>
    <row r="481" spans="1:33" ht="15.7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</row>
    <row r="482" spans="1:33" ht="15.7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</row>
    <row r="483" spans="1:33" ht="15.7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</row>
    <row r="484" spans="1:33" ht="15.7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</row>
    <row r="485" spans="1:33" ht="15.7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</row>
    <row r="486" spans="1:33" ht="15.7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</row>
    <row r="487" spans="1:33" ht="15.7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</row>
    <row r="488" spans="1:33" ht="15.7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</row>
    <row r="489" spans="1:33" ht="15.7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</row>
    <row r="490" spans="1:33" ht="15.7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</row>
    <row r="491" spans="1:33" ht="15.7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</row>
    <row r="492" spans="1:33" ht="15.7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</row>
    <row r="493" spans="1:33" ht="15.7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</row>
    <row r="494" spans="1:33" ht="15.7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</row>
    <row r="495" spans="1:33" ht="15.7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</row>
    <row r="496" spans="1:33" ht="15.7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</row>
    <row r="497" spans="1:33" ht="15.7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</row>
    <row r="498" spans="1:33" ht="15.7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</row>
    <row r="499" spans="1:33" ht="15.7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</row>
    <row r="500" spans="1:33" ht="15.7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</row>
    <row r="501" spans="1:33" ht="15.7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</row>
    <row r="502" spans="1:33" ht="15.7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</row>
    <row r="503" spans="1:33" ht="15.7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</row>
    <row r="504" spans="1:33" ht="15.7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</row>
    <row r="505" spans="1:33" ht="15.7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</row>
    <row r="506" spans="1:33" ht="15.7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</row>
    <row r="507" spans="1:33" ht="15.7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</row>
    <row r="508" spans="1:33" ht="15.7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</row>
    <row r="509" spans="1:33" ht="15.7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</row>
    <row r="510" spans="1:33" ht="15.7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</row>
    <row r="511" spans="1:33" ht="15.7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</row>
    <row r="512" spans="1:33" ht="15.7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</row>
    <row r="513" spans="1:33" ht="15.7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</row>
    <row r="514" spans="1:33" ht="15.7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</row>
    <row r="515" spans="1:33" ht="15.7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</row>
    <row r="516" spans="1:33" ht="15.7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</row>
    <row r="517" spans="1:33" ht="15.7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</row>
    <row r="518" spans="1:33" ht="15.7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</row>
    <row r="519" spans="1:33" ht="15.7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</row>
    <row r="520" spans="1:33" ht="15.7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</row>
    <row r="521" spans="1:33" ht="15.7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</row>
    <row r="522" spans="1:33" ht="15.7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</row>
    <row r="523" spans="1:33" ht="15.7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</row>
    <row r="524" spans="1:33" ht="15.7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</row>
    <row r="525" spans="1:33" ht="15.7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</row>
    <row r="526" spans="1:33" ht="15.7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</row>
    <row r="527" spans="1:33" ht="15.7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</row>
    <row r="528" spans="1:33" ht="15.7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</row>
    <row r="529" spans="1:33" ht="15.7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</row>
    <row r="530" spans="1:33" ht="15.7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</row>
    <row r="531" spans="1:33" ht="15.7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</row>
    <row r="532" spans="1:33" ht="15.7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</row>
    <row r="533" spans="1:33" ht="15.7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</row>
    <row r="534" spans="1:33" ht="15.7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</row>
    <row r="535" spans="1:33" ht="15.7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</row>
    <row r="536" spans="1:33" ht="15.7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</row>
    <row r="537" spans="1:33" ht="15.7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</row>
    <row r="538" spans="1:33" ht="15.7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</row>
    <row r="539" spans="1:33" ht="15.7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</row>
    <row r="540" spans="1:33" ht="15.7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</row>
    <row r="541" spans="1:33" ht="15.7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</row>
    <row r="542" spans="1:33" ht="15.7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</row>
    <row r="543" spans="1:33" ht="15.7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</row>
    <row r="544" spans="1:33" ht="15.7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</row>
    <row r="545" spans="1:33" ht="15.7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</row>
    <row r="546" spans="1:33" ht="15.7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</row>
    <row r="547" spans="1:33" ht="15.7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</row>
    <row r="548" spans="1:33" ht="15.7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</row>
    <row r="549" spans="1:33" ht="15.7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</row>
    <row r="550" spans="1:33" ht="15.7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</row>
    <row r="551" spans="1:33" ht="15.7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</row>
    <row r="552" spans="1:33" ht="15.7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</row>
    <row r="553" spans="1:33" ht="15.7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</row>
    <row r="554" spans="1:33" ht="15.7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</row>
    <row r="555" spans="1:33" ht="15.7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</row>
    <row r="556" spans="1:33" ht="15.7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</row>
    <row r="557" spans="1:33" ht="15.7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</row>
    <row r="558" spans="1:33" ht="15.7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</row>
    <row r="559" spans="1:33" ht="15.7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</row>
    <row r="560" spans="1:33" ht="15.7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</row>
    <row r="561" spans="1:33" ht="15.7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</row>
    <row r="562" spans="1:33" ht="15.7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</row>
    <row r="563" spans="1:33" ht="15.7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</row>
    <row r="564" spans="1:33" ht="15.7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</row>
    <row r="565" spans="1:33" ht="15.7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</row>
    <row r="566" spans="1:33" ht="15.7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</row>
    <row r="567" spans="1:33" ht="15.7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</row>
    <row r="568" spans="1:33" ht="15.7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</row>
    <row r="569" spans="1:33" ht="15.7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</row>
    <row r="570" spans="1:33" ht="15.7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</row>
    <row r="571" spans="1:33" ht="15.7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</row>
    <row r="572" spans="1:33" ht="15.7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</row>
    <row r="573" spans="1:33" ht="15.7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</row>
    <row r="574" spans="1:33" ht="15.7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</row>
    <row r="575" spans="1:33" ht="15.7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</row>
    <row r="576" spans="1:33" ht="15.7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</row>
    <row r="577" spans="1:33" ht="15.7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</row>
    <row r="578" spans="1:33" ht="15.7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</row>
    <row r="579" spans="1:33" ht="15.7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</row>
    <row r="580" spans="1:33" ht="15.7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</row>
    <row r="581" spans="1:33" ht="15.7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</row>
    <row r="582" spans="1:33" ht="15.7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</row>
    <row r="583" spans="1:33" ht="15.7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</row>
    <row r="584" spans="1:33" ht="15.7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</row>
    <row r="585" spans="1:33" ht="15.7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</row>
    <row r="586" spans="1:33" ht="15.7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</row>
    <row r="587" spans="1:33" ht="15.7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</row>
    <row r="588" spans="1:33" ht="15.7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</row>
    <row r="589" spans="1:33" ht="15.7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</row>
    <row r="590" spans="1:33" ht="15.7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</row>
    <row r="591" spans="1:33" ht="15.7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</row>
    <row r="592" spans="1:33" ht="15.7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</row>
    <row r="593" spans="1:33" ht="15.7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</row>
    <row r="594" spans="1:33" ht="15.7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</row>
    <row r="595" spans="1:33" ht="15.7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</row>
    <row r="596" spans="1:33" ht="15.7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</row>
    <row r="597" spans="1:33" ht="15.7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</row>
    <row r="598" spans="1:33" ht="15.7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</row>
    <row r="599" spans="1:33" ht="15.7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</row>
    <row r="600" spans="1:33" ht="15.7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</row>
    <row r="601" spans="1:33" ht="15.7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</row>
    <row r="602" spans="1:33" ht="15.7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</row>
    <row r="603" spans="1:33" ht="15.7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</row>
    <row r="604" spans="1:33" ht="15.7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</row>
    <row r="605" spans="1:33" ht="15.7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</row>
    <row r="606" spans="1:33" ht="15.7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</row>
    <row r="607" spans="1:33" ht="15.7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</row>
    <row r="608" spans="1:33" ht="15.7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</row>
    <row r="609" spans="1:33" ht="15.7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</row>
    <row r="610" spans="1:33" ht="15.7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</row>
    <row r="611" spans="1:33" ht="15.7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</row>
    <row r="612" spans="1:33" ht="15.7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</row>
    <row r="613" spans="1:33" ht="15.7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</row>
    <row r="614" spans="1:33" ht="15.7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</row>
    <row r="615" spans="1:33" ht="15.7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</row>
    <row r="616" spans="1:33" ht="15.7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</row>
    <row r="617" spans="1:33" ht="15.7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</row>
    <row r="618" spans="1:33" ht="15.7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</row>
    <row r="619" spans="1:33" ht="15.7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</row>
    <row r="620" spans="1:33" ht="15.7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</row>
    <row r="621" spans="1:33" ht="15.7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</row>
    <row r="622" spans="1:33" ht="15.7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</row>
    <row r="623" spans="1:33" ht="15.7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</row>
    <row r="624" spans="1:33" ht="15.7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</row>
    <row r="625" spans="1:33" ht="15.7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</row>
    <row r="626" spans="1:33" ht="15.7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</row>
    <row r="627" spans="1:33" ht="15.7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</row>
    <row r="628" spans="1:33" ht="15.7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</row>
    <row r="629" spans="1:33" ht="15.7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</row>
    <row r="630" spans="1:33" ht="15.7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</row>
    <row r="631" spans="1:33" ht="15.7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</row>
    <row r="632" spans="1:33" ht="15.7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</row>
    <row r="633" spans="1:33" ht="15.7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</row>
    <row r="634" spans="1:33" ht="15.7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</row>
    <row r="635" spans="1:33" ht="15.7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</row>
    <row r="636" spans="1:33" ht="15.7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</row>
    <row r="637" spans="1:33" ht="15.7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</row>
    <row r="638" spans="1:33" ht="15.7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</row>
    <row r="639" spans="1:33" ht="15.7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</row>
    <row r="640" spans="1:33" ht="15.7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</row>
    <row r="641" spans="1:33" ht="15.7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</row>
    <row r="642" spans="1:33" ht="15.7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</row>
    <row r="643" spans="1:33" ht="15.7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</row>
    <row r="644" spans="1:33" ht="15.7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</row>
    <row r="645" spans="1:33" ht="15.7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</row>
    <row r="646" spans="1:33" ht="15.7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</row>
    <row r="647" spans="1:33" ht="15.7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</row>
    <row r="648" spans="1:33" ht="15.7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</row>
    <row r="649" spans="1:33" ht="15.7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</row>
    <row r="650" spans="1:33" ht="15.7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</row>
    <row r="651" spans="1:33" ht="15.7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</row>
    <row r="652" spans="1:33" ht="15.7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</row>
    <row r="653" spans="1:33" ht="15.7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</row>
    <row r="654" spans="1:33" ht="15.7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</row>
    <row r="655" spans="1:33" ht="15.7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</row>
    <row r="656" spans="1:33" ht="15.7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</row>
    <row r="657" spans="1:33" ht="15.7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</row>
    <row r="658" spans="1:33" ht="15.7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</row>
    <row r="659" spans="1:33" ht="15.7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</row>
    <row r="660" spans="1:33" ht="15.7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</row>
    <row r="661" spans="1:33" ht="15.7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</row>
    <row r="662" spans="1:33" ht="15.7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</row>
    <row r="663" spans="1:33" ht="15.7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</row>
    <row r="664" spans="1:33" ht="15.7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</row>
    <row r="665" spans="1:33" ht="15.7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</row>
    <row r="666" spans="1:33" ht="15.7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</row>
    <row r="667" spans="1:33" ht="15.7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</row>
    <row r="668" spans="1:33" ht="15.7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</row>
    <row r="669" spans="1:33" ht="15.7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</row>
    <row r="670" spans="1:33" ht="15.7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</row>
    <row r="671" spans="1:33" ht="15.7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</row>
    <row r="672" spans="1:33" ht="15.7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</row>
    <row r="673" spans="1:33" ht="15.7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</row>
    <row r="674" spans="1:33" ht="15.7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</row>
    <row r="675" spans="1:33" ht="15.7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</row>
    <row r="676" spans="1:33" ht="15.7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</row>
    <row r="677" spans="1:33" ht="15.7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</row>
    <row r="678" spans="1:33" ht="15.7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</row>
    <row r="679" spans="1:33" ht="15.7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</row>
    <row r="680" spans="1:33" ht="15.7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</row>
    <row r="681" spans="1:33" ht="15.7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</row>
    <row r="682" spans="1:33" ht="15.7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</row>
    <row r="683" spans="1:33" ht="15.7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</row>
    <row r="684" spans="1:33" ht="15.7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</row>
    <row r="685" spans="1:33" ht="15.7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</row>
    <row r="686" spans="1:33" ht="15.7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</row>
    <row r="687" spans="1:33" ht="15.7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</row>
    <row r="688" spans="1:33" ht="15.7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</row>
    <row r="689" spans="1:33" ht="15.7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</row>
    <row r="690" spans="1:33" ht="15.7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</row>
    <row r="691" spans="1:33" ht="15.7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</row>
    <row r="692" spans="1:33" ht="15.7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</row>
    <row r="693" spans="1:33" ht="15.7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</row>
    <row r="694" spans="1:33" ht="15.7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</row>
    <row r="695" spans="1:33" ht="15.7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</row>
    <row r="696" spans="1:33" ht="15.7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</row>
    <row r="697" spans="1:33" ht="15.7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</row>
    <row r="698" spans="1:33" ht="15.7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</row>
    <row r="699" spans="1:33" ht="15.7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</row>
    <row r="700" spans="1:33" ht="15.7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</row>
    <row r="701" spans="1:33" ht="15.7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</row>
    <row r="702" spans="1:33" ht="15.7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</row>
    <row r="703" spans="1:33" ht="15.7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</row>
    <row r="704" spans="1:33" ht="15.7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</row>
    <row r="705" spans="1:33" ht="15.7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</row>
    <row r="706" spans="1:33" ht="15.7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</row>
    <row r="707" spans="1:33" ht="15.7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</row>
    <row r="708" spans="1:33" ht="15.7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</row>
    <row r="709" spans="1:33" ht="15.7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</row>
    <row r="710" spans="1:33" ht="15.7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</row>
    <row r="711" spans="1:33" ht="15.7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</row>
    <row r="712" spans="1:33" ht="15.7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</row>
    <row r="713" spans="1:33" ht="15.7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</row>
    <row r="714" spans="1:33" ht="15.7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</row>
    <row r="715" spans="1:33" ht="15.7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</row>
    <row r="716" spans="1:33" ht="15.7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</row>
    <row r="717" spans="1:33" ht="15.7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</row>
    <row r="718" spans="1:33" ht="15.7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</row>
    <row r="719" spans="1:33" ht="15.7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</row>
    <row r="720" spans="1:33" ht="15.7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</row>
    <row r="721" spans="1:33" ht="15.7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</row>
    <row r="722" spans="1:33" ht="15.7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</row>
    <row r="723" spans="1:33" ht="15.7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</row>
    <row r="724" spans="1:33" ht="15.7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</row>
    <row r="725" spans="1:33" ht="15.7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</row>
    <row r="726" spans="1:33" ht="15.7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</row>
    <row r="727" spans="1:33" ht="15.7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</row>
    <row r="728" spans="1:33" ht="15.7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</row>
    <row r="729" spans="1:33" ht="15.7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</row>
    <row r="730" spans="1:33" ht="15.7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</row>
    <row r="731" spans="1:33" ht="15.7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</row>
    <row r="732" spans="1:33" ht="15.7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</row>
    <row r="733" spans="1:33" ht="15.7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</row>
    <row r="734" spans="1:33" ht="15.7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</row>
    <row r="735" spans="1:33" ht="15.7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</row>
    <row r="736" spans="1:33" ht="15.7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</row>
    <row r="737" spans="1:33" ht="15.7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</row>
    <row r="738" spans="1:33" ht="15.7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</row>
    <row r="739" spans="1:33" ht="15.7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</row>
    <row r="740" spans="1:33" ht="15.7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</row>
    <row r="741" spans="1:33" ht="15.7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</row>
    <row r="742" spans="1:33" ht="15.7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</row>
    <row r="743" spans="1:33" ht="15.7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</row>
    <row r="744" spans="1:33" ht="15.7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</row>
    <row r="745" spans="1:33" ht="15.7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</row>
    <row r="746" spans="1:33" ht="15.7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</row>
    <row r="747" spans="1:33" ht="15.7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</row>
    <row r="748" spans="1:33" ht="15.7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</row>
    <row r="749" spans="1:33" ht="15.7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</row>
    <row r="750" spans="1:33" ht="15.7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</row>
    <row r="751" spans="1:33" ht="15.7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</row>
    <row r="752" spans="1:33" ht="15.7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</row>
    <row r="753" spans="1:33" ht="15.7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</row>
    <row r="754" spans="1:33" ht="15.7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</row>
    <row r="755" spans="1:33" ht="15.7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</row>
    <row r="756" spans="1:33" ht="15.7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</row>
    <row r="757" spans="1:33" ht="15.7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</row>
    <row r="758" spans="1:33" ht="15.7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</row>
    <row r="759" spans="1:33" ht="15.7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</row>
    <row r="760" spans="1:33" ht="15.7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</row>
    <row r="761" spans="1:33" ht="15.7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</row>
    <row r="762" spans="1:33" ht="15.7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</row>
    <row r="763" spans="1:33" ht="15.7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</row>
    <row r="764" spans="1:33" ht="15.7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</row>
    <row r="765" spans="1:33" ht="15.7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</row>
    <row r="766" spans="1:33" ht="15.7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</row>
    <row r="767" spans="1:33" ht="15.7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</row>
    <row r="768" spans="1:33" ht="15.7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</row>
    <row r="769" spans="1:33" ht="15.7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</row>
    <row r="770" spans="1:33" ht="15.7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</row>
    <row r="771" spans="1:33" ht="15.7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</row>
    <row r="772" spans="1:33" ht="15.7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</row>
    <row r="773" spans="1:33" ht="15.7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</row>
    <row r="774" spans="1:33" ht="15.7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</row>
    <row r="775" spans="1:33" ht="15.7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</row>
    <row r="776" spans="1:33" ht="15.7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</row>
    <row r="777" spans="1:33" ht="15.7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</row>
    <row r="778" spans="1:33" ht="15.7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</row>
    <row r="779" spans="1:33" ht="15.7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</row>
    <row r="780" spans="1:33" ht="15.7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</row>
    <row r="781" spans="1:33" ht="15.7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</row>
    <row r="782" spans="1:33" ht="15.7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</row>
    <row r="783" spans="1:33" ht="15.7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</row>
    <row r="784" spans="1:33" ht="15.7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</row>
    <row r="785" spans="1:33" ht="15.7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</row>
    <row r="786" spans="1:33" ht="15.7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</row>
    <row r="787" spans="1:33" ht="15.7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</row>
    <row r="788" spans="1:33" ht="15.7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</row>
    <row r="789" spans="1:33" ht="15.7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</row>
    <row r="790" spans="1:33" ht="15.7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</row>
    <row r="791" spans="1:33" ht="15.7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</row>
    <row r="792" spans="1:33" ht="15.7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</row>
    <row r="793" spans="1:33" ht="15.7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</row>
    <row r="794" spans="1:33" ht="15.7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</row>
    <row r="795" spans="1:33" ht="15.7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</row>
    <row r="796" spans="1:33" ht="15.7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</row>
    <row r="797" spans="1:33" ht="15.7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</row>
    <row r="798" spans="1:33" ht="15.7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</row>
    <row r="799" spans="1:33" ht="15.7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</row>
    <row r="800" spans="1:33" ht="15.7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</row>
    <row r="801" spans="1:33" ht="15.7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</row>
    <row r="802" spans="1:33" ht="15.7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</row>
    <row r="803" spans="1:33" ht="15.7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</row>
    <row r="804" spans="1:33" ht="15.7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</row>
    <row r="805" spans="1:33" ht="15.7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</row>
    <row r="806" spans="1:33" ht="15.7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</row>
    <row r="807" spans="1:33" ht="15.7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</row>
    <row r="808" spans="1:33" ht="15.7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</row>
    <row r="809" spans="1:33" ht="15.7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</row>
    <row r="810" spans="1:33" ht="15.7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</row>
    <row r="811" spans="1:33" ht="15.7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</row>
    <row r="812" spans="1:33" ht="15.7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</row>
    <row r="813" spans="1:33" ht="15.7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</row>
    <row r="814" spans="1:33" ht="15.7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</row>
    <row r="815" spans="1:33" ht="15.7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</row>
    <row r="816" spans="1:33" ht="15.7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</row>
    <row r="817" spans="1:33" ht="15.7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</row>
    <row r="818" spans="1:33" ht="15.7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</row>
    <row r="819" spans="1:33" ht="15.7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</row>
    <row r="820" spans="1:33" ht="15.7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</row>
    <row r="821" spans="1:33" ht="15.7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</row>
    <row r="822" spans="1:33" ht="15.7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</row>
    <row r="823" spans="1:33" ht="15.7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</row>
    <row r="824" spans="1:33" ht="15.7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</row>
    <row r="825" spans="1:33" ht="15.7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</row>
    <row r="826" spans="1:33" ht="15.7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</row>
    <row r="827" spans="1:33" ht="15.7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</row>
    <row r="828" spans="1:33" ht="15.7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</row>
    <row r="829" spans="1:33" ht="15.7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</row>
    <row r="830" spans="1:33" ht="15.7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</row>
    <row r="831" spans="1:33" ht="15.7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</row>
    <row r="832" spans="1:33" ht="15.7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</row>
    <row r="833" spans="1:33" ht="15.7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</row>
    <row r="834" spans="1:33" ht="15.7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</row>
    <row r="835" spans="1:33" ht="15.7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</row>
    <row r="836" spans="1:33" ht="15.7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</row>
    <row r="837" spans="1:33" ht="15.7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</row>
    <row r="838" spans="1:33" ht="15.7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</row>
    <row r="839" spans="1:33" ht="15.7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</row>
    <row r="840" spans="1:33" ht="15.7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</row>
    <row r="841" spans="1:33" ht="15.7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</row>
    <row r="842" spans="1:33" ht="15.7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</row>
    <row r="843" spans="1:33" ht="15.7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</row>
    <row r="844" spans="1:33" ht="15.7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</row>
    <row r="845" spans="1:33" ht="15.7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</row>
    <row r="846" spans="1:33" ht="15.7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</row>
    <row r="847" spans="1:33" ht="15.7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</row>
    <row r="848" spans="1:33" ht="15.7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</row>
    <row r="849" spans="1:33" ht="15.7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</row>
    <row r="850" spans="1:33" ht="15.7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</row>
    <row r="851" spans="1:33" ht="15.7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</row>
    <row r="852" spans="1:33" ht="15.7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</row>
    <row r="853" spans="1:33" ht="15.7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</row>
    <row r="854" spans="1:33" ht="15.7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</row>
    <row r="855" spans="1:33" ht="15.7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</row>
    <row r="856" spans="1:33" ht="15.7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</row>
    <row r="857" spans="1:33" ht="15.7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</row>
    <row r="858" spans="1:33" ht="15.7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</row>
    <row r="859" spans="1:33" ht="15.7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</row>
    <row r="860" spans="1:33" ht="15.7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</row>
    <row r="861" spans="1:33" ht="15.7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</row>
    <row r="862" spans="1:33" ht="15.7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</row>
    <row r="863" spans="1:33" ht="15.7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</row>
    <row r="864" spans="1:33" ht="15.7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</row>
    <row r="865" spans="1:33" ht="15.7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</row>
    <row r="866" spans="1:33" ht="15.7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</row>
    <row r="867" spans="1:33" ht="15.7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</row>
    <row r="868" spans="1:33" ht="15.7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</row>
    <row r="869" spans="1:33" ht="15.7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</row>
    <row r="870" spans="1:33" ht="15.7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</row>
    <row r="871" spans="1:33" ht="15.7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</row>
    <row r="872" spans="1:33" ht="15.7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</row>
    <row r="873" spans="1:33" ht="15.7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</row>
    <row r="874" spans="1:33" ht="15.7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</row>
    <row r="875" spans="1:33" ht="15.7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</row>
    <row r="876" spans="1:33" ht="15.7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</row>
    <row r="877" spans="1:33" ht="15.7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</row>
    <row r="878" spans="1:33" ht="15.7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</row>
    <row r="879" spans="1:33" ht="15.7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</row>
    <row r="880" spans="1:33" ht="15.7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</row>
    <row r="881" spans="1:33" ht="15.7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</row>
    <row r="882" spans="1:33" ht="15.7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</row>
    <row r="883" spans="1:33" ht="15.7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</row>
    <row r="884" spans="1:33" ht="15.7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</row>
    <row r="885" spans="1:33" ht="15.7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</row>
    <row r="886" spans="1:33" ht="15.7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</row>
    <row r="887" spans="1:33" ht="15.7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</row>
    <row r="888" spans="1:33" ht="15.7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</row>
    <row r="889" spans="1:33" ht="15.7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</row>
    <row r="890" spans="1:33" ht="15.7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</row>
    <row r="891" spans="1:33" ht="15.7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</row>
    <row r="892" spans="1:33" ht="15.7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</row>
    <row r="893" spans="1:33" ht="15.7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</row>
    <row r="894" spans="1:33" ht="15.7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</row>
    <row r="895" spans="1:33" ht="15.7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</row>
    <row r="896" spans="1:33" ht="15.7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</row>
    <row r="897" spans="1:33" ht="15.7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</row>
    <row r="898" spans="1:33" ht="15.7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</row>
    <row r="899" spans="1:33" ht="15.7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</row>
    <row r="900" spans="1:33" ht="15.7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</row>
    <row r="901" spans="1:33" ht="15.7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</row>
    <row r="902" spans="1:33" ht="15.7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</row>
    <row r="903" spans="1:33" ht="15.7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</row>
    <row r="904" spans="1:33" ht="15.7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</row>
    <row r="905" spans="1:33" ht="15.7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</row>
    <row r="906" spans="1:33" ht="15.7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</row>
    <row r="907" spans="1:33" ht="15.7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</row>
    <row r="908" spans="1:33" ht="15.7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</row>
    <row r="909" spans="1:33" ht="15.7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</row>
    <row r="910" spans="1:33" ht="15.7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</row>
    <row r="911" spans="1:33" ht="15.7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</row>
    <row r="912" spans="1:33" ht="15.7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</row>
    <row r="913" spans="1:33" ht="15.7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</row>
    <row r="914" spans="1:33" ht="15.7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</row>
    <row r="915" spans="1:33" ht="15.7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</row>
    <row r="916" spans="1:33" ht="15.7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</row>
    <row r="917" spans="1:33" ht="15.7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</row>
    <row r="918" spans="1:33" ht="15.7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</row>
    <row r="919" spans="1:33" ht="15.7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</row>
    <row r="920" spans="1:33" ht="15.7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</row>
    <row r="921" spans="1:33" ht="15.7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</row>
    <row r="922" spans="1:33" ht="15.7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</row>
    <row r="923" spans="1:33" ht="15.7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</row>
    <row r="924" spans="1:33" ht="15.7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</row>
    <row r="925" spans="1:33" ht="15.7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</row>
    <row r="926" spans="1:33" ht="15.7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</row>
    <row r="927" spans="1:33" ht="15.7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</row>
    <row r="928" spans="1:33" ht="15.7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</row>
    <row r="929" spans="1:33" ht="15.7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</row>
    <row r="930" spans="1:33" ht="15.7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</row>
    <row r="931" spans="1:33" ht="15.7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</row>
    <row r="932" spans="1:33" ht="15.7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</row>
    <row r="933" spans="1:33" ht="15.7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</row>
    <row r="934" spans="1:33" ht="15.7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</row>
    <row r="935" spans="1:33" ht="15.7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</row>
    <row r="936" spans="1:33" ht="15.7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</row>
    <row r="937" spans="1:33" ht="15.7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</row>
    <row r="938" spans="1:33" ht="15.7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</row>
    <row r="939" spans="1:33" ht="15.7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</row>
    <row r="940" spans="1:33" ht="15.7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</row>
    <row r="941" spans="1:33" ht="15.7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</row>
    <row r="942" spans="1:33" ht="15.7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</row>
    <row r="943" spans="1:33" ht="15.7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</row>
    <row r="944" spans="1:33" ht="15.7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</row>
    <row r="945" spans="1:33" ht="15.7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</row>
    <row r="946" spans="1:33" ht="15.7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</row>
    <row r="947" spans="1:33" ht="15.7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</row>
    <row r="948" spans="1:33" ht="15.7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</row>
    <row r="949" spans="1:33" ht="15.7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</row>
    <row r="950" spans="1:33" ht="15.7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</row>
    <row r="951" spans="1:33" ht="15.7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</row>
    <row r="952" spans="1:33" ht="15.7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</row>
    <row r="953" spans="1:33" ht="15.7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</row>
    <row r="954" spans="1:33" ht="15.7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</row>
    <row r="955" spans="1:33" ht="15.7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</row>
    <row r="956" spans="1:33" ht="15.7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</row>
    <row r="957" spans="1:33" ht="15.7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</row>
    <row r="958" spans="1:33" ht="15.7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</row>
    <row r="959" spans="1:33" ht="15.7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</row>
    <row r="960" spans="1:33" ht="15.7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</row>
    <row r="961" spans="1:33" ht="15.7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</row>
    <row r="962" spans="1:33" ht="15.7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</row>
    <row r="963" spans="1:33" ht="15.7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</row>
    <row r="964" spans="1:33" ht="15.7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</row>
    <row r="965" spans="1:33" ht="15.7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</row>
    <row r="966" spans="1:33" ht="15.7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</row>
    <row r="967" spans="1:33" ht="15.7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</row>
    <row r="968" spans="1:33" ht="15.7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</row>
    <row r="969" spans="1:33" ht="15.7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</row>
    <row r="970" spans="1:33" ht="15.7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</row>
    <row r="971" spans="1:33" ht="15.7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</row>
    <row r="972" spans="1:33" ht="15.7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</row>
    <row r="973" spans="1:33" ht="15.7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</row>
    <row r="974" spans="1:33" ht="15.7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</row>
    <row r="975" spans="1:33" ht="15.7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</row>
    <row r="976" spans="1:33" ht="15.7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</row>
    <row r="977" spans="1:33" ht="15.7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</row>
    <row r="978" spans="1:33" ht="15.7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</row>
    <row r="979" spans="1:33" ht="15.7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</row>
    <row r="980" spans="1:33" ht="15.7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</row>
    <row r="981" spans="1:33" ht="15.7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</row>
    <row r="982" spans="1:33" ht="15.7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</row>
    <row r="983" spans="1:33" ht="15.7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</row>
    <row r="984" spans="1:33" ht="15.7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</row>
    <row r="985" spans="1:33" ht="15.7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</row>
    <row r="986" spans="1:33" ht="15.7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</row>
    <row r="987" spans="1:33" ht="15.7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</row>
    <row r="988" spans="1:33" ht="15.7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</row>
    <row r="989" spans="1:33" ht="15.7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</row>
    <row r="990" spans="1:33" ht="15.7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</row>
    <row r="991" spans="1:33" ht="15.7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</row>
    <row r="992" spans="1:33" ht="15.7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</row>
    <row r="993" spans="1:33" ht="15.7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</row>
    <row r="994" spans="1:33" ht="15.7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</row>
    <row r="995" spans="1:33" ht="15.7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</row>
    <row r="996" spans="1:33" ht="15.7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</row>
    <row r="997" spans="1:33" ht="15.7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</row>
    <row r="998" spans="1:33" ht="15.7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</row>
    <row r="999" spans="1:33" ht="15.7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</row>
    <row r="1000" spans="1:33" ht="15.75" customHeight="1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</row>
  </sheetData>
  <mergeCells count="6">
    <mergeCell ref="G64:H64"/>
    <mergeCell ref="G24:H24"/>
    <mergeCell ref="J24:L24"/>
    <mergeCell ref="N24:O24"/>
    <mergeCell ref="G44:H44"/>
    <mergeCell ref="J44:K44"/>
  </mergeCells>
  <conditionalFormatting sqref="N26:O42">
    <cfRule type="expression" dxfId="2" priority="1">
      <formula>ABS(N26)&gt;=10%</formula>
    </cfRule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182</vt:i4>
      </vt:variant>
    </vt:vector>
  </HeadingPairs>
  <TitlesOfParts>
    <vt:vector size="195" baseType="lpstr">
      <vt:lpstr>Flujos</vt:lpstr>
      <vt:lpstr>Reporte </vt:lpstr>
      <vt:lpstr>Formato Balance</vt:lpstr>
      <vt:lpstr>Datos Extra</vt:lpstr>
      <vt:lpstr>Utilidad</vt:lpstr>
      <vt:lpstr>Info Planta</vt:lpstr>
      <vt:lpstr>Calc Nodos</vt:lpstr>
      <vt:lpstr>Bal AL FeT</vt:lpstr>
      <vt:lpstr>Bal AL FeMag</vt:lpstr>
      <vt:lpstr>Diag Bal AL FeT</vt:lpstr>
      <vt:lpstr>Diag ML FeT</vt:lpstr>
      <vt:lpstr>Bal ML FeT</vt:lpstr>
      <vt:lpstr>Bal ML FeMag</vt:lpstr>
      <vt:lpstr>'Bal AL FeMag'!solver_adj</vt:lpstr>
      <vt:lpstr>'Bal AL FeT'!solver_adj</vt:lpstr>
      <vt:lpstr>'Bal ML FeMag'!solver_adj</vt:lpstr>
      <vt:lpstr>'Bal ML FeT'!solver_adj</vt:lpstr>
      <vt:lpstr>'Bal AL FeMag'!solver_lhs1</vt:lpstr>
      <vt:lpstr>'Bal AL FeT'!solver_lhs1</vt:lpstr>
      <vt:lpstr>'Bal ML FeMag'!solver_lhs1</vt:lpstr>
      <vt:lpstr>'Bal ML FeT'!solver_lhs1</vt:lpstr>
      <vt:lpstr>'Bal AL FeMag'!solver_lhs10</vt:lpstr>
      <vt:lpstr>'Bal AL FeT'!solver_lhs10</vt:lpstr>
      <vt:lpstr>'Bal ML FeMag'!solver_lhs10</vt:lpstr>
      <vt:lpstr>'Bal ML FeT'!solver_lhs10</vt:lpstr>
      <vt:lpstr>'Bal AL FeMag'!solver_lhs11</vt:lpstr>
      <vt:lpstr>'Bal AL FeT'!solver_lhs11</vt:lpstr>
      <vt:lpstr>'Bal ML FeMag'!solver_lhs11</vt:lpstr>
      <vt:lpstr>'Bal ML FeT'!solver_lhs11</vt:lpstr>
      <vt:lpstr>'Bal AL FeMag'!solver_lhs12</vt:lpstr>
      <vt:lpstr>'Bal AL FeT'!solver_lhs12</vt:lpstr>
      <vt:lpstr>'Bal ML FeMag'!solver_lhs12</vt:lpstr>
      <vt:lpstr>'Bal ML FeT'!solver_lhs12</vt:lpstr>
      <vt:lpstr>'Bal AL FeMag'!solver_lhs13</vt:lpstr>
      <vt:lpstr>'Bal AL FeT'!solver_lhs13</vt:lpstr>
      <vt:lpstr>'Bal ML FeMag'!solver_lhs13</vt:lpstr>
      <vt:lpstr>'Bal ML FeT'!solver_lhs13</vt:lpstr>
      <vt:lpstr>'Bal AL FeMag'!solver_lhs14</vt:lpstr>
      <vt:lpstr>'Bal AL FeT'!solver_lhs14</vt:lpstr>
      <vt:lpstr>'Bal ML FeMag'!solver_lhs14</vt:lpstr>
      <vt:lpstr>'Bal ML FeT'!solver_lhs14</vt:lpstr>
      <vt:lpstr>'Bal AL FeMag'!solver_lhs15</vt:lpstr>
      <vt:lpstr>'Bal AL FeT'!solver_lhs15</vt:lpstr>
      <vt:lpstr>'Bal ML FeMag'!solver_lhs15</vt:lpstr>
      <vt:lpstr>'Bal ML FeT'!solver_lhs15</vt:lpstr>
      <vt:lpstr>'Bal AL FeMag'!solver_lhs16</vt:lpstr>
      <vt:lpstr>'Bal AL FeT'!solver_lhs16</vt:lpstr>
      <vt:lpstr>'Bal ML FeMag'!solver_lhs16</vt:lpstr>
      <vt:lpstr>'Bal ML FeT'!solver_lhs16</vt:lpstr>
      <vt:lpstr>'Bal AL FeMag'!solver_lhs17</vt:lpstr>
      <vt:lpstr>'Bal AL FeT'!solver_lhs17</vt:lpstr>
      <vt:lpstr>'Bal ML FeMag'!solver_lhs17</vt:lpstr>
      <vt:lpstr>'Bal ML FeT'!solver_lhs17</vt:lpstr>
      <vt:lpstr>'Bal AL FeMag'!solver_lhs18</vt:lpstr>
      <vt:lpstr>'Bal AL FeT'!solver_lhs18</vt:lpstr>
      <vt:lpstr>'Bal ML FeT'!solver_lhs18</vt:lpstr>
      <vt:lpstr>'Bal AL FeMag'!solver_lhs19</vt:lpstr>
      <vt:lpstr>'Bal AL FeT'!solver_lhs19</vt:lpstr>
      <vt:lpstr>'Bal ML FeT'!solver_lhs19</vt:lpstr>
      <vt:lpstr>'Bal AL FeMag'!solver_lhs2</vt:lpstr>
      <vt:lpstr>'Bal AL FeT'!solver_lhs2</vt:lpstr>
      <vt:lpstr>'Bal ML FeMag'!solver_lhs2</vt:lpstr>
      <vt:lpstr>'Bal ML FeT'!solver_lhs2</vt:lpstr>
      <vt:lpstr>'Bal AL FeMag'!solver_lhs20</vt:lpstr>
      <vt:lpstr>'Bal AL FeT'!solver_lhs20</vt:lpstr>
      <vt:lpstr>'Bal ML FeT'!solver_lhs20</vt:lpstr>
      <vt:lpstr>'Bal AL FeMag'!solver_lhs21</vt:lpstr>
      <vt:lpstr>'Bal AL FeT'!solver_lhs21</vt:lpstr>
      <vt:lpstr>'Bal ML FeT'!solver_lhs21</vt:lpstr>
      <vt:lpstr>'Bal AL FeMag'!solver_lhs22</vt:lpstr>
      <vt:lpstr>'Bal AL FeT'!solver_lhs22</vt:lpstr>
      <vt:lpstr>'Bal ML FeT'!solver_lhs22</vt:lpstr>
      <vt:lpstr>'Bal AL FeMag'!solver_lhs23</vt:lpstr>
      <vt:lpstr>'Bal AL FeT'!solver_lhs23</vt:lpstr>
      <vt:lpstr>'Bal ML FeT'!solver_lhs23</vt:lpstr>
      <vt:lpstr>'Bal AL FeMag'!solver_lhs24</vt:lpstr>
      <vt:lpstr>'Bal AL FeT'!solver_lhs24</vt:lpstr>
      <vt:lpstr>'Bal ML FeT'!solver_lhs24</vt:lpstr>
      <vt:lpstr>'Bal AL FeMag'!solver_lhs25</vt:lpstr>
      <vt:lpstr>'Bal AL FeT'!solver_lhs25</vt:lpstr>
      <vt:lpstr>'Bal ML FeT'!solver_lhs25</vt:lpstr>
      <vt:lpstr>'Bal AL FeMag'!solver_lhs26</vt:lpstr>
      <vt:lpstr>'Bal AL FeT'!solver_lhs26</vt:lpstr>
      <vt:lpstr>'Bal ML FeT'!solver_lhs26</vt:lpstr>
      <vt:lpstr>'Bal AL FeMag'!solver_lhs27</vt:lpstr>
      <vt:lpstr>'Bal AL FeT'!solver_lhs27</vt:lpstr>
      <vt:lpstr>'Bal AL FeT'!solver_lhs28</vt:lpstr>
      <vt:lpstr>'Bal AL FeT'!solver_lhs29</vt:lpstr>
      <vt:lpstr>'Bal AL FeMag'!solver_lhs3</vt:lpstr>
      <vt:lpstr>'Bal AL FeT'!solver_lhs3</vt:lpstr>
      <vt:lpstr>'Bal ML FeMag'!solver_lhs3</vt:lpstr>
      <vt:lpstr>'Bal ML FeT'!solver_lhs3</vt:lpstr>
      <vt:lpstr>'Bal AL FeT'!solver_lhs30</vt:lpstr>
      <vt:lpstr>'Bal AL FeT'!solver_lhs31</vt:lpstr>
      <vt:lpstr>'Bal AL FeT'!solver_lhs32</vt:lpstr>
      <vt:lpstr>'Bal AL FeT'!solver_lhs33</vt:lpstr>
      <vt:lpstr>'Bal AL FeT'!solver_lhs34</vt:lpstr>
      <vt:lpstr>'Bal AL FeT'!solver_lhs35</vt:lpstr>
      <vt:lpstr>'Bal AL FeMag'!solver_lhs4</vt:lpstr>
      <vt:lpstr>'Bal AL FeT'!solver_lhs4</vt:lpstr>
      <vt:lpstr>'Bal ML FeMag'!solver_lhs4</vt:lpstr>
      <vt:lpstr>'Bal ML FeT'!solver_lhs4</vt:lpstr>
      <vt:lpstr>'Bal AL FeMag'!solver_lhs5</vt:lpstr>
      <vt:lpstr>'Bal AL FeT'!solver_lhs5</vt:lpstr>
      <vt:lpstr>'Bal ML FeMag'!solver_lhs5</vt:lpstr>
      <vt:lpstr>'Bal ML FeT'!solver_lhs5</vt:lpstr>
      <vt:lpstr>'Bal AL FeMag'!solver_lhs6</vt:lpstr>
      <vt:lpstr>'Bal AL FeT'!solver_lhs6</vt:lpstr>
      <vt:lpstr>'Bal ML FeMag'!solver_lhs6</vt:lpstr>
      <vt:lpstr>'Bal ML FeT'!solver_lhs6</vt:lpstr>
      <vt:lpstr>'Bal AL FeMag'!solver_lhs7</vt:lpstr>
      <vt:lpstr>'Bal AL FeT'!solver_lhs7</vt:lpstr>
      <vt:lpstr>'Bal ML FeMag'!solver_lhs7</vt:lpstr>
      <vt:lpstr>'Bal ML FeT'!solver_lhs7</vt:lpstr>
      <vt:lpstr>'Bal AL FeMag'!solver_lhs8</vt:lpstr>
      <vt:lpstr>'Bal AL FeT'!solver_lhs8</vt:lpstr>
      <vt:lpstr>'Bal ML FeMag'!solver_lhs8</vt:lpstr>
      <vt:lpstr>'Bal ML FeT'!solver_lhs8</vt:lpstr>
      <vt:lpstr>'Bal AL FeMag'!solver_lhs9</vt:lpstr>
      <vt:lpstr>'Bal AL FeT'!solver_lhs9</vt:lpstr>
      <vt:lpstr>'Bal ML FeMag'!solver_lhs9</vt:lpstr>
      <vt:lpstr>'Bal ML FeT'!solver_lhs9</vt:lpstr>
      <vt:lpstr>'Bal AL FeMag'!solver_opt</vt:lpstr>
      <vt:lpstr>'Bal AL FeT'!solver_opt</vt:lpstr>
      <vt:lpstr>'Bal ML FeMag'!solver_opt</vt:lpstr>
      <vt:lpstr>'Bal ML FeT'!solver_opt</vt:lpstr>
      <vt:lpstr>'Bal AL FeMag'!solver_rhs1</vt:lpstr>
      <vt:lpstr>'Bal AL FeT'!solver_rhs1</vt:lpstr>
      <vt:lpstr>'Bal ML FeMag'!solver_rhs1</vt:lpstr>
      <vt:lpstr>'Bal AL FeMag'!solver_rhs10</vt:lpstr>
      <vt:lpstr>'Bal ML FeT'!solver_rhs10</vt:lpstr>
      <vt:lpstr>'Bal AL FeMag'!solver_rhs11</vt:lpstr>
      <vt:lpstr>'Bal AL FeMag'!solver_rhs12</vt:lpstr>
      <vt:lpstr>'Bal AL FeMag'!solver_rhs13</vt:lpstr>
      <vt:lpstr>'Bal ML FeT'!solver_rhs13</vt:lpstr>
      <vt:lpstr>'Bal AL FeMag'!solver_rhs14</vt:lpstr>
      <vt:lpstr>'Bal ML FeT'!solver_rhs14</vt:lpstr>
      <vt:lpstr>'Bal AL FeT'!solver_rhs15</vt:lpstr>
      <vt:lpstr>'Bal ML FeMag'!solver_rhs15</vt:lpstr>
      <vt:lpstr>'Bal ML FeT'!solver_rhs15</vt:lpstr>
      <vt:lpstr>'Bal AL FeT'!solver_rhs16</vt:lpstr>
      <vt:lpstr>'Bal ML FeMag'!solver_rhs16</vt:lpstr>
      <vt:lpstr>'Bal ML FeT'!solver_rhs16</vt:lpstr>
      <vt:lpstr>'Bal AL FeMag'!solver_rhs17</vt:lpstr>
      <vt:lpstr>'Bal ML FeMag'!solver_rhs17</vt:lpstr>
      <vt:lpstr>'Bal ML FeT'!solver_rhs17</vt:lpstr>
      <vt:lpstr>'Bal ML FeT'!solver_rhs18</vt:lpstr>
      <vt:lpstr>'Bal ML FeT'!solver_rhs19</vt:lpstr>
      <vt:lpstr>'Bal AL FeMag'!solver_rhs2</vt:lpstr>
      <vt:lpstr>'Bal AL FeT'!solver_rhs2</vt:lpstr>
      <vt:lpstr>'Bal ML FeMag'!solver_rhs2</vt:lpstr>
      <vt:lpstr>'Bal AL FeMag'!solver_rhs20</vt:lpstr>
      <vt:lpstr>'Bal ML FeT'!solver_rhs20</vt:lpstr>
      <vt:lpstr>'Bal AL FeMag'!solver_rhs21</vt:lpstr>
      <vt:lpstr>'Bal AL FeT'!solver_rhs21</vt:lpstr>
      <vt:lpstr>'Bal ML FeT'!solver_rhs21</vt:lpstr>
      <vt:lpstr>'Bal AL FeT'!solver_rhs22</vt:lpstr>
      <vt:lpstr>'Bal ML FeT'!solver_rhs22</vt:lpstr>
      <vt:lpstr>'Bal AL FeT'!solver_rhs23</vt:lpstr>
      <vt:lpstr>'Bal ML FeT'!solver_rhs23</vt:lpstr>
      <vt:lpstr>'Bal AL FeT'!solver_rhs24</vt:lpstr>
      <vt:lpstr>'Bal ML FeT'!solver_rhs24</vt:lpstr>
      <vt:lpstr>'Bal AL FeT'!solver_rhs25</vt:lpstr>
      <vt:lpstr>'Bal ML FeT'!solver_rhs25</vt:lpstr>
      <vt:lpstr>'Bal AL FeT'!solver_rhs26</vt:lpstr>
      <vt:lpstr>'Bal ML FeT'!solver_rhs26</vt:lpstr>
      <vt:lpstr>'Bal AL FeT'!solver_rhs27</vt:lpstr>
      <vt:lpstr>'Bal AL FeT'!solver_rhs28</vt:lpstr>
      <vt:lpstr>'Bal AL FeT'!solver_rhs29</vt:lpstr>
      <vt:lpstr>'Bal AL FeMag'!solver_rhs3</vt:lpstr>
      <vt:lpstr>'Bal AL FeT'!solver_rhs3</vt:lpstr>
      <vt:lpstr>'Bal ML FeMag'!solver_rhs3</vt:lpstr>
      <vt:lpstr>'Bal AL FeT'!solver_rhs30</vt:lpstr>
      <vt:lpstr>'Bal AL FeT'!solver_rhs31</vt:lpstr>
      <vt:lpstr>'Bal AL FeT'!solver_rhs32</vt:lpstr>
      <vt:lpstr>'Bal AL FeT'!solver_rhs33</vt:lpstr>
      <vt:lpstr>'Bal AL FeT'!solver_rhs34</vt:lpstr>
      <vt:lpstr>'Bal AL FeT'!solver_rhs35</vt:lpstr>
      <vt:lpstr>'Bal AL FeMag'!solver_rhs4</vt:lpstr>
      <vt:lpstr>'Bal AL FeT'!solver_rhs4</vt:lpstr>
      <vt:lpstr>'Bal ML FeMag'!solver_rhs4</vt:lpstr>
      <vt:lpstr>'Bal AL FeMag'!solver_rhs5</vt:lpstr>
      <vt:lpstr>'Bal AL FeT'!solver_rhs5</vt:lpstr>
      <vt:lpstr>'Bal ML FeMag'!solver_rhs5</vt:lpstr>
      <vt:lpstr>'Bal AL FeMag'!solver_rhs6</vt:lpstr>
      <vt:lpstr>'Bal AL FeT'!solver_rhs6</vt:lpstr>
      <vt:lpstr>'Bal ML FeMag'!solver_rhs6</vt:lpstr>
      <vt:lpstr>'Bal ML FeT'!solver_rhs6</vt:lpstr>
      <vt:lpstr>'Bal AL FeMag'!solver_rhs7</vt:lpstr>
      <vt:lpstr>'Bal AL FeT'!solver_rhs7</vt:lpstr>
      <vt:lpstr>'Bal ML FeT'!solver_rhs7</vt:lpstr>
      <vt:lpstr>'Bal AL FeMag'!solver_rhs8</vt:lpstr>
      <vt:lpstr>'Bal AL FeT'!solver_rhs8</vt:lpstr>
      <vt:lpstr>'Bal ML FeT'!solver_rhs8</vt:lpstr>
      <vt:lpstr>'Bal AL FeMag'!solver_rhs9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Arru</dc:creator>
  <cp:lastModifiedBy>Fernando</cp:lastModifiedBy>
  <cp:lastPrinted>2023-07-18T18:58:29Z</cp:lastPrinted>
  <dcterms:created xsi:type="dcterms:W3CDTF">2021-11-09T13:13:40Z</dcterms:created>
  <dcterms:modified xsi:type="dcterms:W3CDTF">2023-07-31T23:34:57Z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0x0101000CC59CB2EA37F44288B1E4A375C8655B</vt:lpwstr>
  </property>
</Properties>
</file>