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13_ncr:1_{781A0B97-BFA2-A840-AC32-85ED543EE665}" xr6:coauthVersionLast="47" xr6:coauthVersionMax="47" xr10:uidLastSave="{00000000-0000-0000-0000-000000000000}"/>
  <bookViews>
    <workbookView xWindow="780" yWindow="460" windowWidth="28020" windowHeight="17540" xr2:uid="{00000000-000D-0000-FFFF-FFFF00000000}"/>
  </bookViews>
  <sheets>
    <sheet name="Flujos" sheetId="1" r:id="rId1"/>
    <sheet name="Reporte " sheetId="2" r:id="rId2"/>
    <sheet name="Datos Extra" sheetId="3" r:id="rId3"/>
    <sheet name="Utilidad" sheetId="4" state="hidden" r:id="rId4"/>
    <sheet name="Info Planta" sheetId="5" state="hidden" r:id="rId5"/>
    <sheet name="Calc Nodos" sheetId="6" state="hidden" r:id="rId6"/>
    <sheet name="Bal AL FeT" sheetId="7" state="hidden" r:id="rId7"/>
    <sheet name="Bal AL FeMag" sheetId="8" state="hidden" r:id="rId8"/>
    <sheet name="Diag Bal AL FeT" sheetId="9" r:id="rId9"/>
    <sheet name="Diag ML FeT" sheetId="10" r:id="rId10"/>
    <sheet name="Bal ML FeT" sheetId="11" state="hidden" r:id="rId11"/>
    <sheet name="Bal ML FeMag" sheetId="12" state="hidden" r:id="rId12"/>
  </sheets>
  <definedNames>
    <definedName name="solver_adj" localSheetId="7">'Bal AL FeMag'!$K$26:$K$42</definedName>
    <definedName name="solver_adj" localSheetId="6">'Bal AL FeT'!$J$26:$K$42</definedName>
    <definedName name="solver_adj" localSheetId="11">'Bal ML FeMag'!$K$20:$K$30</definedName>
    <definedName name="solver_adj" localSheetId="10">'Bal ML FeT'!$J$20:$K$30</definedName>
    <definedName name="solver_cvg" localSheetId="6">0.0001</definedName>
    <definedName name="solver_cvg" localSheetId="11">0.0001</definedName>
    <definedName name="solver_cvg" localSheetId="10">0.0001</definedName>
    <definedName name="solver_cvg" localSheetId="5">0.0001</definedName>
    <definedName name="solver_drv" localSheetId="6">1</definedName>
    <definedName name="solver_drv" localSheetId="11">2</definedName>
    <definedName name="solver_drv" localSheetId="10">2</definedName>
    <definedName name="solver_drv" localSheetId="5">1</definedName>
    <definedName name="solver_eng" localSheetId="6">1</definedName>
    <definedName name="solver_eng" localSheetId="11">1</definedName>
    <definedName name="solver_eng" localSheetId="10">1</definedName>
    <definedName name="solver_eng" localSheetId="5">1</definedName>
    <definedName name="solver_est" localSheetId="6">1</definedName>
    <definedName name="solver_est" localSheetId="11">1</definedName>
    <definedName name="solver_est" localSheetId="10">1</definedName>
    <definedName name="solver_est" localSheetId="5">1</definedName>
    <definedName name="solver_itr" localSheetId="6">2147483647</definedName>
    <definedName name="solver_itr" localSheetId="11">2147483647</definedName>
    <definedName name="solver_itr" localSheetId="10">2147483647</definedName>
    <definedName name="solver_itr" localSheetId="5">2147483647</definedName>
    <definedName name="solver_lhs1" localSheetId="7">'Bal AL FeMag'!$P$29</definedName>
    <definedName name="solver_lhs1" localSheetId="6">'Bal AL FeT'!$P$32</definedName>
    <definedName name="solver_lhs1" localSheetId="11">'Bal ML FeMag'!$R$22</definedName>
    <definedName name="solver_lhs1" localSheetId="10">'Bal ML FeT'!$W$21</definedName>
    <definedName name="solver_lhs10" localSheetId="7">'Bal AL FeMag'!$R$28</definedName>
    <definedName name="solver_lhs10" localSheetId="6">'Bal AL FeT'!$W$37</definedName>
    <definedName name="solver_lhs10" localSheetId="11">'Bal ML FeMag'!$V$22</definedName>
    <definedName name="solver_lhs10" localSheetId="10">'Bal ML FeT'!$R$30</definedName>
    <definedName name="solver_lhs11" localSheetId="7">'Bal AL FeMag'!$R$29</definedName>
    <definedName name="solver_lhs11" localSheetId="6">'Bal AL FeT'!$W$33</definedName>
    <definedName name="solver_lhs11" localSheetId="11">'Bal ML FeMag'!$V$21</definedName>
    <definedName name="solver_lhs11" localSheetId="10">'Bal ML FeT'!$V$20</definedName>
    <definedName name="solver_lhs12" localSheetId="7">'Bal AL FeMag'!$R$40</definedName>
    <definedName name="solver_lhs12" localSheetId="6">'Bal AL FeT'!$V$36</definedName>
    <definedName name="solver_lhs12" localSheetId="11">'Bal ML FeMag'!$W$19</definedName>
    <definedName name="solver_lhs12" localSheetId="10">'Bal ML FeT'!$V$19</definedName>
    <definedName name="solver_lhs13" localSheetId="7">'Bal AL FeMag'!$R$32</definedName>
    <definedName name="solver_lhs13" localSheetId="6">'Bal AL FeT'!$W$36</definedName>
    <definedName name="solver_lhs13" localSheetId="11">'Bal ML FeMag'!$V$20</definedName>
    <definedName name="solver_lhs13" localSheetId="10">'Bal ML FeT'!$R$25</definedName>
    <definedName name="solver_lhs14" localSheetId="7">'Bal AL FeMag'!$R$42</definedName>
    <definedName name="solver_lhs14" localSheetId="6">'Bal AL FeT'!$W$35</definedName>
    <definedName name="solver_lhs14" localSheetId="11">'Bal ML FeMag'!$W$20</definedName>
    <definedName name="solver_lhs14" localSheetId="10">'Bal ML FeT'!$R$23</definedName>
    <definedName name="solver_lhs15" localSheetId="7">'Bal AL FeMag'!$V$35</definedName>
    <definedName name="solver_lhs15" localSheetId="6">'Bal AL FeT'!$R$37</definedName>
    <definedName name="solver_lhs15" localSheetId="11">'Bal ML FeMag'!$R$20</definedName>
    <definedName name="solver_lhs15" localSheetId="10">'Bal ML FeT'!$R$21</definedName>
    <definedName name="solver_lhs16" localSheetId="7">'Bal AL FeMag'!$V$34</definedName>
    <definedName name="solver_lhs16" localSheetId="6">'Bal AL FeT'!$R$41</definedName>
    <definedName name="solver_lhs16" localSheetId="11">'Bal ML FeMag'!$R$29</definedName>
    <definedName name="solver_lhs16" localSheetId="10">'Bal ML FeT'!$R$22</definedName>
    <definedName name="solver_lhs17" localSheetId="7">'Bal AL FeMag'!$R$30</definedName>
    <definedName name="solver_lhs17" localSheetId="6">'Bal AL FeT'!$V$35</definedName>
    <definedName name="solver_lhs17" localSheetId="11">'Bal ML FeMag'!$R$28</definedName>
    <definedName name="solver_lhs17" localSheetId="10">'Bal ML FeT'!$P$30</definedName>
    <definedName name="solver_lhs18" localSheetId="7">'Bal AL FeMag'!$V$36</definedName>
    <definedName name="solver_lhs18" localSheetId="6">'Bal AL FeT'!$V$33</definedName>
    <definedName name="solver_lhs18" localSheetId="10">'Bal ML FeT'!$R$20</definedName>
    <definedName name="solver_lhs19" localSheetId="7">'Bal AL FeMag'!$V$33</definedName>
    <definedName name="solver_lhs19" localSheetId="6">'Bal AL FeT'!$V$34</definedName>
    <definedName name="solver_lhs19" localSheetId="10">'Bal ML FeT'!$P$29</definedName>
    <definedName name="solver_lhs2" localSheetId="7">'Bal AL FeMag'!$P$32</definedName>
    <definedName name="solver_lhs2" localSheetId="6">'Bal AL FeT'!$P$27</definedName>
    <definedName name="solver_lhs2" localSheetId="11">'Bal ML FeMag'!$R$24</definedName>
    <definedName name="solver_lhs2" localSheetId="10">'Bal ML FeT'!$W$20</definedName>
    <definedName name="solver_lhs20" localSheetId="7">'Bal AL FeMag'!$R$33</definedName>
    <definedName name="solver_lhs20" localSheetId="6">'Bal AL FeT'!$W$34</definedName>
    <definedName name="solver_lhs20" localSheetId="10">'Bal ML FeT'!$P$28</definedName>
    <definedName name="solver_lhs21" localSheetId="7">'Bal AL FeMag'!$P$25</definedName>
    <definedName name="solver_lhs21" localSheetId="6">'Bal AL FeT'!$R$42</definedName>
    <definedName name="solver_lhs21" localSheetId="10">'Bal ML FeT'!$P$27</definedName>
    <definedName name="solver_lhs22" localSheetId="7">'Bal AL FeMag'!$W$33</definedName>
    <definedName name="solver_lhs22" localSheetId="6">'Bal AL FeT'!$R$38</definedName>
    <definedName name="solver_lhs22" localSheetId="10">'Bal ML FeT'!$P$25</definedName>
    <definedName name="solver_lhs23" localSheetId="7">'Bal AL FeMag'!$V$37</definedName>
    <definedName name="solver_lhs23" localSheetId="6">'Bal AL FeT'!$R$40</definedName>
    <definedName name="solver_lhs23" localSheetId="10">'Bal ML FeT'!$P$24</definedName>
    <definedName name="solver_lhs24" localSheetId="7">'Bal AL FeMag'!$W$34</definedName>
    <definedName name="solver_lhs24" localSheetId="6">'Bal AL FeT'!$R$35</definedName>
    <definedName name="solver_lhs24" localSheetId="10">'Bal ML FeT'!$J$21</definedName>
    <definedName name="solver_lhs25" localSheetId="7">'Bal AL FeMag'!$W$36</definedName>
    <definedName name="solver_lhs25" localSheetId="6">'Bal AL FeT'!$P$39</definedName>
    <definedName name="solver_lhs25" localSheetId="10">'Bal ML FeT'!$K$30</definedName>
    <definedName name="solver_lhs26" localSheetId="7">'Bal AL FeMag'!$W$35</definedName>
    <definedName name="solver_lhs26" localSheetId="6">'Bal AL FeT'!$R$27</definedName>
    <definedName name="solver_lhs26" localSheetId="10">'Bal ML FeT'!$P$20</definedName>
    <definedName name="solver_lhs27" localSheetId="7">'Bal AL FeMag'!$W$37</definedName>
    <definedName name="solver_lhs27" localSheetId="6">'Bal AL FeT'!$R$33</definedName>
    <definedName name="solver_lhs28" localSheetId="6">'Bal AL FeT'!$R$28</definedName>
    <definedName name="solver_lhs29" localSheetId="6">'Bal AL FeT'!$R$29</definedName>
    <definedName name="solver_lhs3" localSheetId="7">'Bal AL FeMag'!$P$31</definedName>
    <definedName name="solver_lhs3" localSheetId="6">'Bal AL FeT'!$P$35</definedName>
    <definedName name="solver_lhs3" localSheetId="11">'Bal ML FeMag'!$R$26</definedName>
    <definedName name="solver_lhs3" localSheetId="10">'Bal ML FeT'!$W$22</definedName>
    <definedName name="solver_lhs30" localSheetId="6">'Bal AL FeT'!$P$40</definedName>
    <definedName name="solver_lhs31" localSheetId="6">'Bal AL FeT'!$P$36</definedName>
    <definedName name="solver_lhs32" localSheetId="6">'Bal AL FeT'!$P$33</definedName>
    <definedName name="solver_lhs33" localSheetId="6">'Bal AL FeT'!$P$29</definedName>
    <definedName name="solver_lhs34" localSheetId="6">'Bal AL FeT'!$P$28</definedName>
    <definedName name="solver_lhs35" localSheetId="6">'Bal AL FeT'!$P$31</definedName>
    <definedName name="solver_lhs4" localSheetId="7">'Bal AL FeMag'!$P$33</definedName>
    <definedName name="solver_lhs4" localSheetId="6">'Bal AL FeT'!$P$37</definedName>
    <definedName name="solver_lhs4" localSheetId="11">'Bal ML FeMag'!$R$27</definedName>
    <definedName name="solver_lhs4" localSheetId="10">'Bal ML FeT'!$W$19</definedName>
    <definedName name="solver_lhs5" localSheetId="7">'Bal AL FeMag'!$P$35</definedName>
    <definedName name="solver_lhs5" localSheetId="6">'Bal AL FeT'!$P$42</definedName>
    <definedName name="solver_lhs5" localSheetId="11">'Bal ML FeMag'!$R$30</definedName>
    <definedName name="solver_lhs5" localSheetId="10">'Bal ML FeT'!$V$22</definedName>
    <definedName name="solver_lhs6" localSheetId="7">'Bal AL FeMag'!$P$39</definedName>
    <definedName name="solver_lhs6" localSheetId="6">'Bal AL FeT'!$R$32</definedName>
    <definedName name="solver_lhs6" localSheetId="11">'Bal ML FeMag'!$R$23</definedName>
    <definedName name="solver_lhs6" localSheetId="10">'Bal ML FeT'!$P$22</definedName>
    <definedName name="solver_lhs7" localSheetId="7">'Bal AL FeMag'!$P$36</definedName>
    <definedName name="solver_lhs7" localSheetId="6">'Bal AL FeT'!$P$25</definedName>
    <definedName name="solver_lhs7" localSheetId="11">'Bal ML FeMag'!$W$21</definedName>
    <definedName name="solver_lhs7" localSheetId="10">'Bal ML FeT'!$R$26</definedName>
    <definedName name="solver_lhs8" localSheetId="7">'Bal AL FeMag'!$P$42</definedName>
    <definedName name="solver_lhs8" localSheetId="6">'Bal AL FeT'!$R$36</definedName>
    <definedName name="solver_lhs8" localSheetId="11">'Bal ML FeMag'!$V$19</definedName>
    <definedName name="solver_lhs8" localSheetId="10">'Bal ML FeT'!$R$28</definedName>
    <definedName name="solver_lhs9" localSheetId="7">'Bal AL FeMag'!$R$27</definedName>
    <definedName name="solver_lhs9" localSheetId="6">'Bal AL FeT'!$V$37</definedName>
    <definedName name="solver_lhs9" localSheetId="11">'Bal ML FeMag'!$W$22</definedName>
    <definedName name="solver_lhs9" localSheetId="10">'Bal ML FeT'!$V$21</definedName>
    <definedName name="solver_mip" localSheetId="6">2147483647</definedName>
    <definedName name="solver_mip" localSheetId="11">2147483647</definedName>
    <definedName name="solver_mip" localSheetId="10">2147483647</definedName>
    <definedName name="solver_mip" localSheetId="5">2147483647</definedName>
    <definedName name="solver_mni" localSheetId="6">30</definedName>
    <definedName name="solver_mni" localSheetId="11">30</definedName>
    <definedName name="solver_mni" localSheetId="10">30</definedName>
    <definedName name="solver_mni" localSheetId="5">30</definedName>
    <definedName name="solver_mrt" localSheetId="6">0.075</definedName>
    <definedName name="solver_mrt" localSheetId="11">0.075</definedName>
    <definedName name="solver_mrt" localSheetId="10">0.075</definedName>
    <definedName name="solver_mrt" localSheetId="5">0.075</definedName>
    <definedName name="solver_msl" localSheetId="6">2</definedName>
    <definedName name="solver_msl" localSheetId="11">2</definedName>
    <definedName name="solver_msl" localSheetId="10">2</definedName>
    <definedName name="solver_msl" localSheetId="5">2</definedName>
    <definedName name="solver_neg" localSheetId="6">1</definedName>
    <definedName name="solver_neg" localSheetId="11">1</definedName>
    <definedName name="solver_neg" localSheetId="10">1</definedName>
    <definedName name="solver_neg" localSheetId="5">1</definedName>
    <definedName name="solver_nod" localSheetId="6">2147483647</definedName>
    <definedName name="solver_nod" localSheetId="11">2147483647</definedName>
    <definedName name="solver_nod" localSheetId="10">2147483647</definedName>
    <definedName name="solver_nod" localSheetId="5">2147483647</definedName>
    <definedName name="solver_num" localSheetId="6">27</definedName>
    <definedName name="solver_num" localSheetId="11">17</definedName>
    <definedName name="solver_num" localSheetId="10">26</definedName>
    <definedName name="solver_num" localSheetId="5">35</definedName>
    <definedName name="solver_nwt" localSheetId="6">1</definedName>
    <definedName name="solver_nwt" localSheetId="11">1</definedName>
    <definedName name="solver_nwt" localSheetId="10">1</definedName>
    <definedName name="solver_nwt" localSheetId="5">1</definedName>
    <definedName name="solver_opt" localSheetId="7">'Bal AL FeMag'!$V$40</definedName>
    <definedName name="solver_opt" localSheetId="6">'Bal AL FeT'!$V$40</definedName>
    <definedName name="solver_opt" localSheetId="11">'Bal ML FeMag'!$V$26</definedName>
    <definedName name="solver_opt" localSheetId="10">'Bal ML FeT'!$V$26</definedName>
    <definedName name="solver_pre" localSheetId="6">0.000001</definedName>
    <definedName name="solver_pre" localSheetId="11">0.000001</definedName>
    <definedName name="solver_pre" localSheetId="10">0.000001</definedName>
    <definedName name="solver_pre" localSheetId="5">0.000001</definedName>
    <definedName name="solver_rbv" localSheetId="6">1</definedName>
    <definedName name="solver_rbv" localSheetId="11">2</definedName>
    <definedName name="solver_rbv" localSheetId="10">2</definedName>
    <definedName name="solver_rbv" localSheetId="5">1</definedName>
    <definedName name="solver_rel1" localSheetId="6">1</definedName>
    <definedName name="solver_rel1" localSheetId="11">1</definedName>
    <definedName name="solver_rel1" localSheetId="10">2</definedName>
    <definedName name="solver_rel1" localSheetId="5">1</definedName>
    <definedName name="solver_rel10" localSheetId="6">1</definedName>
    <definedName name="solver_rel10" localSheetId="11">2</definedName>
    <definedName name="solver_rel10" localSheetId="10">1</definedName>
    <definedName name="solver_rel10" localSheetId="5">2</definedName>
    <definedName name="solver_rel11" localSheetId="6">1</definedName>
    <definedName name="solver_rel11" localSheetId="11">2</definedName>
    <definedName name="solver_rel11" localSheetId="10">2</definedName>
    <definedName name="solver_rel11" localSheetId="5">2</definedName>
    <definedName name="solver_rel12" localSheetId="6">1</definedName>
    <definedName name="solver_rel12" localSheetId="11">2</definedName>
    <definedName name="solver_rel12" localSheetId="10">2</definedName>
    <definedName name="solver_rel12" localSheetId="5">2</definedName>
    <definedName name="solver_rel13" localSheetId="6">1</definedName>
    <definedName name="solver_rel13" localSheetId="11">2</definedName>
    <definedName name="solver_rel13" localSheetId="10">1</definedName>
    <definedName name="solver_rel13" localSheetId="5">2</definedName>
    <definedName name="solver_rel14" localSheetId="6">1</definedName>
    <definedName name="solver_rel14" localSheetId="11">2</definedName>
    <definedName name="solver_rel14" localSheetId="10">1</definedName>
    <definedName name="solver_rel14" localSheetId="5">2</definedName>
    <definedName name="solver_rel15" localSheetId="6">2</definedName>
    <definedName name="solver_rel15" localSheetId="11">1</definedName>
    <definedName name="solver_rel15" localSheetId="10">1</definedName>
    <definedName name="solver_rel15" localSheetId="5">1</definedName>
    <definedName name="solver_rel16" localSheetId="6">2</definedName>
    <definedName name="solver_rel16" localSheetId="11">1</definedName>
    <definedName name="solver_rel16" localSheetId="10">1</definedName>
    <definedName name="solver_rel16" localSheetId="5">1</definedName>
    <definedName name="solver_rel17" localSheetId="6">1</definedName>
    <definedName name="solver_rel17" localSheetId="11">1</definedName>
    <definedName name="solver_rel17" localSheetId="10">1</definedName>
    <definedName name="solver_rel17" localSheetId="5">2</definedName>
    <definedName name="solver_rel18" localSheetId="6">2</definedName>
    <definedName name="solver_rel18" localSheetId="10">1</definedName>
    <definedName name="solver_rel18" localSheetId="5">2</definedName>
    <definedName name="solver_rel19" localSheetId="6">2</definedName>
    <definedName name="solver_rel19" localSheetId="10">1</definedName>
    <definedName name="solver_rel19" localSheetId="5">2</definedName>
    <definedName name="solver_rel2" localSheetId="6">1</definedName>
    <definedName name="solver_rel2" localSheetId="11">1</definedName>
    <definedName name="solver_rel2" localSheetId="10">2</definedName>
    <definedName name="solver_rel2" localSheetId="5">1</definedName>
    <definedName name="solver_rel20" localSheetId="6">1</definedName>
    <definedName name="solver_rel20" localSheetId="10">1</definedName>
    <definedName name="solver_rel20" localSheetId="5">2</definedName>
    <definedName name="solver_rel21" localSheetId="6">1</definedName>
    <definedName name="solver_rel21" localSheetId="10">1</definedName>
    <definedName name="solver_rel21" localSheetId="5">1</definedName>
    <definedName name="solver_rel22" localSheetId="6">2</definedName>
    <definedName name="solver_rel22" localSheetId="10">1</definedName>
    <definedName name="solver_rel22" localSheetId="5">1</definedName>
    <definedName name="solver_rel23" localSheetId="6">2</definedName>
    <definedName name="solver_rel23" localSheetId="10">1</definedName>
    <definedName name="solver_rel23" localSheetId="5">1</definedName>
    <definedName name="solver_rel24" localSheetId="6">2</definedName>
    <definedName name="solver_rel24" localSheetId="10">2</definedName>
    <definedName name="solver_rel24" localSheetId="5">1</definedName>
    <definedName name="solver_rel25" localSheetId="6">2</definedName>
    <definedName name="solver_rel25" localSheetId="10">2</definedName>
    <definedName name="solver_rel25" localSheetId="5">1</definedName>
    <definedName name="solver_rel26" localSheetId="6">2</definedName>
    <definedName name="solver_rel26" localSheetId="10">1</definedName>
    <definedName name="solver_rel26" localSheetId="5">1</definedName>
    <definedName name="solver_rel27" localSheetId="6">2</definedName>
    <definedName name="solver_rel27" localSheetId="5">1</definedName>
    <definedName name="solver_rel28" localSheetId="5">1</definedName>
    <definedName name="solver_rel29" localSheetId="5">1</definedName>
    <definedName name="solver_rel3" localSheetId="6">1</definedName>
    <definedName name="solver_rel3" localSheetId="11">1</definedName>
    <definedName name="solver_rel3" localSheetId="10">2</definedName>
    <definedName name="solver_rel3" localSheetId="5">1</definedName>
    <definedName name="solver_rel30" localSheetId="5">1</definedName>
    <definedName name="solver_rel31" localSheetId="5">1</definedName>
    <definedName name="solver_rel32" localSheetId="5">1</definedName>
    <definedName name="solver_rel33" localSheetId="5">1</definedName>
    <definedName name="solver_rel34" localSheetId="5">1</definedName>
    <definedName name="solver_rel35" localSheetId="5">1</definedName>
    <definedName name="solver_rel4" localSheetId="6">1</definedName>
    <definedName name="solver_rel4" localSheetId="11">1</definedName>
    <definedName name="solver_rel4" localSheetId="10">2</definedName>
    <definedName name="solver_rel4" localSheetId="5">1</definedName>
    <definedName name="solver_rel5" localSheetId="6">1</definedName>
    <definedName name="solver_rel5" localSheetId="11">1</definedName>
    <definedName name="solver_rel5" localSheetId="10">2</definedName>
    <definedName name="solver_rel5" localSheetId="5">1</definedName>
    <definedName name="solver_rel6" localSheetId="6">1</definedName>
    <definedName name="solver_rel6" localSheetId="11">1</definedName>
    <definedName name="solver_rel6" localSheetId="10">1</definedName>
    <definedName name="solver_rel6" localSheetId="5">1</definedName>
    <definedName name="solver_rel7" localSheetId="6">1</definedName>
    <definedName name="solver_rel7" localSheetId="11">2</definedName>
    <definedName name="solver_rel7" localSheetId="10">1</definedName>
    <definedName name="solver_rel7" localSheetId="5">1</definedName>
    <definedName name="solver_rel8" localSheetId="6">1</definedName>
    <definedName name="solver_rel8" localSheetId="11">2</definedName>
    <definedName name="solver_rel8" localSheetId="10">1</definedName>
    <definedName name="solver_rel8" localSheetId="5">1</definedName>
    <definedName name="solver_rel9" localSheetId="6">1</definedName>
    <definedName name="solver_rel9" localSheetId="11">2</definedName>
    <definedName name="solver_rel9" localSheetId="10">2</definedName>
    <definedName name="solver_rel9" localSheetId="5">2</definedName>
    <definedName name="solver_rhs1" localSheetId="7">'Bal AL FeMag'!$Q$29</definedName>
    <definedName name="solver_rhs1" localSheetId="6">'Bal AL FeT'!$Q$32</definedName>
    <definedName name="solver_rhs1" localSheetId="11">'Bal ML FeMag'!$S$22</definedName>
    <definedName name="solver_rhs1" localSheetId="10">0</definedName>
    <definedName name="solver_rhs10" localSheetId="7">'Bal AL FeMag'!$S$28</definedName>
    <definedName name="solver_rhs10" localSheetId="11">0</definedName>
    <definedName name="solver_rhs10" localSheetId="10">'Bal ML FeT'!$S$30</definedName>
    <definedName name="solver_rhs10" localSheetId="5">0</definedName>
    <definedName name="solver_rhs11" localSheetId="7">'Bal AL FeMag'!$S$29</definedName>
    <definedName name="solver_rhs11" localSheetId="11">0</definedName>
    <definedName name="solver_rhs11" localSheetId="10">0</definedName>
    <definedName name="solver_rhs11" localSheetId="5">0</definedName>
    <definedName name="solver_rhs12" localSheetId="7">'Bal AL FeMag'!$S$40</definedName>
    <definedName name="solver_rhs12" localSheetId="11">0</definedName>
    <definedName name="solver_rhs12" localSheetId="10">0</definedName>
    <definedName name="solver_rhs12" localSheetId="5">0</definedName>
    <definedName name="solver_rhs13" localSheetId="7">'Bal AL FeMag'!$S$32</definedName>
    <definedName name="solver_rhs13" localSheetId="11">0</definedName>
    <definedName name="solver_rhs13" localSheetId="10">'Bal ML FeT'!$S$25</definedName>
    <definedName name="solver_rhs13" localSheetId="5">0</definedName>
    <definedName name="solver_rhs14" localSheetId="7">'Bal AL FeMag'!$S$42</definedName>
    <definedName name="solver_rhs14" localSheetId="11">0</definedName>
    <definedName name="solver_rhs14" localSheetId="10">'Bal ML FeT'!$S$23</definedName>
    <definedName name="solver_rhs14" localSheetId="5">0</definedName>
    <definedName name="solver_rhs15" localSheetId="6">'Bal AL FeT'!$S$37</definedName>
    <definedName name="solver_rhs15" localSheetId="11">'Bal ML FeMag'!$S$20</definedName>
    <definedName name="solver_rhs15" localSheetId="10">'Bal ML FeT'!$S$21</definedName>
    <definedName name="solver_rhs16" localSheetId="6">'Bal AL FeT'!$S$41</definedName>
    <definedName name="solver_rhs16" localSheetId="11">'Bal ML FeMag'!$S$29</definedName>
    <definedName name="solver_rhs16" localSheetId="10">'Bal ML FeT'!$S$22</definedName>
    <definedName name="solver_rhs17" localSheetId="7">'Bal AL FeMag'!$S$30</definedName>
    <definedName name="solver_rhs17" localSheetId="11">'Bal ML FeMag'!$S$28</definedName>
    <definedName name="solver_rhs17" localSheetId="10">'Bal ML FeT'!$Q$30</definedName>
    <definedName name="solver_rhs17" localSheetId="5">0</definedName>
    <definedName name="solver_rhs18" localSheetId="6">0</definedName>
    <definedName name="solver_rhs18" localSheetId="10">'Bal ML FeT'!$S$20</definedName>
    <definedName name="solver_rhs18" localSheetId="5">0</definedName>
    <definedName name="solver_rhs19" localSheetId="6">0</definedName>
    <definedName name="solver_rhs19" localSheetId="10">'Bal ML FeT'!$Q$29</definedName>
    <definedName name="solver_rhs19" localSheetId="5">0</definedName>
    <definedName name="solver_rhs2" localSheetId="7">'Bal AL FeMag'!$Q$32</definedName>
    <definedName name="solver_rhs2" localSheetId="6">'Bal AL FeT'!$Q$27</definedName>
    <definedName name="solver_rhs2" localSheetId="11">'Bal ML FeMag'!$S$24</definedName>
    <definedName name="solver_rhs2" localSheetId="10">0</definedName>
    <definedName name="solver_rhs20" localSheetId="7">'Bal AL FeMag'!$S$33</definedName>
    <definedName name="solver_rhs20" localSheetId="10">'Bal ML FeT'!$Q$28</definedName>
    <definedName name="solver_rhs20" localSheetId="5">0</definedName>
    <definedName name="solver_rhs21" localSheetId="7">'Bal AL FeMag'!$Q$25</definedName>
    <definedName name="solver_rhs21" localSheetId="6">'Bal AL FeT'!$S$42</definedName>
    <definedName name="solver_rhs21" localSheetId="10">'Bal ML FeT'!$Q$27</definedName>
    <definedName name="solver_rhs22" localSheetId="6">'Bal AL FeT'!$S$38</definedName>
    <definedName name="solver_rhs22" localSheetId="10">'Bal ML FeT'!$Q$25</definedName>
    <definedName name="solver_rhs23" localSheetId="6">'Bal AL FeT'!$S$40</definedName>
    <definedName name="solver_rhs23" localSheetId="10">'Bal ML FeT'!$Q$24</definedName>
    <definedName name="solver_rhs24" localSheetId="6">'Bal AL FeT'!$S$35</definedName>
    <definedName name="solver_rhs24" localSheetId="10">'Bal ML FeT'!$G$21</definedName>
    <definedName name="solver_rhs25" localSheetId="6">'Bal AL FeT'!$Q$39</definedName>
    <definedName name="solver_rhs25" localSheetId="10">'Bal ML FeT'!$K$29</definedName>
    <definedName name="solver_rhs26" localSheetId="6">'Bal AL FeT'!$S$27</definedName>
    <definedName name="solver_rhs26" localSheetId="10">'Bal ML FeT'!$Q$20</definedName>
    <definedName name="solver_rhs27" localSheetId="6">'Bal AL FeT'!$S$33</definedName>
    <definedName name="solver_rhs28" localSheetId="6">'Bal AL FeT'!$S$28</definedName>
    <definedName name="solver_rhs29" localSheetId="6">'Bal AL FeT'!$S$29</definedName>
    <definedName name="solver_rhs3" localSheetId="7">'Bal AL FeMag'!$Q$31</definedName>
    <definedName name="solver_rhs3" localSheetId="6">'Bal AL FeT'!$Q$35</definedName>
    <definedName name="solver_rhs3" localSheetId="11">'Bal ML FeMag'!$S$26</definedName>
    <definedName name="solver_rhs3" localSheetId="10">0</definedName>
    <definedName name="solver_rhs30" localSheetId="6">'Bal AL FeT'!$Q$40</definedName>
    <definedName name="solver_rhs31" localSheetId="6">'Bal AL FeT'!$Q$36</definedName>
    <definedName name="solver_rhs32" localSheetId="6">'Bal AL FeT'!$Q$33</definedName>
    <definedName name="solver_rhs33" localSheetId="6">'Bal AL FeT'!$Q$29</definedName>
    <definedName name="solver_rhs34" localSheetId="6">'Bal AL FeT'!$Q$28</definedName>
    <definedName name="solver_rhs35" localSheetId="6">'Bal AL FeT'!$Q$31</definedName>
    <definedName name="solver_rhs4" localSheetId="7">'Bal AL FeMag'!$Q$33</definedName>
    <definedName name="solver_rhs4" localSheetId="6">'Bal AL FeT'!$Q$37</definedName>
    <definedName name="solver_rhs4" localSheetId="11">'Bal ML FeMag'!$S$27</definedName>
    <definedName name="solver_rhs4" localSheetId="10">0</definedName>
    <definedName name="solver_rhs5" localSheetId="7">'Bal AL FeMag'!$Q$35</definedName>
    <definedName name="solver_rhs5" localSheetId="6">'Bal AL FeT'!$Q$42</definedName>
    <definedName name="solver_rhs5" localSheetId="11">'Bal ML FeMag'!$S$30</definedName>
    <definedName name="solver_rhs5" localSheetId="10">0</definedName>
    <definedName name="solver_rhs6" localSheetId="7">'Bal AL FeMag'!$Q$39</definedName>
    <definedName name="solver_rhs6" localSheetId="6">'Bal AL FeT'!$S$32</definedName>
    <definedName name="solver_rhs6" localSheetId="11">'Bal ML FeMag'!$S$23</definedName>
    <definedName name="solver_rhs6" localSheetId="10">'Bal ML FeT'!$Q$22</definedName>
    <definedName name="solver_rhs7" localSheetId="7">'Bal AL FeMag'!$Q$36</definedName>
    <definedName name="solver_rhs7" localSheetId="6">'Bal AL FeT'!$Q$25</definedName>
    <definedName name="solver_rhs7" localSheetId="11">0</definedName>
    <definedName name="solver_rhs7" localSheetId="10">'Bal ML FeT'!$S$26</definedName>
    <definedName name="solver_rhs8" localSheetId="7">'Bal AL FeMag'!$Q$42</definedName>
    <definedName name="solver_rhs8" localSheetId="6">'Bal AL FeT'!$S$36</definedName>
    <definedName name="solver_rhs8" localSheetId="11">0</definedName>
    <definedName name="solver_rhs8" localSheetId="10">'Bal ML FeT'!$S$28</definedName>
    <definedName name="solver_rhs9" localSheetId="7">'Bal AL FeMag'!$S$27</definedName>
    <definedName name="solver_rhs9" localSheetId="11">0</definedName>
    <definedName name="solver_rhs9" localSheetId="10">0</definedName>
    <definedName name="solver_rhs9" localSheetId="5">0</definedName>
    <definedName name="solver_rlx" localSheetId="6">2</definedName>
    <definedName name="solver_rlx" localSheetId="11">2</definedName>
    <definedName name="solver_rlx" localSheetId="10">2</definedName>
    <definedName name="solver_rlx" localSheetId="5">2</definedName>
    <definedName name="solver_rsd" localSheetId="6">0</definedName>
    <definedName name="solver_rsd" localSheetId="11">0</definedName>
    <definedName name="solver_rsd" localSheetId="10">0</definedName>
    <definedName name="solver_rsd" localSheetId="5">0</definedName>
    <definedName name="solver_scl" localSheetId="6">1</definedName>
    <definedName name="solver_scl" localSheetId="11">2</definedName>
    <definedName name="solver_scl" localSheetId="10">2</definedName>
    <definedName name="solver_scl" localSheetId="5">1</definedName>
    <definedName name="solver_sho" localSheetId="6">2</definedName>
    <definedName name="solver_sho" localSheetId="11">2</definedName>
    <definedName name="solver_sho" localSheetId="10">2</definedName>
    <definedName name="solver_sho" localSheetId="5">2</definedName>
    <definedName name="solver_ssz" localSheetId="6">100</definedName>
    <definedName name="solver_ssz" localSheetId="11">100</definedName>
    <definedName name="solver_ssz" localSheetId="10">100</definedName>
    <definedName name="solver_ssz" localSheetId="5">100</definedName>
    <definedName name="solver_tim" localSheetId="6">2147483647</definedName>
    <definedName name="solver_tim" localSheetId="11">2147483647</definedName>
    <definedName name="solver_tim" localSheetId="10">2147483647</definedName>
    <definedName name="solver_tim" localSheetId="5">2147483647</definedName>
    <definedName name="solver_tol" localSheetId="6">1</definedName>
    <definedName name="solver_tol" localSheetId="11">1</definedName>
    <definedName name="solver_tol" localSheetId="10">1</definedName>
    <definedName name="solver_tol" localSheetId="5">1</definedName>
    <definedName name="solver_typ" localSheetId="6">2</definedName>
    <definedName name="solver_typ" localSheetId="11">2</definedName>
    <definedName name="solver_typ" localSheetId="10">2</definedName>
    <definedName name="solver_typ" localSheetId="5">2</definedName>
    <definedName name="solver_val" localSheetId="6">0</definedName>
    <definedName name="solver_val" localSheetId="11">0</definedName>
    <definedName name="solver_val" localSheetId="10">0</definedName>
    <definedName name="solver_val" localSheetId="5">0</definedName>
    <definedName name="solver_ver" localSheetId="6">3</definedName>
    <definedName name="solver_ver" localSheetId="11">3</definedName>
    <definedName name="solver_ver" localSheetId="10">3</definedName>
    <definedName name="solver_ver" localSheetId="5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WeKDtlN9WByGCoNoZs/T9qp4lDQ==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4" i="1"/>
  <c r="H8" i="9" l="1"/>
  <c r="C29" i="10"/>
  <c r="C28" i="10"/>
  <c r="C27" i="10"/>
  <c r="H20" i="10"/>
  <c r="H19" i="10"/>
  <c r="H18" i="10"/>
  <c r="H9" i="10"/>
  <c r="H8" i="10"/>
  <c r="H7" i="10"/>
  <c r="J7" i="9"/>
  <c r="J27" i="8"/>
  <c r="J28" i="8"/>
  <c r="J29" i="8"/>
  <c r="J30" i="8"/>
  <c r="L30" i="8" s="1"/>
  <c r="J31" i="8"/>
  <c r="J32" i="8"/>
  <c r="J33" i="8"/>
  <c r="J34" i="8"/>
  <c r="J35" i="8"/>
  <c r="J36" i="8"/>
  <c r="J37" i="8"/>
  <c r="J38" i="8"/>
  <c r="J39" i="8"/>
  <c r="J40" i="8"/>
  <c r="J41" i="8"/>
  <c r="J42" i="8"/>
  <c r="J26" i="8"/>
  <c r="G40" i="9"/>
  <c r="G30" i="9"/>
  <c r="H9" i="9"/>
  <c r="H20" i="9"/>
  <c r="H19" i="9"/>
  <c r="G39" i="9"/>
  <c r="G29" i="9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26" i="8"/>
  <c r="K27" i="7"/>
  <c r="K28" i="7"/>
  <c r="K29" i="7"/>
  <c r="K30" i="7"/>
  <c r="L30" i="7" s="1"/>
  <c r="K31" i="7"/>
  <c r="K32" i="7"/>
  <c r="K33" i="7"/>
  <c r="K34" i="7"/>
  <c r="K35" i="7"/>
  <c r="K36" i="7"/>
  <c r="K37" i="7"/>
  <c r="K38" i="7"/>
  <c r="L38" i="7" s="1"/>
  <c r="K39" i="7"/>
  <c r="K40" i="7"/>
  <c r="K41" i="7"/>
  <c r="K42" i="7"/>
  <c r="K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26" i="7"/>
  <c r="B14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F42" i="2" s="1"/>
  <c r="K26" i="8"/>
  <c r="K21" i="12"/>
  <c r="K22" i="12"/>
  <c r="K23" i="12"/>
  <c r="K24" i="12"/>
  <c r="F40" i="2" s="1"/>
  <c r="K25" i="12"/>
  <c r="K26" i="12"/>
  <c r="K27" i="12"/>
  <c r="K28" i="12"/>
  <c r="F33" i="2" s="1"/>
  <c r="K29" i="12"/>
  <c r="K30" i="12"/>
  <c r="K20" i="12"/>
  <c r="K21" i="11"/>
  <c r="K22" i="11"/>
  <c r="K23" i="11"/>
  <c r="K24" i="11"/>
  <c r="I7" i="10" s="1"/>
  <c r="K25" i="11"/>
  <c r="K26" i="11"/>
  <c r="K27" i="11"/>
  <c r="K28" i="11"/>
  <c r="K29" i="11"/>
  <c r="K30" i="11"/>
  <c r="K20" i="11"/>
  <c r="L20" i="11" s="1"/>
  <c r="A8" i="10" s="1"/>
  <c r="P28" i="10" s="1"/>
  <c r="L28" i="11"/>
  <c r="C19" i="10" s="1"/>
  <c r="A7" i="10"/>
  <c r="G30" i="12"/>
  <c r="E30" i="12"/>
  <c r="E29" i="12"/>
  <c r="J28" i="12"/>
  <c r="L28" i="12" s="1"/>
  <c r="D19" i="10" s="1"/>
  <c r="E28" i="12"/>
  <c r="H27" i="12"/>
  <c r="H26" i="12" s="1"/>
  <c r="E27" i="12"/>
  <c r="E26" i="12"/>
  <c r="G18" i="10"/>
  <c r="E25" i="12"/>
  <c r="H24" i="12"/>
  <c r="H23" i="12" s="1"/>
  <c r="E24" i="12"/>
  <c r="E23" i="12"/>
  <c r="E22" i="12"/>
  <c r="H21" i="12"/>
  <c r="E21" i="12"/>
  <c r="B7" i="10"/>
  <c r="H20" i="12"/>
  <c r="E20" i="12"/>
  <c r="L30" i="11"/>
  <c r="F28" i="10" s="1"/>
  <c r="W30" i="10" s="1"/>
  <c r="J30" i="11"/>
  <c r="J30" i="12" s="1"/>
  <c r="L30" i="12" s="1"/>
  <c r="G28" i="10" s="1"/>
  <c r="W42" i="10" s="1"/>
  <c r="G30" i="11"/>
  <c r="F30" i="11"/>
  <c r="E30" i="11"/>
  <c r="L29" i="11"/>
  <c r="J29" i="11"/>
  <c r="J29" i="12" s="1"/>
  <c r="L29" i="12" s="1"/>
  <c r="F29" i="11"/>
  <c r="E29" i="11"/>
  <c r="J28" i="11"/>
  <c r="G28" i="12" s="1"/>
  <c r="F28" i="11"/>
  <c r="E28" i="11"/>
  <c r="L27" i="11"/>
  <c r="I19" i="10" s="1"/>
  <c r="W29" i="10" s="1"/>
  <c r="J27" i="11"/>
  <c r="G27" i="12" s="1"/>
  <c r="H27" i="11"/>
  <c r="G27" i="11"/>
  <c r="F27" i="11"/>
  <c r="E27" i="11"/>
  <c r="J26" i="11"/>
  <c r="J26" i="12" s="1"/>
  <c r="L26" i="12" s="1"/>
  <c r="H26" i="11"/>
  <c r="F26" i="11"/>
  <c r="E26" i="11"/>
  <c r="L25" i="11"/>
  <c r="F19" i="10" s="1"/>
  <c r="F18" i="10"/>
  <c r="J25" i="11"/>
  <c r="J25" i="12" s="1"/>
  <c r="L25" i="12" s="1"/>
  <c r="G19" i="10" s="1"/>
  <c r="F25" i="11"/>
  <c r="E25" i="11"/>
  <c r="J24" i="11"/>
  <c r="G24" i="12" s="1"/>
  <c r="H24" i="11"/>
  <c r="G24" i="11"/>
  <c r="F24" i="11"/>
  <c r="E24" i="11"/>
  <c r="J23" i="11"/>
  <c r="J23" i="12" s="1"/>
  <c r="L23" i="12" s="1"/>
  <c r="H23" i="11"/>
  <c r="F23" i="11"/>
  <c r="E23" i="11"/>
  <c r="F7" i="10"/>
  <c r="J22" i="11"/>
  <c r="J22" i="12" s="1"/>
  <c r="L22" i="12" s="1"/>
  <c r="G8" i="10" s="1"/>
  <c r="F22" i="11"/>
  <c r="E22" i="11"/>
  <c r="J21" i="11"/>
  <c r="G21" i="12" s="1"/>
  <c r="H21" i="11"/>
  <c r="G21" i="11"/>
  <c r="F21" i="11"/>
  <c r="E21" i="11"/>
  <c r="J20" i="11"/>
  <c r="J20" i="12" s="1"/>
  <c r="L20" i="12" s="1"/>
  <c r="B8" i="10" s="1"/>
  <c r="P40" i="10" s="1"/>
  <c r="H20" i="11"/>
  <c r="G20" i="11"/>
  <c r="F20" i="11"/>
  <c r="E20" i="11"/>
  <c r="I16" i="11"/>
  <c r="G27" i="10"/>
  <c r="F27" i="10"/>
  <c r="F26" i="10"/>
  <c r="W18" i="10" s="1"/>
  <c r="J18" i="10"/>
  <c r="I18" i="10"/>
  <c r="D18" i="10"/>
  <c r="I17" i="10"/>
  <c r="W17" i="10" s="1"/>
  <c r="F17" i="10"/>
  <c r="C17" i="10"/>
  <c r="W16" i="10"/>
  <c r="B15" i="10"/>
  <c r="A15" i="10"/>
  <c r="G7" i="10"/>
  <c r="I6" i="10"/>
  <c r="F6" i="10"/>
  <c r="A6" i="10"/>
  <c r="P16" i="10" s="1"/>
  <c r="M44" i="9"/>
  <c r="M43" i="9"/>
  <c r="M42" i="9"/>
  <c r="M41" i="9"/>
  <c r="P40" i="9"/>
  <c r="E38" i="9"/>
  <c r="J20" i="9"/>
  <c r="B6" i="9"/>
  <c r="H42" i="8"/>
  <c r="H41" i="8" s="1"/>
  <c r="E42" i="8"/>
  <c r="E41" i="8"/>
  <c r="E40" i="8"/>
  <c r="E39" i="8"/>
  <c r="E38" i="8"/>
  <c r="H37" i="8"/>
  <c r="H38" i="8" s="1"/>
  <c r="E37" i="8"/>
  <c r="E36" i="8"/>
  <c r="L35" i="8"/>
  <c r="H35" i="8"/>
  <c r="E35" i="8"/>
  <c r="E34" i="8"/>
  <c r="H33" i="8"/>
  <c r="E33" i="8"/>
  <c r="E32" i="8"/>
  <c r="H31" i="8"/>
  <c r="E31" i="8"/>
  <c r="E30" i="8"/>
  <c r="H29" i="8"/>
  <c r="B13" i="8" s="1"/>
  <c r="E29" i="8"/>
  <c r="H28" i="8"/>
  <c r="E28" i="8"/>
  <c r="H27" i="8"/>
  <c r="E27" i="8"/>
  <c r="H26" i="8"/>
  <c r="E26" i="8"/>
  <c r="AF23" i="8"/>
  <c r="B14" i="8"/>
  <c r="H39" i="9"/>
  <c r="J42" i="7"/>
  <c r="E42" i="7"/>
  <c r="L41" i="7"/>
  <c r="J41" i="7"/>
  <c r="E41" i="7"/>
  <c r="L40" i="7"/>
  <c r="E40" i="9" s="1"/>
  <c r="E39" i="9"/>
  <c r="J40" i="7"/>
  <c r="L40" i="8" s="1"/>
  <c r="AG23" i="8" s="1"/>
  <c r="E40" i="7"/>
  <c r="H29" i="9"/>
  <c r="J39" i="7"/>
  <c r="E39" i="7"/>
  <c r="J38" i="7"/>
  <c r="E38" i="7"/>
  <c r="E19" i="2"/>
  <c r="J37" i="7"/>
  <c r="E37" i="7"/>
  <c r="J36" i="7"/>
  <c r="E36" i="7"/>
  <c r="J16" i="9"/>
  <c r="J35" i="7"/>
  <c r="E35" i="7"/>
  <c r="J34" i="7"/>
  <c r="E34" i="7"/>
  <c r="F18" i="9"/>
  <c r="J33" i="7"/>
  <c r="L33" i="8" s="1"/>
  <c r="E33" i="7"/>
  <c r="J10" i="9"/>
  <c r="J32" i="7"/>
  <c r="E32" i="7"/>
  <c r="J6" i="9"/>
  <c r="J31" i="7"/>
  <c r="E31" i="7"/>
  <c r="J30" i="7"/>
  <c r="E30" i="7"/>
  <c r="J29" i="7"/>
  <c r="E29" i="7"/>
  <c r="B17" i="9"/>
  <c r="J28" i="7"/>
  <c r="E28" i="7"/>
  <c r="J27" i="7"/>
  <c r="B11" i="7"/>
  <c r="E27" i="7"/>
  <c r="J26" i="7"/>
  <c r="G26" i="7"/>
  <c r="E26" i="7"/>
  <c r="A14" i="7"/>
  <c r="B13" i="7"/>
  <c r="A13" i="7"/>
  <c r="A17" i="7" s="1"/>
  <c r="C21" i="7" s="1"/>
  <c r="C11" i="7" s="1"/>
  <c r="E11" i="6"/>
  <c r="D11" i="6"/>
  <c r="E10" i="6"/>
  <c r="F10" i="6" s="1"/>
  <c r="D10" i="6"/>
  <c r="E9" i="6"/>
  <c r="F9" i="6" s="1"/>
  <c r="D9" i="6"/>
  <c r="F8" i="6"/>
  <c r="E8" i="6"/>
  <c r="D8" i="6"/>
  <c r="E7" i="6"/>
  <c r="F7" i="6" s="1"/>
  <c r="E6" i="6"/>
  <c r="D6" i="6"/>
  <c r="E5" i="6"/>
  <c r="D5" i="6"/>
  <c r="D4" i="6"/>
  <c r="F27" i="5"/>
  <c r="E27" i="5"/>
  <c r="F26" i="5"/>
  <c r="H30" i="12" s="1"/>
  <c r="H29" i="12" s="1"/>
  <c r="E26" i="5"/>
  <c r="H30" i="11" s="1"/>
  <c r="H29" i="11" s="1"/>
  <c r="A18" i="5"/>
  <c r="L16" i="5"/>
  <c r="E12" i="6" s="1"/>
  <c r="F12" i="6" s="1"/>
  <c r="G12" i="6" s="1"/>
  <c r="H12" i="6" s="1"/>
  <c r="F15" i="5"/>
  <c r="H39" i="8" s="1"/>
  <c r="E15" i="5"/>
  <c r="G14" i="5"/>
  <c r="F14" i="5"/>
  <c r="H36" i="8" s="1"/>
  <c r="F12" i="5"/>
  <c r="H32" i="8" s="1"/>
  <c r="I11" i="5"/>
  <c r="G11" i="5"/>
  <c r="G10" i="5"/>
  <c r="D10" i="5"/>
  <c r="A10" i="5" s="1"/>
  <c r="L9" i="5"/>
  <c r="G9" i="5"/>
  <c r="D9" i="5"/>
  <c r="G8" i="5"/>
  <c r="A8" i="5"/>
  <c r="L7" i="5"/>
  <c r="G7" i="5" s="1"/>
  <c r="I7" i="5"/>
  <c r="D7" i="6" s="1"/>
  <c r="A7" i="5"/>
  <c r="L6" i="5"/>
  <c r="G6" i="5" s="1"/>
  <c r="I6" i="5"/>
  <c r="G5" i="5"/>
  <c r="L4" i="5"/>
  <c r="F77" i="2"/>
  <c r="E77" i="2"/>
  <c r="D77" i="2"/>
  <c r="F76" i="2"/>
  <c r="E76" i="2"/>
  <c r="D76" i="2"/>
  <c r="F75" i="2"/>
  <c r="E75" i="2"/>
  <c r="D75" i="2"/>
  <c r="E74" i="2"/>
  <c r="D74" i="2"/>
  <c r="E73" i="2"/>
  <c r="D73" i="2"/>
  <c r="E72" i="2"/>
  <c r="D72" i="2"/>
  <c r="E71" i="2"/>
  <c r="D71" i="2"/>
  <c r="Q62" i="2"/>
  <c r="C61" i="2"/>
  <c r="C60" i="2"/>
  <c r="D59" i="2"/>
  <c r="C58" i="2"/>
  <c r="C57" i="2"/>
  <c r="C56" i="2"/>
  <c r="C55" i="2"/>
  <c r="F49" i="2"/>
  <c r="E49" i="2"/>
  <c r="D49" i="2"/>
  <c r="F48" i="2"/>
  <c r="E48" i="2"/>
  <c r="D48" i="2"/>
  <c r="F45" i="2"/>
  <c r="E45" i="2"/>
  <c r="D45" i="2"/>
  <c r="H44" i="2"/>
  <c r="F44" i="2"/>
  <c r="D44" i="2"/>
  <c r="F41" i="2"/>
  <c r="E41" i="2"/>
  <c r="D41" i="2"/>
  <c r="E40" i="2"/>
  <c r="D40" i="2"/>
  <c r="H37" i="2"/>
  <c r="C37" i="2"/>
  <c r="C36" i="2"/>
  <c r="H33" i="2"/>
  <c r="D61" i="2" s="1"/>
  <c r="D33" i="2"/>
  <c r="H32" i="2"/>
  <c r="D60" i="2" s="1"/>
  <c r="F32" i="2"/>
  <c r="E32" i="2"/>
  <c r="D32" i="2"/>
  <c r="F31" i="2"/>
  <c r="E31" i="2"/>
  <c r="D31" i="2"/>
  <c r="H31" i="2" s="1"/>
  <c r="C31" i="2"/>
  <c r="C59" i="2" s="1"/>
  <c r="C25" i="2"/>
  <c r="K22" i="2"/>
  <c r="C22" i="2"/>
  <c r="F20" i="2"/>
  <c r="D20" i="2"/>
  <c r="F19" i="2"/>
  <c r="D19" i="2"/>
  <c r="D18" i="2"/>
  <c r="F17" i="2"/>
  <c r="E17" i="2"/>
  <c r="F16" i="2"/>
  <c r="D16" i="2"/>
  <c r="S14" i="2"/>
  <c r="E11" i="2"/>
  <c r="I31" i="2" s="1"/>
  <c r="E59" i="2" s="1"/>
  <c r="D11" i="2"/>
  <c r="D10" i="2"/>
  <c r="H20" i="2" s="1"/>
  <c r="J31" i="1"/>
  <c r="N31" i="1" s="1"/>
  <c r="I31" i="1"/>
  <c r="H31" i="1"/>
  <c r="E31" i="1"/>
  <c r="D31" i="1"/>
  <c r="C31" i="1"/>
  <c r="L31" i="1" s="1"/>
  <c r="Q31" i="1" s="1"/>
  <c r="J30" i="1"/>
  <c r="N30" i="1" s="1"/>
  <c r="I30" i="1"/>
  <c r="H30" i="1"/>
  <c r="E30" i="1"/>
  <c r="D30" i="1"/>
  <c r="C30" i="1"/>
  <c r="L30" i="1" s="1"/>
  <c r="Q30" i="1" s="1"/>
  <c r="J29" i="1"/>
  <c r="N29" i="1" s="1"/>
  <c r="I29" i="1"/>
  <c r="H29" i="1"/>
  <c r="E29" i="1"/>
  <c r="D29" i="1"/>
  <c r="C29" i="1"/>
  <c r="L29" i="1" s="1"/>
  <c r="Q29" i="1" s="1"/>
  <c r="J28" i="1"/>
  <c r="N28" i="1" s="1"/>
  <c r="I28" i="1"/>
  <c r="H28" i="1"/>
  <c r="E28" i="1"/>
  <c r="D28" i="1"/>
  <c r="C28" i="1"/>
  <c r="L28" i="1" s="1"/>
  <c r="Q28" i="1" s="1"/>
  <c r="J27" i="1"/>
  <c r="N27" i="1" s="1"/>
  <c r="I27" i="1"/>
  <c r="H27" i="1"/>
  <c r="E27" i="1"/>
  <c r="D27" i="1"/>
  <c r="C27" i="1"/>
  <c r="L27" i="1" s="1"/>
  <c r="Q27" i="1" s="1"/>
  <c r="J26" i="1"/>
  <c r="N26" i="1" s="1"/>
  <c r="I26" i="1"/>
  <c r="H26" i="1"/>
  <c r="E26" i="1"/>
  <c r="D26" i="1"/>
  <c r="C26" i="1"/>
  <c r="L26" i="1" s="1"/>
  <c r="Q26" i="1" s="1"/>
  <c r="J25" i="1"/>
  <c r="N25" i="1" s="1"/>
  <c r="I25" i="1"/>
  <c r="H25" i="1"/>
  <c r="E25" i="1"/>
  <c r="D25" i="1"/>
  <c r="C25" i="1"/>
  <c r="L25" i="1" s="1"/>
  <c r="Q25" i="1" s="1"/>
  <c r="J24" i="1"/>
  <c r="N24" i="1" s="1"/>
  <c r="I24" i="1"/>
  <c r="H24" i="1"/>
  <c r="E24" i="1"/>
  <c r="D24" i="1"/>
  <c r="C24" i="1"/>
  <c r="L24" i="1" s="1"/>
  <c r="Q24" i="1" s="1"/>
  <c r="J23" i="1"/>
  <c r="N23" i="1" s="1"/>
  <c r="I23" i="1"/>
  <c r="H23" i="1"/>
  <c r="E23" i="1"/>
  <c r="D23" i="1"/>
  <c r="C23" i="1"/>
  <c r="L23" i="1" s="1"/>
  <c r="Q23" i="1" s="1"/>
  <c r="J22" i="1"/>
  <c r="N22" i="1" s="1"/>
  <c r="I22" i="1"/>
  <c r="H22" i="1"/>
  <c r="E22" i="1"/>
  <c r="D22" i="1"/>
  <c r="C22" i="1"/>
  <c r="L22" i="1" s="1"/>
  <c r="Q22" i="1" s="1"/>
  <c r="N21" i="1"/>
  <c r="J21" i="1"/>
  <c r="I21" i="1"/>
  <c r="H21" i="1"/>
  <c r="E21" i="1"/>
  <c r="D21" i="1"/>
  <c r="M21" i="1" s="1"/>
  <c r="R21" i="1" s="1"/>
  <c r="C21" i="1"/>
  <c r="L21" i="1" s="1"/>
  <c r="N20" i="1"/>
  <c r="J20" i="1"/>
  <c r="I20" i="1"/>
  <c r="H20" i="1"/>
  <c r="E20" i="1"/>
  <c r="D20" i="1"/>
  <c r="M20" i="1" s="1"/>
  <c r="R20" i="1" s="1"/>
  <c r="C20" i="1"/>
  <c r="L20" i="1" s="1"/>
  <c r="N19" i="1"/>
  <c r="J19" i="1"/>
  <c r="I19" i="1"/>
  <c r="H19" i="1"/>
  <c r="E19" i="1"/>
  <c r="D19" i="1"/>
  <c r="M19" i="1" s="1"/>
  <c r="R19" i="1" s="1"/>
  <c r="C19" i="1"/>
  <c r="L19" i="1" s="1"/>
  <c r="N18" i="1"/>
  <c r="J18" i="1"/>
  <c r="I18" i="1"/>
  <c r="H18" i="1"/>
  <c r="E18" i="1"/>
  <c r="D18" i="1"/>
  <c r="M18" i="1" s="1"/>
  <c r="R18" i="1" s="1"/>
  <c r="C18" i="1"/>
  <c r="L18" i="1" s="1"/>
  <c r="N17" i="1"/>
  <c r="J17" i="1"/>
  <c r="I17" i="1"/>
  <c r="H17" i="1"/>
  <c r="E17" i="1"/>
  <c r="D17" i="1"/>
  <c r="M17" i="1" s="1"/>
  <c r="R17" i="1" s="1"/>
  <c r="C17" i="1"/>
  <c r="L17" i="1" s="1"/>
  <c r="N16" i="1"/>
  <c r="J16" i="1"/>
  <c r="I16" i="1"/>
  <c r="H16" i="1"/>
  <c r="E16" i="1"/>
  <c r="D16" i="1"/>
  <c r="M16" i="1" s="1"/>
  <c r="R16" i="1" s="1"/>
  <c r="C16" i="1"/>
  <c r="L16" i="1" s="1"/>
  <c r="N15" i="1"/>
  <c r="J15" i="1"/>
  <c r="I15" i="1"/>
  <c r="H15" i="1"/>
  <c r="E15" i="1"/>
  <c r="D15" i="1"/>
  <c r="M15" i="1" s="1"/>
  <c r="R15" i="1" s="1"/>
  <c r="C15" i="1"/>
  <c r="L15" i="1" s="1"/>
  <c r="N14" i="1"/>
  <c r="J14" i="1"/>
  <c r="I14" i="1"/>
  <c r="H14" i="1"/>
  <c r="E14" i="1"/>
  <c r="D14" i="1"/>
  <c r="M14" i="1" s="1"/>
  <c r="R14" i="1" s="1"/>
  <c r="C14" i="1"/>
  <c r="L14" i="1" s="1"/>
  <c r="N13" i="1"/>
  <c r="J13" i="1"/>
  <c r="I13" i="1"/>
  <c r="H13" i="1"/>
  <c r="E13" i="1"/>
  <c r="D13" i="1"/>
  <c r="M13" i="1" s="1"/>
  <c r="R13" i="1" s="1"/>
  <c r="C13" i="1"/>
  <c r="L13" i="1" s="1"/>
  <c r="N12" i="1"/>
  <c r="J12" i="1"/>
  <c r="I12" i="1"/>
  <c r="H12" i="1"/>
  <c r="E12" i="1"/>
  <c r="D12" i="1"/>
  <c r="M12" i="1" s="1"/>
  <c r="R12" i="1" s="1"/>
  <c r="C12" i="1"/>
  <c r="L12" i="1" s="1"/>
  <c r="N11" i="1"/>
  <c r="J11" i="1"/>
  <c r="I11" i="1"/>
  <c r="H11" i="1"/>
  <c r="E11" i="1"/>
  <c r="D11" i="1"/>
  <c r="M11" i="1" s="1"/>
  <c r="R11" i="1" s="1"/>
  <c r="C11" i="1"/>
  <c r="L11" i="1" s="1"/>
  <c r="N10" i="1"/>
  <c r="J10" i="1"/>
  <c r="I10" i="1"/>
  <c r="H10" i="1"/>
  <c r="E10" i="1"/>
  <c r="D10" i="1"/>
  <c r="M10" i="1" s="1"/>
  <c r="R10" i="1" s="1"/>
  <c r="C10" i="1"/>
  <c r="L10" i="1" s="1"/>
  <c r="N9" i="1"/>
  <c r="J9" i="1"/>
  <c r="I9" i="1"/>
  <c r="H9" i="1"/>
  <c r="E9" i="1"/>
  <c r="D9" i="1"/>
  <c r="M9" i="1" s="1"/>
  <c r="R9" i="1" s="1"/>
  <c r="C9" i="1"/>
  <c r="L9" i="1" s="1"/>
  <c r="N8" i="1"/>
  <c r="J8" i="1"/>
  <c r="I8" i="1"/>
  <c r="H8" i="1"/>
  <c r="E8" i="1"/>
  <c r="D8" i="1"/>
  <c r="M8" i="1" s="1"/>
  <c r="R8" i="1" s="1"/>
  <c r="C8" i="1"/>
  <c r="L8" i="1" s="1"/>
  <c r="N7" i="1"/>
  <c r="J7" i="1"/>
  <c r="I7" i="1"/>
  <c r="H7" i="1"/>
  <c r="E7" i="1"/>
  <c r="D7" i="1"/>
  <c r="M7" i="1" s="1"/>
  <c r="R7" i="1" s="1"/>
  <c r="C7" i="1"/>
  <c r="L7" i="1" s="1"/>
  <c r="N6" i="1"/>
  <c r="J6" i="1"/>
  <c r="I6" i="1"/>
  <c r="H6" i="1"/>
  <c r="E6" i="1"/>
  <c r="D6" i="1"/>
  <c r="M6" i="1" s="1"/>
  <c r="R6" i="1" s="1"/>
  <c r="C6" i="1"/>
  <c r="L6" i="1" s="1"/>
  <c r="N5" i="1"/>
  <c r="J5" i="1"/>
  <c r="I5" i="1"/>
  <c r="H5" i="1"/>
  <c r="E5" i="1"/>
  <c r="D5" i="1"/>
  <c r="M5" i="1" s="1"/>
  <c r="R5" i="1" s="1"/>
  <c r="C5" i="1"/>
  <c r="L5" i="1" s="1"/>
  <c r="N4" i="1"/>
  <c r="J4" i="1"/>
  <c r="I4" i="1"/>
  <c r="H4" i="1"/>
  <c r="E4" i="1"/>
  <c r="D4" i="1"/>
  <c r="M4" i="1" s="1"/>
  <c r="R4" i="1" s="1"/>
  <c r="C4" i="1"/>
  <c r="L4" i="1" s="1"/>
  <c r="E42" i="2" l="1"/>
  <c r="J7" i="10"/>
  <c r="C18" i="10"/>
  <c r="E33" i="2"/>
  <c r="Q12" i="1"/>
  <c r="P12" i="1"/>
  <c r="Q16" i="1"/>
  <c r="P16" i="1"/>
  <c r="Q20" i="1"/>
  <c r="P20" i="1"/>
  <c r="A26" i="12"/>
  <c r="D26" i="12" s="1"/>
  <c r="A26" i="11"/>
  <c r="G9" i="6"/>
  <c r="H9" i="6" s="1"/>
  <c r="P4" i="1"/>
  <c r="Q4" i="1"/>
  <c r="P8" i="1"/>
  <c r="Q8" i="1"/>
  <c r="Q11" i="1"/>
  <c r="P11" i="1"/>
  <c r="Q15" i="1"/>
  <c r="P15" i="1"/>
  <c r="Q19" i="1"/>
  <c r="P19" i="1"/>
  <c r="P6" i="1"/>
  <c r="Q6" i="1"/>
  <c r="Q10" i="1"/>
  <c r="P10" i="1"/>
  <c r="Q14" i="1"/>
  <c r="P14" i="1"/>
  <c r="Q18" i="1"/>
  <c r="P18" i="1"/>
  <c r="D58" i="2"/>
  <c r="P7" i="1"/>
  <c r="Q7" i="1"/>
  <c r="P5" i="1"/>
  <c r="Q5" i="1"/>
  <c r="Q9" i="1"/>
  <c r="P9" i="1"/>
  <c r="Q13" i="1"/>
  <c r="P13" i="1"/>
  <c r="Q17" i="1"/>
  <c r="P17" i="1"/>
  <c r="Q21" i="1"/>
  <c r="P21" i="1"/>
  <c r="N44" i="9"/>
  <c r="A41" i="8"/>
  <c r="D41" i="8" s="1"/>
  <c r="A41" i="7"/>
  <c r="D41" i="7" s="1"/>
  <c r="G7" i="6"/>
  <c r="H7" i="6" s="1"/>
  <c r="H18" i="2"/>
  <c r="A9" i="5"/>
  <c r="B3" i="5"/>
  <c r="A29" i="12"/>
  <c r="D29" i="12" s="1"/>
  <c r="A29" i="11"/>
  <c r="G10" i="6"/>
  <c r="H10" i="6" s="1"/>
  <c r="M22" i="1"/>
  <c r="R22" i="1" s="1"/>
  <c r="M24" i="1"/>
  <c r="R24" i="1" s="1"/>
  <c r="M26" i="1"/>
  <c r="R26" i="1" s="1"/>
  <c r="M28" i="1"/>
  <c r="R28" i="1" s="1"/>
  <c r="M30" i="1"/>
  <c r="R30" i="1" s="1"/>
  <c r="I32" i="2"/>
  <c r="E60" i="2" s="1"/>
  <c r="F5" i="6"/>
  <c r="F6" i="6"/>
  <c r="B11" i="9"/>
  <c r="L27" i="7"/>
  <c r="B12" i="9" s="1"/>
  <c r="P29" i="9" s="1"/>
  <c r="D12" i="2"/>
  <c r="M23" i="1"/>
  <c r="R23" i="1" s="1"/>
  <c r="M25" i="1"/>
  <c r="R25" i="1" s="1"/>
  <c r="M27" i="1"/>
  <c r="R27" i="1" s="1"/>
  <c r="M29" i="1"/>
  <c r="R29" i="1" s="1"/>
  <c r="M31" i="1"/>
  <c r="R31" i="1" s="1"/>
  <c r="E10" i="2"/>
  <c r="H16" i="2"/>
  <c r="H19" i="2"/>
  <c r="A23" i="12"/>
  <c r="D23" i="12" s="1"/>
  <c r="S40" i="10" s="1"/>
  <c r="A23" i="11"/>
  <c r="P22" i="1"/>
  <c r="P23" i="1"/>
  <c r="P24" i="1"/>
  <c r="P25" i="1"/>
  <c r="P26" i="1"/>
  <c r="P27" i="1"/>
  <c r="P28" i="1"/>
  <c r="P29" i="1"/>
  <c r="P30" i="1"/>
  <c r="P31" i="1"/>
  <c r="J37" i="2"/>
  <c r="I37" i="2"/>
  <c r="F18" i="2"/>
  <c r="H22" i="2"/>
  <c r="I33" i="2"/>
  <c r="E61" i="2" s="1"/>
  <c r="E4" i="6"/>
  <c r="F4" i="6" s="1"/>
  <c r="G4" i="5"/>
  <c r="G8" i="6"/>
  <c r="H8" i="6" s="1"/>
  <c r="F11" i="6"/>
  <c r="G11" i="6" s="1"/>
  <c r="H11" i="6" s="1"/>
  <c r="G4" i="9"/>
  <c r="E16" i="2"/>
  <c r="L29" i="7"/>
  <c r="G5" i="9" s="1"/>
  <c r="L28" i="8"/>
  <c r="H40" i="8"/>
  <c r="B16" i="9"/>
  <c r="P17" i="9" s="1"/>
  <c r="E29" i="9"/>
  <c r="W19" i="10"/>
  <c r="B11" i="8"/>
  <c r="B5" i="9"/>
  <c r="P15" i="9" s="1"/>
  <c r="J5" i="9"/>
  <c r="W15" i="9" s="1"/>
  <c r="H30" i="8"/>
  <c r="L32" i="7"/>
  <c r="J11" i="9" s="1"/>
  <c r="W29" i="9" s="1"/>
  <c r="F17" i="9"/>
  <c r="A14" i="8"/>
  <c r="L35" i="7"/>
  <c r="J17" i="9" s="1"/>
  <c r="W30" i="9" s="1"/>
  <c r="H34" i="8"/>
  <c r="J19" i="9"/>
  <c r="W18" i="9" s="1"/>
  <c r="L37" i="7"/>
  <c r="E30" i="9" s="1"/>
  <c r="S31" i="9"/>
  <c r="H38" i="9"/>
  <c r="W20" i="9" s="1"/>
  <c r="L39" i="8"/>
  <c r="D42" i="2"/>
  <c r="K23" i="2" s="1"/>
  <c r="K24" i="2" s="1"/>
  <c r="E44" i="2"/>
  <c r="L17" i="5"/>
  <c r="L18" i="5" s="1"/>
  <c r="L20" i="5" s="1"/>
  <c r="L34" i="8"/>
  <c r="H28" i="12"/>
  <c r="D17" i="2"/>
  <c r="E20" i="2"/>
  <c r="E18" i="2" s="1"/>
  <c r="C35" i="2"/>
  <c r="L26" i="7"/>
  <c r="B7" i="9" s="1"/>
  <c r="P28" i="9" s="1"/>
  <c r="B10" i="9"/>
  <c r="P16" i="9" s="1"/>
  <c r="L27" i="8"/>
  <c r="L28" i="7"/>
  <c r="G3" i="9"/>
  <c r="L29" i="8"/>
  <c r="L31" i="7"/>
  <c r="J9" i="9"/>
  <c r="W16" i="9" s="1"/>
  <c r="L32" i="8"/>
  <c r="L33" i="7"/>
  <c r="F19" i="9" s="1"/>
  <c r="L34" i="7"/>
  <c r="L36" i="7"/>
  <c r="J21" i="9" s="1"/>
  <c r="W31" i="9" s="1"/>
  <c r="E28" i="9"/>
  <c r="L37" i="8"/>
  <c r="L38" i="8"/>
  <c r="L39" i="7"/>
  <c r="H30" i="9" s="1"/>
  <c r="W32" i="9" s="1"/>
  <c r="S18" i="9"/>
  <c r="O44" i="9" s="1"/>
  <c r="I7" i="6" s="1"/>
  <c r="J7" i="6" s="1"/>
  <c r="P44" i="9" s="1"/>
  <c r="L42" i="7"/>
  <c r="H40" i="9" s="1"/>
  <c r="W33" i="9" s="1"/>
  <c r="L26" i="8"/>
  <c r="A13" i="8"/>
  <c r="A17" i="8" s="1"/>
  <c r="C21" i="8" s="1"/>
  <c r="L31" i="8"/>
  <c r="L36" i="8"/>
  <c r="J15" i="9"/>
  <c r="W17" i="9" s="1"/>
  <c r="H28" i="9"/>
  <c r="W19" i="9" s="1"/>
  <c r="S41" i="10"/>
  <c r="S42" i="10"/>
  <c r="A14" i="10"/>
  <c r="L22" i="11"/>
  <c r="F8" i="10" s="1"/>
  <c r="L24" i="11"/>
  <c r="I8" i="10" s="1"/>
  <c r="W28" i="10" s="1"/>
  <c r="W31" i="10" s="1"/>
  <c r="L26" i="11"/>
  <c r="G20" i="12"/>
  <c r="J21" i="12"/>
  <c r="G22" i="12"/>
  <c r="H22" i="12" s="1"/>
  <c r="G23" i="12"/>
  <c r="J24" i="12"/>
  <c r="L24" i="12" s="1"/>
  <c r="J8" i="10" s="1"/>
  <c r="W40" i="10" s="1"/>
  <c r="G25" i="12"/>
  <c r="H25" i="12" s="1"/>
  <c r="G26" i="12"/>
  <c r="J27" i="12"/>
  <c r="L27" i="12" s="1"/>
  <c r="J19" i="10" s="1"/>
  <c r="W41" i="10" s="1"/>
  <c r="G29" i="12"/>
  <c r="L21" i="11"/>
  <c r="A16" i="10" s="1"/>
  <c r="P29" i="10" s="1"/>
  <c r="P31" i="10" s="1"/>
  <c r="L23" i="11"/>
  <c r="C11" i="8" l="1"/>
  <c r="E12" i="2"/>
  <c r="I18" i="2"/>
  <c r="N41" i="9"/>
  <c r="A30" i="8"/>
  <c r="D30" i="8" s="1"/>
  <c r="A30" i="7"/>
  <c r="D30" i="7" s="1"/>
  <c r="G4" i="6"/>
  <c r="H4" i="6" s="1"/>
  <c r="S43" i="10"/>
  <c r="N43" i="9"/>
  <c r="G6" i="6"/>
  <c r="H6" i="6" s="1"/>
  <c r="A38" i="8"/>
  <c r="D38" i="8" s="1"/>
  <c r="A38" i="7"/>
  <c r="D38" i="7" s="1"/>
  <c r="D57" i="2"/>
  <c r="I19" i="2"/>
  <c r="E57" i="2" s="1"/>
  <c r="N42" i="9"/>
  <c r="A34" i="8"/>
  <c r="D34" i="8" s="1"/>
  <c r="A34" i="7"/>
  <c r="D34" i="7" s="1"/>
  <c r="S16" i="9" s="1"/>
  <c r="O42" i="9" s="1"/>
  <c r="I5" i="6" s="1"/>
  <c r="J5" i="6" s="1"/>
  <c r="P42" i="9" s="1"/>
  <c r="G5" i="6"/>
  <c r="H5" i="6" s="1"/>
  <c r="P34" i="9"/>
  <c r="P21" i="9"/>
  <c r="H23" i="2"/>
  <c r="H24" i="2" s="1"/>
  <c r="L21" i="12"/>
  <c r="B16" i="10" s="1"/>
  <c r="P41" i="10" s="1"/>
  <c r="P43" i="10" s="1"/>
  <c r="F11" i="2"/>
  <c r="B18" i="9"/>
  <c r="P30" i="9" s="1"/>
  <c r="W28" i="9"/>
  <c r="W34" i="9" s="1"/>
  <c r="I16" i="2"/>
  <c r="E55" i="2" s="1"/>
  <c r="D55" i="2"/>
  <c r="I20" i="2"/>
  <c r="E58" i="2" s="1"/>
  <c r="D26" i="11"/>
  <c r="S17" i="10" s="1"/>
  <c r="G26" i="11"/>
  <c r="G25" i="11"/>
  <c r="H25" i="11" s="1"/>
  <c r="S29" i="10"/>
  <c r="H17" i="2"/>
  <c r="H35" i="2"/>
  <c r="J35" i="2" s="1"/>
  <c r="H45" i="2"/>
  <c r="W21" i="9"/>
  <c r="W43" i="10"/>
  <c r="O8" i="10"/>
  <c r="O7" i="10"/>
  <c r="P17" i="10"/>
  <c r="P19" i="10" s="1"/>
  <c r="L41" i="8"/>
  <c r="AG24" i="8" s="1"/>
  <c r="AF24" i="8"/>
  <c r="S29" i="9"/>
  <c r="L42" i="8"/>
  <c r="AG25" i="8" s="1"/>
  <c r="AF25" i="8"/>
  <c r="D23" i="11"/>
  <c r="S16" i="10" s="1"/>
  <c r="G23" i="11"/>
  <c r="G22" i="11"/>
  <c r="F10" i="2"/>
  <c r="D29" i="11"/>
  <c r="G29" i="11"/>
  <c r="F12" i="2" l="1"/>
  <c r="S28" i="10"/>
  <c r="D56" i="2"/>
  <c r="I17" i="2"/>
  <c r="E56" i="2" s="1"/>
  <c r="H22" i="11"/>
  <c r="G28" i="11"/>
  <c r="H28" i="11" s="1"/>
  <c r="S18" i="10"/>
  <c r="S19" i="10" s="1"/>
  <c r="W21" i="10" s="1"/>
  <c r="S30" i="10"/>
  <c r="S30" i="9"/>
  <c r="S17" i="9"/>
  <c r="O43" i="9" s="1"/>
  <c r="I6" i="6" s="1"/>
  <c r="J6" i="6" s="1"/>
  <c r="P43" i="9" s="1"/>
  <c r="I35" i="2"/>
  <c r="W45" i="10"/>
  <c r="S15" i="9"/>
  <c r="S28" i="9"/>
  <c r="O41" i="9" l="1"/>
  <c r="I4" i="6" s="1"/>
  <c r="J4" i="6" s="1"/>
  <c r="P41" i="9" s="1"/>
  <c r="S21" i="9"/>
  <c r="W23" i="9" s="1"/>
  <c r="S31" i="10"/>
  <c r="W33" i="10" s="1"/>
  <c r="S34" i="9"/>
  <c r="W3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0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ID#AAAAnfr5UUU
Sophia Daniela Cisterna Ponce    (2023-01-18 22:35:56)
se ajusta con balance romeral</t>
        </r>
      </text>
    </comment>
    <comment ref="F40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ID#AAAAnfr5UUw
Sophia Daniela Cisterna Ponce    (2023-01-18 22:35:56)
de acuerdo a ley obtenida en balance romenral calcular apuntando al mismo magnetismo</t>
        </r>
      </text>
    </comment>
    <comment ref="N40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ID#AAAAnfr5UVA
Sophia Daniela Cisterna Ponce    (2023-01-18 22:35:56)
se hacen pregranzas apartir de material AL de bronces</t>
        </r>
      </text>
    </comment>
    <comment ref="T44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ID#AAAAnfr5UUs
Sophia Daniela Cisterna Ponce    (2023-01-18 22:35:56)
se mezclan mixtos hacia rom por buena ley</t>
        </r>
      </text>
    </comment>
    <comment ref="S5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ID#AAAAnfr5UUo
Sophia Daniela Cisterna Ponce    (2023-01-18 22:35:56)
se envian la mayoria de los mixtos 1 a rom por buena calidad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HJvI3RV3r9dlKfV1VYQbH7Sqr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======
ID#AAAAnfr5UUc
Sophia Daniela Cisterna Ponce    (2023-01-18 22:35:56)
comparar con dato  de alimentacion chancado primario de reportabilidad distrito pleito</t>
        </r>
      </text>
    </comment>
    <comment ref="H3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======
ID#AAAAnfr5UUI
Sophia Daniela Cisterna Ponce    (2023-01-18 22:35:56)
stock inicial del mes</t>
        </r>
      </text>
    </comment>
    <comment ref="K3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======
ID#AAAAnfr5UUQ
Sophia Daniela Cisterna Ponce    (2023-01-18 22:35:56)
remanentes del dia anterior a las 08 hrs (cubicacion)</t>
        </r>
      </text>
    </comment>
    <comment ref="D9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======
ID#AAAAnfr5UUA
Sophia Daniela Cisterna Ponce    (2023-01-18 22:35:56)
se restan 8000 ton por envio de mixto 1 a rom por buena calidad</t>
        </r>
      </text>
    </comment>
    <comment ref="K11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======
ID#AAAAnfr5UUM
Sophia Daniela Cisterna Ponce    (2023-01-18 22:35:56)
ML Romeral</t>
        </r>
      </text>
    </comment>
    <comment ref="D15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======
ID#AAAAnfr5UVI
Sophia Daniela Cisterna Ponce    (2023-01-18 22:35:56)
se coloca el movimiento mina adicional, se suma mov adicional de rechazos</t>
        </r>
      </text>
    </comment>
    <comment ref="L15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======
ID#AAAAnfr5UU8
Sophia Daniela Cisterna Ponce    (2023-01-18 22:35:56)
se usa 1,95 cuando es principalemnte rechazos y 2,1 cuando es mayoria mixto 1</t>
        </r>
      </text>
    </comment>
    <comment ref="D18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ID#AAAAnfr5UVM
Sophia Daniela Cisterna Ponce    (2023-01-18 22:35:56)
se suman 3514 porque con material AL se produjo pregranzas</t>
        </r>
      </text>
    </comment>
    <comment ref="D23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======
ID#AAAAnfr5UUg
Sophia Daniela Cisterna Ponce    (2023-01-18 22:35:56)
por diferencia de alimentacion-producciones</t>
        </r>
      </text>
    </comment>
    <comment ref="D26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======
ID#AAAAnfr5UUY
Sophia Daniela Cisterna Ponce    (2023-01-18 22:35:56)
se coloca el movimiento mina adicional</t>
        </r>
      </text>
    </comment>
    <comment ref="C32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======
ID#AAAAnfr5UVE
Sophia Daniela Cisterna Ponce    (2023-01-18 22:35:56)
sumar al transporte de acopio ml a romeral</t>
        </r>
      </text>
    </comment>
    <comment ref="C34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======
ID#AAAAnfr5UUk
Sophia Daniela Cisterna Ponce    (2023-01-18 22:35:56)
sumar al transporte de acopio ml a romeral</t>
        </r>
      </text>
    </comment>
    <comment ref="C36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======
ID#AAAAnfr5UUE
Sophia Daniela Cisterna Ponce    (2023-01-18 22:35:56)
sumar al transporte de acopio ml a romeral</t>
        </r>
      </text>
    </comment>
    <comment ref="C38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======
ID#AAAAnfr5UU0
Sophia Daniela Cisterna Ponce    (2023-01-18 22:35:56)
sumar al transporte de acopio ml a romeral</t>
        </r>
      </text>
    </comment>
    <comment ref="O40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======
ID#AAAAnfr5UU4
Sophia Daniela Cisterna Ponce    (2023-01-18 22:35:56)
se ajusta incorporando  la cantidad en la cubicacion inicial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CQ4VV4of4Ww+6oa9f0vWE9o6b3w=="/>
    </ext>
  </extLst>
</comments>
</file>

<file path=xl/sharedStrings.xml><?xml version="1.0" encoding="utf-8"?>
<sst xmlns="http://schemas.openxmlformats.org/spreadsheetml/2006/main" count="427" uniqueCount="198">
  <si>
    <t>Mediciones</t>
  </si>
  <si>
    <t>Balance</t>
  </si>
  <si>
    <t>% Cambio relativo</t>
  </si>
  <si>
    <t>Max Var Ton</t>
  </si>
  <si>
    <t>Max Var  FeT</t>
  </si>
  <si>
    <t>Max Var  FeMag</t>
  </si>
  <si>
    <t>Flujos</t>
  </si>
  <si>
    <t>TMS</t>
  </si>
  <si>
    <t>Ley FeT</t>
  </si>
  <si>
    <t>Ley FeMag</t>
  </si>
  <si>
    <t>TMSD</t>
  </si>
  <si>
    <t>%Fe T</t>
  </si>
  <si>
    <t>Alta Ley 1 Pleito</t>
  </si>
  <si>
    <t>Alta Ley 2 Pleito</t>
  </si>
  <si>
    <t>Alim AL Bronces</t>
  </si>
  <si>
    <t>Produc Granzas</t>
  </si>
  <si>
    <t>Delta Stock Granzas</t>
  </si>
  <si>
    <t>Transporte Granzas a Romeral</t>
  </si>
  <si>
    <t>Transporte Granzas a Puerto</t>
  </si>
  <si>
    <t>Produc Finos</t>
  </si>
  <si>
    <t>Delta Stock Finos</t>
  </si>
  <si>
    <t>Transporte Finos a Romeral</t>
  </si>
  <si>
    <t>Transporte Finos a Puerto</t>
  </si>
  <si>
    <t>Rechazo Mixto 1</t>
  </si>
  <si>
    <t>Delta Stock Mixto 1</t>
  </si>
  <si>
    <t>Transporte Mixto 1 a Rechazo</t>
  </si>
  <si>
    <t>Rechazo Mixto 2</t>
  </si>
  <si>
    <t>Delta Stock Mixto 2</t>
  </si>
  <si>
    <t>Transporte Mixto 2 a Romeral</t>
  </si>
  <si>
    <t>ML Pleito</t>
  </si>
  <si>
    <t>Bronces</t>
  </si>
  <si>
    <t>Produc Prec Granzas</t>
  </si>
  <si>
    <t>Delta Stock Prec Granzas</t>
  </si>
  <si>
    <t xml:space="preserve">Transporte Prec  Granzas  </t>
  </si>
  <si>
    <t>Prod Prec Finos</t>
  </si>
  <si>
    <t>Delta Prec Finos</t>
  </si>
  <si>
    <t xml:space="preserve">Transp Prec Finos  </t>
  </si>
  <si>
    <t>Produc Rechazos</t>
  </si>
  <si>
    <t>Delta Stock Rechazos</t>
  </si>
  <si>
    <t>Transp Rechazos a botadero</t>
  </si>
  <si>
    <t>Recuperaciones en peso</t>
  </si>
  <si>
    <t>Balance Faena Pleito</t>
  </si>
  <si>
    <t>Fecha</t>
  </si>
  <si>
    <t>Pregranza</t>
  </si>
  <si>
    <t>Prefino</t>
  </si>
  <si>
    <t>Rechazo</t>
  </si>
  <si>
    <t>Granzas</t>
  </si>
  <si>
    <t>Finos</t>
  </si>
  <si>
    <t>Mixto 1</t>
  </si>
  <si>
    <t>Mixto 2</t>
  </si>
  <si>
    <t>Mixtos</t>
  </si>
  <si>
    <t>Planta Pleito</t>
  </si>
  <si>
    <t>Alimentación Chancado Primario</t>
  </si>
  <si>
    <t>TM</t>
  </si>
  <si>
    <t>%FeT</t>
  </si>
  <si>
    <t>%Femag</t>
  </si>
  <si>
    <t>Alimentación Alta Ley (AL)</t>
  </si>
  <si>
    <t>Alimentación Mediana Ley (ML)</t>
  </si>
  <si>
    <t>Alimentación Total</t>
  </si>
  <si>
    <t>Producción Planta</t>
  </si>
  <si>
    <t>Alta Ley Pleito Sur</t>
  </si>
  <si>
    <t>%Rp</t>
  </si>
  <si>
    <t>%Rm</t>
  </si>
  <si>
    <t>Prec Mixto 1</t>
  </si>
  <si>
    <t>Prec Mixto 2</t>
  </si>
  <si>
    <t>Alta Ley Bronces</t>
  </si>
  <si>
    <t>Preconcentrados</t>
  </si>
  <si>
    <t>Mediana Ley Especial</t>
  </si>
  <si>
    <t>Prec. Granzas</t>
  </si>
  <si>
    <t>Mediana Ley Pleito Sur</t>
  </si>
  <si>
    <t>Pre. Finos</t>
  </si>
  <si>
    <t>Mediana Ley Bronces</t>
  </si>
  <si>
    <t>Produccion Total</t>
  </si>
  <si>
    <t>Fet</t>
  </si>
  <si>
    <t>Fem</t>
  </si>
  <si>
    <t>Rechazo total</t>
  </si>
  <si>
    <t>%Rp Granzas</t>
  </si>
  <si>
    <t>Transporte</t>
  </si>
  <si>
    <t>Prec. Granzas a Romeral (ML)</t>
  </si>
  <si>
    <t>Prec. Finos a Romeral (ML)</t>
  </si>
  <si>
    <t xml:space="preserve">Prec. Mixtos 2 a Romeral </t>
  </si>
  <si>
    <t>Finos a Romeral</t>
  </si>
  <si>
    <t>Granzas a Guayacán</t>
  </si>
  <si>
    <t>Finos a Guayacán</t>
  </si>
  <si>
    <t>Otros Movimientos</t>
  </si>
  <si>
    <t>Transporte Alta Ley a ROM</t>
  </si>
  <si>
    <t>Transporte Mediana Ley a ROM</t>
  </si>
  <si>
    <t>Comentarios</t>
  </si>
  <si>
    <t>1. Se obtienen las siguientes recuperaciones:</t>
  </si>
  <si>
    <t>Material</t>
  </si>
  <si>
    <t xml:space="preserve">Material </t>
  </si>
  <si>
    <t>%Rp actual</t>
  </si>
  <si>
    <t>%Rp Propuesto</t>
  </si>
  <si>
    <t>2. Se consideran 5.769 ton de rechazo como movimientos adicionales  a mina.</t>
  </si>
  <si>
    <t>AL</t>
  </si>
  <si>
    <t>ML</t>
  </si>
  <si>
    <t>Recuperaciones</t>
  </si>
  <si>
    <t>sept. 21</t>
  </si>
  <si>
    <t>oct. 21</t>
  </si>
  <si>
    <t>granzas</t>
  </si>
  <si>
    <t>finos</t>
  </si>
  <si>
    <t>premixto 1</t>
  </si>
  <si>
    <t>premixto 2</t>
  </si>
  <si>
    <t>Pre granzas</t>
  </si>
  <si>
    <t>Prefinos</t>
  </si>
  <si>
    <t>Rechazos</t>
  </si>
  <si>
    <t>Planta Pleito Tambor 2</t>
  </si>
  <si>
    <t>Cubicaciones</t>
  </si>
  <si>
    <t>Comprobacion</t>
  </si>
  <si>
    <t>%FeM</t>
  </si>
  <si>
    <t>REMANENTES inicio periodo</t>
  </si>
  <si>
    <t>REMANENTES fin periodo</t>
  </si>
  <si>
    <t>Alta Ley</t>
  </si>
  <si>
    <t>Alimentación Alta Ley 1</t>
  </si>
  <si>
    <t>Alimentación Alta Ley 2</t>
  </si>
  <si>
    <t>Alimentación Bronces</t>
  </si>
  <si>
    <t>Producción a  Granzas</t>
  </si>
  <si>
    <t>Producción a Finos</t>
  </si>
  <si>
    <t>Pre. Granzas</t>
  </si>
  <si>
    <t>Producción  a Mixto 1</t>
  </si>
  <si>
    <t>Producción  a Mixto 2</t>
  </si>
  <si>
    <t>ML Acopio</t>
  </si>
  <si>
    <t>Verificar con sap stock iniciales</t>
  </si>
  <si>
    <t>REMANENTES BOTADERO fin periodo</t>
  </si>
  <si>
    <t>Rechazo Planta (m3)</t>
  </si>
  <si>
    <t>Densidad</t>
  </si>
  <si>
    <t>Rechazo Planta (ton)</t>
  </si>
  <si>
    <t>Transporte Alta Ley a Romeral</t>
  </si>
  <si>
    <t>Rechazo Planta (ton) balance</t>
  </si>
  <si>
    <t>MEDIANA LEY</t>
  </si>
  <si>
    <t>Alim Med Ley</t>
  </si>
  <si>
    <t>Material en caminos y varios</t>
  </si>
  <si>
    <t>Alim Bronces ML</t>
  </si>
  <si>
    <t>Informado por Depetris</t>
  </si>
  <si>
    <t>Alim ML desde Acopio</t>
  </si>
  <si>
    <t>Delta</t>
  </si>
  <si>
    <t>Transporte Prec  Granzas a Romeral</t>
  </si>
  <si>
    <t>Transp Prec Finos a Romeral</t>
  </si>
  <si>
    <t xml:space="preserve"> </t>
  </si>
  <si>
    <t>Transp de Acopio ML a Romeral</t>
  </si>
  <si>
    <t>Transporte noche 13-10</t>
  </si>
  <si>
    <t>Transporte noche  20-09</t>
  </si>
  <si>
    <t>Transporte noche 27-10</t>
  </si>
  <si>
    <t>Transporte noche 19-05</t>
  </si>
  <si>
    <t>Codigo</t>
  </si>
  <si>
    <t>Stock Inicial Sap</t>
  </si>
  <si>
    <t>Ajuste</t>
  </si>
  <si>
    <t>Preconcentrados (Mixto 2 + Pregranza + Prefino)</t>
  </si>
  <si>
    <t>cub ini</t>
  </si>
  <si>
    <t>cub fin</t>
  </si>
  <si>
    <t>final - ini</t>
  </si>
  <si>
    <t>Valor del Nodo</t>
  </si>
  <si>
    <t>Cub final Balanceada</t>
  </si>
  <si>
    <t>stock Granzas</t>
  </si>
  <si>
    <t>Stock Finos</t>
  </si>
  <si>
    <t>Stock Mixto 1</t>
  </si>
  <si>
    <t>Stock Mixto 2</t>
  </si>
  <si>
    <t>stock  Prec Granzas</t>
  </si>
  <si>
    <t>Stock  Prec Finos</t>
  </si>
  <si>
    <t>Stock Rechazos</t>
  </si>
  <si>
    <t>Stock ML</t>
  </si>
  <si>
    <t>Stock botadero</t>
  </si>
  <si>
    <t>alim</t>
  </si>
  <si>
    <t>Prod T</t>
  </si>
  <si>
    <t>Valor Inicial</t>
  </si>
  <si>
    <t>Valores Calculados</t>
  </si>
  <si>
    <t>TMF Fe</t>
  </si>
  <si>
    <t>%FeMag</t>
  </si>
  <si>
    <t>TMF Fe Mag</t>
  </si>
  <si>
    <t>BALANCE GLOBAL MASA</t>
  </si>
  <si>
    <t>ENTRADAS</t>
  </si>
  <si>
    <t>VARIACIONES DE INVENTARIOS</t>
  </si>
  <si>
    <t>SALIDAS</t>
  </si>
  <si>
    <t>Alim Alta Ley 1</t>
  </si>
  <si>
    <t>Stock Granzas</t>
  </si>
  <si>
    <t>Alim Alta Ley 2</t>
  </si>
  <si>
    <t xml:space="preserve">Stock Finos  </t>
  </si>
  <si>
    <t>Alim AL Bornces</t>
  </si>
  <si>
    <t>Stock Prec Mixto 1</t>
  </si>
  <si>
    <t>Transporte Mixto 1 a Romeral</t>
  </si>
  <si>
    <t>TOTAL ENTRADAS</t>
  </si>
  <si>
    <t xml:space="preserve">VAR NETA </t>
  </si>
  <si>
    <t>ENTRADAS - VAR INVENTARIO - SALIDAS</t>
  </si>
  <si>
    <t>BALANCE GLOBAL FINOS</t>
  </si>
  <si>
    <t>Delta Stock S/Bal</t>
  </si>
  <si>
    <t>Deltas Stock Balanceado</t>
  </si>
  <si>
    <t>Rec P Granzas</t>
  </si>
  <si>
    <t>Rec P Finos</t>
  </si>
  <si>
    <t>ML Pleitos</t>
  </si>
  <si>
    <t>Stock Prec Granzas</t>
  </si>
  <si>
    <t xml:space="preserve">Transporte  Prec Granzas </t>
  </si>
  <si>
    <t>ML Bronces</t>
  </si>
  <si>
    <t>Stock Prec Finos</t>
  </si>
  <si>
    <t>Transporte Prec Finos</t>
  </si>
  <si>
    <t>Transporte a Botadero</t>
  </si>
  <si>
    <t>BALANCE GLOBAL FINO FeT</t>
  </si>
  <si>
    <t>BALANCE GLOBAL FINO FeMag</t>
  </si>
  <si>
    <t>FeMag &lt; 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</si>
</sst>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rgb="FF2F5496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42424"/>
      <name val="Quattrocento Sans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2F5496"/>
      <name val="Calibri"/>
      <family val="2"/>
    </font>
    <font>
      <sz val="10"/>
      <color theme="1"/>
      <name val="Calibri"/>
      <family val="2"/>
    </font>
    <font>
      <b/>
      <sz val="10"/>
      <color rgb="FFC00000"/>
      <name val="Calibri"/>
      <family val="2"/>
    </font>
    <font>
      <b/>
      <sz val="10"/>
      <color rgb="FF2E75B5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2E75B5"/>
        <bgColor rgb="FF2E75B5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EABAB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AEABAB"/>
      </bottom>
      <diagonal/>
    </border>
    <border>
      <left/>
      <right/>
      <top style="thin">
        <color rgb="FF7F7F7F"/>
      </top>
      <bottom style="thin">
        <color rgb="FFAEABAB"/>
      </bottom>
      <diagonal/>
    </border>
    <border>
      <left/>
      <right style="thin">
        <color rgb="FF7F7F7F"/>
      </right>
      <top style="thin">
        <color rgb="FF7F7F7F"/>
      </top>
      <bottom style="thin">
        <color rgb="FFAEABAB"/>
      </bottom>
      <diagonal/>
    </border>
    <border>
      <left style="thin">
        <color rgb="FF7F7F7F"/>
      </left>
      <right/>
      <top style="thin">
        <color rgb="FFAEABAB"/>
      </top>
      <bottom/>
      <diagonal/>
    </border>
    <border>
      <left/>
      <right/>
      <top style="thin">
        <color rgb="FFAEABAB"/>
      </top>
      <bottom/>
      <diagonal/>
    </border>
    <border>
      <left/>
      <right style="thin">
        <color rgb="FF7F7F7F"/>
      </right>
      <top style="thin">
        <color rgb="FFAEABAB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1" fillId="4" borderId="4" xfId="0" applyFont="1" applyFill="1" applyBorder="1"/>
    <xf numFmtId="0" fontId="1" fillId="5" borderId="4" xfId="0" applyFont="1" applyFill="1" applyBorder="1" applyAlignment="1">
      <alignment wrapText="1"/>
    </xf>
    <xf numFmtId="0" fontId="1" fillId="2" borderId="4" xfId="0" applyFont="1" applyFill="1" applyBorder="1"/>
    <xf numFmtId="0" fontId="3" fillId="3" borderId="4" xfId="0" applyFont="1" applyFill="1" applyBorder="1" applyAlignment="1">
      <alignment horizontal="center"/>
    </xf>
    <xf numFmtId="10" fontId="1" fillId="6" borderId="4" xfId="0" applyNumberFormat="1" applyFont="1" applyFill="1" applyBorder="1"/>
    <xf numFmtId="0" fontId="4" fillId="7" borderId="4" xfId="0" applyFont="1" applyFill="1" applyBorder="1"/>
    <xf numFmtId="3" fontId="3" fillId="0" borderId="4" xfId="0" applyNumberFormat="1" applyFont="1" applyBorder="1"/>
    <xf numFmtId="10" fontId="3" fillId="0" borderId="4" xfId="0" applyNumberFormat="1" applyFont="1" applyBorder="1"/>
    <xf numFmtId="164" fontId="3" fillId="0" borderId="4" xfId="0" applyNumberFormat="1" applyFont="1" applyBorder="1"/>
    <xf numFmtId="0" fontId="4" fillId="3" borderId="4" xfId="0" applyFont="1" applyFill="1" applyBorder="1"/>
    <xf numFmtId="0" fontId="1" fillId="0" borderId="0" xfId="0" applyFont="1"/>
    <xf numFmtId="3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wrapText="1"/>
    </xf>
    <xf numFmtId="10" fontId="4" fillId="0" borderId="0" xfId="0" applyNumberFormat="1" applyFont="1"/>
    <xf numFmtId="164" fontId="4" fillId="0" borderId="0" xfId="0" applyNumberFormat="1" applyFont="1"/>
    <xf numFmtId="9" fontId="4" fillId="0" borderId="0" xfId="0" applyNumberFormat="1" applyFont="1"/>
    <xf numFmtId="10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0" xfId="0" applyFont="1"/>
    <xf numFmtId="17" fontId="4" fillId="0" borderId="0" xfId="0" applyNumberFormat="1" applyFont="1"/>
    <xf numFmtId="14" fontId="4" fillId="0" borderId="0" xfId="0" applyNumberFormat="1" applyFont="1"/>
    <xf numFmtId="165" fontId="4" fillId="0" borderId="0" xfId="0" applyNumberFormat="1" applyFont="1" applyAlignment="1">
      <alignment horizontal="center"/>
    </xf>
    <xf numFmtId="3" fontId="4" fillId="0" borderId="9" xfId="0" applyNumberFormat="1" applyFont="1" applyBorder="1"/>
    <xf numFmtId="0" fontId="9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4" fillId="0" borderId="16" xfId="0" applyFont="1" applyBorder="1"/>
    <xf numFmtId="3" fontId="4" fillId="0" borderId="16" xfId="0" applyNumberFormat="1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3" fontId="4" fillId="0" borderId="0" xfId="0" applyNumberFormat="1" applyFont="1"/>
    <xf numFmtId="0" fontId="4" fillId="0" borderId="14" xfId="0" applyFont="1" applyBorder="1"/>
    <xf numFmtId="3" fontId="4" fillId="0" borderId="1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4" fillId="0" borderId="17" xfId="0" applyFont="1" applyBorder="1"/>
    <xf numFmtId="2" fontId="4" fillId="0" borderId="16" xfId="0" applyNumberFormat="1" applyFont="1" applyBorder="1" applyAlignment="1">
      <alignment horizontal="center"/>
    </xf>
    <xf numFmtId="3" fontId="4" fillId="0" borderId="18" xfId="0" applyNumberFormat="1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19" xfId="0" applyNumberFormat="1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5" xfId="0" applyFont="1" applyBorder="1" applyAlignment="1">
      <alignment horizontal="center" vertical="center"/>
    </xf>
    <xf numFmtId="10" fontId="4" fillId="0" borderId="20" xfId="0" applyNumberFormat="1" applyFont="1" applyBorder="1"/>
    <xf numFmtId="10" fontId="4" fillId="0" borderId="21" xfId="0" applyNumberFormat="1" applyFont="1" applyBorder="1"/>
    <xf numFmtId="165" fontId="4" fillId="0" borderId="0" xfId="0" applyNumberFormat="1" applyFont="1"/>
    <xf numFmtId="4" fontId="4" fillId="0" borderId="0" xfId="0" applyNumberFormat="1" applyFont="1"/>
    <xf numFmtId="0" fontId="4" fillId="0" borderId="14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8" xfId="0" applyFont="1" applyBorder="1" applyAlignment="1">
      <alignment vertical="top" wrapText="1"/>
    </xf>
    <xf numFmtId="0" fontId="4" fillId="0" borderId="29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9" fillId="0" borderId="30" xfId="0" applyFont="1" applyBorder="1" applyAlignment="1">
      <alignment vertical="top" wrapText="1"/>
    </xf>
    <xf numFmtId="0" fontId="9" fillId="0" borderId="30" xfId="0" applyFont="1" applyBorder="1" applyAlignment="1">
      <alignment horizontal="center"/>
    </xf>
    <xf numFmtId="0" fontId="4" fillId="0" borderId="30" xfId="0" applyFont="1" applyBorder="1" applyAlignment="1">
      <alignment vertical="top" wrapText="1"/>
    </xf>
    <xf numFmtId="165" fontId="4" fillId="0" borderId="30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16" fontId="4" fillId="0" borderId="0" xfId="0" applyNumberFormat="1" applyFont="1" applyAlignment="1">
      <alignment horizontal="center"/>
    </xf>
    <xf numFmtId="16" fontId="4" fillId="0" borderId="0" xfId="0" applyNumberFormat="1" applyFont="1"/>
    <xf numFmtId="3" fontId="4" fillId="0" borderId="4" xfId="0" applyNumberFormat="1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4" fillId="9" borderId="4" xfId="0" applyFont="1" applyFill="1" applyBorder="1"/>
    <xf numFmtId="0" fontId="11" fillId="10" borderId="4" xfId="0" applyFont="1" applyFill="1" applyBorder="1"/>
    <xf numFmtId="164" fontId="9" fillId="0" borderId="0" xfId="0" applyNumberFormat="1" applyFont="1" applyAlignment="1">
      <alignment horizontal="right"/>
    </xf>
    <xf numFmtId="0" fontId="4" fillId="11" borderId="37" xfId="0" applyFont="1" applyFill="1" applyBorder="1"/>
    <xf numFmtId="3" fontId="4" fillId="11" borderId="37" xfId="0" applyNumberFormat="1" applyFont="1" applyFill="1" applyBorder="1"/>
    <xf numFmtId="0" fontId="9" fillId="12" borderId="38" xfId="0" applyFont="1" applyFill="1" applyBorder="1"/>
    <xf numFmtId="0" fontId="9" fillId="12" borderId="38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right"/>
    </xf>
    <xf numFmtId="0" fontId="4" fillId="13" borderId="42" xfId="0" applyFont="1" applyFill="1" applyBorder="1"/>
    <xf numFmtId="3" fontId="4" fillId="0" borderId="42" xfId="0" applyNumberFormat="1" applyFont="1" applyBorder="1"/>
    <xf numFmtId="164" fontId="4" fillId="0" borderId="42" xfId="0" applyNumberFormat="1" applyFont="1" applyBorder="1"/>
    <xf numFmtId="0" fontId="9" fillId="0" borderId="43" xfId="0" applyFont="1" applyBorder="1" applyAlignment="1">
      <alignment horizontal="left"/>
    </xf>
    <xf numFmtId="3" fontId="4" fillId="0" borderId="44" xfId="0" applyNumberFormat="1" applyFont="1" applyBorder="1"/>
    <xf numFmtId="0" fontId="9" fillId="0" borderId="43" xfId="0" applyFont="1" applyBorder="1"/>
    <xf numFmtId="0" fontId="4" fillId="13" borderId="4" xfId="0" applyFont="1" applyFill="1" applyBorder="1"/>
    <xf numFmtId="3" fontId="4" fillId="0" borderId="4" xfId="0" applyNumberFormat="1" applyFont="1" applyBorder="1"/>
    <xf numFmtId="164" fontId="4" fillId="0" borderId="4" xfId="0" applyNumberFormat="1" applyFont="1" applyBorder="1"/>
    <xf numFmtId="0" fontId="9" fillId="0" borderId="46" xfId="0" applyFont="1" applyBorder="1" applyAlignment="1">
      <alignment horizontal="left"/>
    </xf>
    <xf numFmtId="3" fontId="4" fillId="0" borderId="47" xfId="0" applyNumberFormat="1" applyFont="1" applyBorder="1"/>
    <xf numFmtId="0" fontId="9" fillId="0" borderId="46" xfId="0" applyFont="1" applyBorder="1"/>
    <xf numFmtId="0" fontId="4" fillId="14" borderId="4" xfId="0" applyFont="1" applyFill="1" applyBorder="1"/>
    <xf numFmtId="3" fontId="12" fillId="0" borderId="4" xfId="0" applyNumberFormat="1" applyFont="1" applyBorder="1"/>
    <xf numFmtId="0" fontId="9" fillId="15" borderId="46" xfId="0" applyFont="1" applyFill="1" applyBorder="1" applyAlignment="1">
      <alignment horizontal="left"/>
    </xf>
    <xf numFmtId="3" fontId="4" fillId="15" borderId="47" xfId="0" applyNumberFormat="1" applyFont="1" applyFill="1" applyBorder="1"/>
    <xf numFmtId="0" fontId="9" fillId="15" borderId="46" xfId="0" applyFont="1" applyFill="1" applyBorder="1"/>
    <xf numFmtId="0" fontId="4" fillId="15" borderId="4" xfId="0" applyFont="1" applyFill="1" applyBorder="1"/>
    <xf numFmtId="2" fontId="4" fillId="0" borderId="47" xfId="0" applyNumberFormat="1" applyFont="1" applyBorder="1"/>
    <xf numFmtId="0" fontId="9" fillId="0" borderId="48" xfId="0" applyFont="1" applyBorder="1" applyAlignment="1">
      <alignment horizontal="left"/>
    </xf>
    <xf numFmtId="3" fontId="4" fillId="0" borderId="49" xfId="0" applyNumberFormat="1" applyFont="1" applyBorder="1"/>
    <xf numFmtId="3" fontId="13" fillId="0" borderId="0" xfId="0" applyNumberFormat="1" applyFont="1"/>
    <xf numFmtId="164" fontId="12" fillId="0" borderId="4" xfId="0" applyNumberFormat="1" applyFont="1" applyBorder="1"/>
    <xf numFmtId="0" fontId="9" fillId="3" borderId="50" xfId="0" applyFont="1" applyFill="1" applyBorder="1" applyAlignment="1">
      <alignment horizontal="left"/>
    </xf>
    <xf numFmtId="0" fontId="4" fillId="3" borderId="51" xfId="0" applyFont="1" applyFill="1" applyBorder="1"/>
    <xf numFmtId="0" fontId="9" fillId="0" borderId="4" xfId="0" applyFont="1" applyBorder="1"/>
    <xf numFmtId="3" fontId="4" fillId="3" borderId="4" xfId="0" applyNumberFormat="1" applyFont="1" applyFill="1" applyBorder="1"/>
    <xf numFmtId="164" fontId="4" fillId="3" borderId="4" xfId="0" applyNumberFormat="1" applyFont="1" applyFill="1" applyBorder="1"/>
    <xf numFmtId="4" fontId="4" fillId="0" borderId="4" xfId="0" applyNumberFormat="1" applyFont="1" applyBorder="1"/>
    <xf numFmtId="0" fontId="4" fillId="0" borderId="8" xfId="0" applyFont="1" applyBorder="1" applyAlignment="1">
      <alignment horizontal="center" vertical="center" textRotation="255"/>
    </xf>
    <xf numFmtId="0" fontId="4" fillId="15" borderId="52" xfId="0" applyFont="1" applyFill="1" applyBorder="1"/>
    <xf numFmtId="3" fontId="4" fillId="0" borderId="53" xfId="0" applyNumberFormat="1" applyFont="1" applyBorder="1"/>
    <xf numFmtId="164" fontId="4" fillId="0" borderId="53" xfId="0" applyNumberFormat="1" applyFont="1" applyBorder="1"/>
    <xf numFmtId="0" fontId="9" fillId="0" borderId="0" xfId="0" applyFont="1"/>
    <xf numFmtId="0" fontId="4" fillId="13" borderId="54" xfId="0" applyFont="1" applyFill="1" applyBorder="1"/>
    <xf numFmtId="3" fontId="4" fillId="13" borderId="4" xfId="0" applyNumberFormat="1" applyFont="1" applyFill="1" applyBorder="1"/>
    <xf numFmtId="164" fontId="4" fillId="13" borderId="4" xfId="0" applyNumberFormat="1" applyFont="1" applyFill="1" applyBorder="1"/>
    <xf numFmtId="0" fontId="4" fillId="13" borderId="56" xfId="0" applyFont="1" applyFill="1" applyBorder="1"/>
    <xf numFmtId="0" fontId="4" fillId="14" borderId="56" xfId="0" applyFont="1" applyFill="1" applyBorder="1"/>
    <xf numFmtId="0" fontId="4" fillId="15" borderId="56" xfId="0" applyFont="1" applyFill="1" applyBorder="1"/>
    <xf numFmtId="164" fontId="12" fillId="3" borderId="4" xfId="0" applyNumberFormat="1" applyFont="1" applyFill="1" applyBorder="1"/>
    <xf numFmtId="0" fontId="4" fillId="15" borderId="57" xfId="0" applyFont="1" applyFill="1" applyBorder="1"/>
    <xf numFmtId="3" fontId="4" fillId="0" borderId="58" xfId="0" applyNumberFormat="1" applyFont="1" applyBorder="1"/>
    <xf numFmtId="164" fontId="12" fillId="0" borderId="58" xfId="0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4" fillId="15" borderId="59" xfId="0" applyFont="1" applyFill="1" applyBorder="1"/>
    <xf numFmtId="0" fontId="4" fillId="15" borderId="60" xfId="0" applyFont="1" applyFill="1" applyBorder="1"/>
    <xf numFmtId="2" fontId="4" fillId="0" borderId="0" xfId="0" applyNumberFormat="1" applyFont="1" applyAlignment="1">
      <alignment horizontal="center" vertical="center"/>
    </xf>
    <xf numFmtId="0" fontId="4" fillId="15" borderId="61" xfId="0" applyFont="1" applyFill="1" applyBorder="1"/>
    <xf numFmtId="0" fontId="4" fillId="15" borderId="62" xfId="0" applyFont="1" applyFill="1" applyBorder="1"/>
    <xf numFmtId="0" fontId="4" fillId="0" borderId="4" xfId="0" applyFont="1" applyBorder="1" applyAlignment="1">
      <alignment wrapText="1"/>
    </xf>
    <xf numFmtId="3" fontId="4" fillId="0" borderId="4" xfId="0" applyNumberFormat="1" applyFont="1" applyBorder="1" applyAlignment="1">
      <alignment horizontal="center" vertical="center"/>
    </xf>
    <xf numFmtId="0" fontId="4" fillId="0" borderId="30" xfId="0" applyFont="1" applyBorder="1"/>
    <xf numFmtId="3" fontId="4" fillId="0" borderId="30" xfId="0" applyNumberFormat="1" applyFont="1" applyBorder="1"/>
    <xf numFmtId="0" fontId="4" fillId="0" borderId="0" xfId="0" applyFont="1" applyAlignment="1">
      <alignment wrapText="1"/>
    </xf>
    <xf numFmtId="0" fontId="4" fillId="16" borderId="4" xfId="0" applyFont="1" applyFill="1" applyBorder="1" applyAlignment="1">
      <alignment vertical="center"/>
    </xf>
    <xf numFmtId="0" fontId="4" fillId="16" borderId="4" xfId="0" applyFont="1" applyFill="1" applyBorder="1"/>
    <xf numFmtId="0" fontId="4" fillId="17" borderId="37" xfId="0" applyFont="1" applyFill="1" applyBorder="1"/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14" borderId="38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10" fontId="9" fillId="0" borderId="0" xfId="0" applyNumberFormat="1" applyFont="1"/>
    <xf numFmtId="10" fontId="16" fillId="0" borderId="0" xfId="0" applyNumberFormat="1" applyFont="1"/>
    <xf numFmtId="10" fontId="9" fillId="0" borderId="0" xfId="0" applyNumberFormat="1" applyFont="1" applyAlignment="1">
      <alignment horizontal="center"/>
    </xf>
    <xf numFmtId="3" fontId="4" fillId="12" borderId="4" xfId="0" applyNumberFormat="1" applyFont="1" applyFill="1" applyBorder="1"/>
    <xf numFmtId="10" fontId="4" fillId="12" borderId="4" xfId="0" applyNumberFormat="1" applyFont="1" applyFill="1" applyBorder="1"/>
    <xf numFmtId="10" fontId="4" fillId="0" borderId="0" xfId="0" applyNumberFormat="1" applyFont="1" applyAlignment="1">
      <alignment horizontal="center"/>
    </xf>
    <xf numFmtId="0" fontId="4" fillId="0" borderId="1" xfId="0" applyFont="1" applyBorder="1"/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10" fontId="4" fillId="0" borderId="4" xfId="0" applyNumberFormat="1" applyFont="1" applyBorder="1"/>
    <xf numFmtId="10" fontId="4" fillId="12" borderId="38" xfId="0" applyNumberFormat="1" applyFont="1" applyFill="1" applyBorder="1"/>
    <xf numFmtId="10" fontId="9" fillId="12" borderId="4" xfId="0" applyNumberFormat="1" applyFont="1" applyFill="1" applyBorder="1"/>
    <xf numFmtId="10" fontId="4" fillId="12" borderId="66" xfId="0" applyNumberFormat="1" applyFont="1" applyFill="1" applyBorder="1"/>
    <xf numFmtId="3" fontId="10" fillId="0" borderId="0" xfId="0" applyNumberFormat="1" applyFont="1" applyAlignment="1">
      <alignment horizontal="right"/>
    </xf>
    <xf numFmtId="10" fontId="17" fillId="0" borderId="0" xfId="0" applyNumberFormat="1" applyFont="1" applyAlignment="1">
      <alignment horizontal="right"/>
    </xf>
    <xf numFmtId="0" fontId="4" fillId="18" borderId="37" xfId="0" applyFont="1" applyFill="1" applyBorder="1"/>
    <xf numFmtId="3" fontId="18" fillId="0" borderId="0" xfId="0" applyNumberFormat="1" applyFont="1" applyAlignment="1">
      <alignment horizontal="right"/>
    </xf>
    <xf numFmtId="0" fontId="4" fillId="18" borderId="67" xfId="0" applyFont="1" applyFill="1" applyBorder="1"/>
    <xf numFmtId="3" fontId="19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center"/>
    </xf>
    <xf numFmtId="0" fontId="15" fillId="0" borderId="0" xfId="0" applyFont="1"/>
    <xf numFmtId="3" fontId="4" fillId="0" borderId="4" xfId="0" applyNumberFormat="1" applyFont="1" applyBorder="1" applyAlignment="1">
      <alignment horizontal="right" vertical="center"/>
    </xf>
    <xf numFmtId="3" fontId="4" fillId="0" borderId="4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vertical="center"/>
    </xf>
    <xf numFmtId="3" fontId="20" fillId="0" borderId="4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4" xfId="0" applyNumberFormat="1" applyFont="1" applyBorder="1" applyAlignment="1">
      <alignment horizontal="center" vertical="center"/>
    </xf>
    <xf numFmtId="0" fontId="4" fillId="0" borderId="69" xfId="0" applyFont="1" applyBorder="1"/>
    <xf numFmtId="0" fontId="4" fillId="0" borderId="69" xfId="0" applyFont="1" applyBorder="1" applyAlignment="1">
      <alignment horizontal="center" wrapText="1"/>
    </xf>
    <xf numFmtId="10" fontId="4" fillId="18" borderId="37" xfId="0" applyNumberFormat="1" applyFont="1" applyFill="1" applyBorder="1"/>
    <xf numFmtId="10" fontId="4" fillId="0" borderId="0" xfId="0" applyNumberFormat="1" applyFont="1" applyAlignment="1">
      <alignment horizontal="left"/>
    </xf>
    <xf numFmtId="0" fontId="9" fillId="6" borderId="4" xfId="0" applyFont="1" applyFill="1" applyBorder="1"/>
    <xf numFmtId="164" fontId="10" fillId="0" borderId="4" xfId="0" applyNumberFormat="1" applyFont="1" applyBorder="1" applyAlignment="1">
      <alignment horizontal="left"/>
    </xf>
    <xf numFmtId="3" fontId="4" fillId="18" borderId="37" xfId="0" applyNumberFormat="1" applyFont="1" applyFill="1" applyBorder="1"/>
    <xf numFmtId="3" fontId="4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0" fontId="21" fillId="0" borderId="0" xfId="0" applyFont="1"/>
    <xf numFmtId="4" fontId="4" fillId="0" borderId="0" xfId="0" applyNumberFormat="1" applyFont="1" applyAlignment="1">
      <alignment horizontal="center"/>
    </xf>
    <xf numFmtId="0" fontId="4" fillId="19" borderId="37" xfId="0" applyFont="1" applyFill="1" applyBorder="1"/>
    <xf numFmtId="3" fontId="4" fillId="19" borderId="4" xfId="0" applyNumberFormat="1" applyFont="1" applyFill="1" applyBorder="1"/>
    <xf numFmtId="10" fontId="4" fillId="19" borderId="4" xfId="0" applyNumberFormat="1" applyFont="1" applyFill="1" applyBorder="1"/>
    <xf numFmtId="0" fontId="4" fillId="17" borderId="71" xfId="0" applyFont="1" applyFill="1" applyBorder="1" applyAlignment="1">
      <alignment horizontal="center"/>
    </xf>
    <xf numFmtId="3" fontId="4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/>
    <xf numFmtId="0" fontId="9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8" fillId="8" borderId="13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4" fillId="0" borderId="25" xfId="0" applyFont="1" applyBorder="1" applyAlignment="1">
      <alignment horizontal="left" vertical="top" wrapText="1"/>
    </xf>
    <xf numFmtId="0" fontId="2" fillId="0" borderId="26" xfId="0" applyFont="1" applyBorder="1"/>
    <xf numFmtId="0" fontId="2" fillId="0" borderId="27" xfId="0" applyFont="1" applyBorder="1"/>
    <xf numFmtId="0" fontId="4" fillId="0" borderId="28" xfId="0" applyFont="1" applyBorder="1" applyAlignment="1">
      <alignment horizontal="left" vertical="top" wrapText="1"/>
    </xf>
    <xf numFmtId="0" fontId="2" fillId="0" borderId="29" xfId="0" applyFont="1" applyBorder="1"/>
    <xf numFmtId="0" fontId="4" fillId="0" borderId="31" xfId="0" applyFont="1" applyBorder="1" applyAlignment="1">
      <alignment horizontal="left" vertical="top" wrapText="1"/>
    </xf>
    <xf numFmtId="0" fontId="2" fillId="0" borderId="32" xfId="0" applyFont="1" applyBorder="1"/>
    <xf numFmtId="0" fontId="2" fillId="0" borderId="33" xfId="0" applyFont="1" applyBorder="1"/>
    <xf numFmtId="0" fontId="7" fillId="8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4" fontId="4" fillId="0" borderId="0" xfId="0" applyNumberFormat="1" applyFont="1" applyAlignment="1">
      <alignment horizontal="center"/>
    </xf>
    <xf numFmtId="0" fontId="14" fillId="0" borderId="17" xfId="0" applyFont="1" applyBorder="1" applyAlignment="1">
      <alignment horizontal="center" vertical="center" textRotation="255"/>
    </xf>
    <xf numFmtId="0" fontId="2" fillId="0" borderId="55" xfId="0" applyFont="1" applyBorder="1"/>
    <xf numFmtId="0" fontId="2" fillId="0" borderId="18" xfId="0" applyFont="1" applyBorder="1"/>
    <xf numFmtId="0" fontId="4" fillId="0" borderId="34" xfId="0" applyFont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9" fillId="3" borderId="39" xfId="0" applyFont="1" applyFill="1" applyBorder="1" applyAlignment="1">
      <alignment horizontal="center"/>
    </xf>
    <xf numFmtId="0" fontId="2" fillId="0" borderId="40" xfId="0" applyFont="1" applyBorder="1"/>
    <xf numFmtId="0" fontId="4" fillId="0" borderId="41" xfId="0" applyFont="1" applyBorder="1" applyAlignment="1">
      <alignment horizontal="center" vertical="center" textRotation="255"/>
    </xf>
    <xf numFmtId="0" fontId="2" fillId="0" borderId="45" xfId="0" applyFont="1" applyBorder="1"/>
    <xf numFmtId="0" fontId="9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" fillId="17" borderId="63" xfId="0" applyFont="1" applyFill="1" applyBorder="1" applyAlignment="1">
      <alignment horizontal="center"/>
    </xf>
    <xf numFmtId="0" fontId="2" fillId="0" borderId="64" xfId="0" applyFont="1" applyBorder="1"/>
    <xf numFmtId="0" fontId="2" fillId="0" borderId="65" xfId="0" applyFont="1" applyBorder="1"/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/>
    </xf>
    <xf numFmtId="0" fontId="2" fillId="0" borderId="68" xfId="0" applyFont="1" applyBorder="1"/>
    <xf numFmtId="0" fontId="1" fillId="0" borderId="1" xfId="0" applyFont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5" fillId="13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 vertical="center"/>
    </xf>
    <xf numFmtId="0" fontId="2" fillId="0" borderId="70" xfId="0" applyFont="1" applyBorder="1"/>
    <xf numFmtId="0" fontId="22" fillId="20" borderId="72" xfId="0" applyFont="1" applyFill="1" applyBorder="1" applyAlignment="1">
      <alignment wrapText="1"/>
    </xf>
    <xf numFmtId="10" fontId="23" fillId="21" borderId="72" xfId="0" applyNumberFormat="1" applyFont="1" applyFill="1" applyBorder="1"/>
    <xf numFmtId="0" fontId="24" fillId="0" borderId="72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523600174978129"/>
          <c:y val="3.240740740740740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 granzas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'!$D$75:$I$75</c:f>
              <c:numCache>
                <c:formatCode>0.0</c:formatCode>
                <c:ptCount val="6"/>
                <c:pt idx="0">
                  <c:v>46.798148845719204</c:v>
                </c:pt>
                <c:pt idx="1">
                  <c:v>39.50013108450581</c:v>
                </c:pt>
                <c:pt idx="2">
                  <c:v>40.718653153530447</c:v>
                </c:pt>
                <c:pt idx="3">
                  <c:v>41.73</c:v>
                </c:pt>
                <c:pt idx="4">
                  <c:v>49.6</c:v>
                </c:pt>
                <c:pt idx="5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F-6D49-97A6-546C3046D26E}"/>
            </c:ext>
          </c:extLst>
        </c:ser>
        <c:ser>
          <c:idx val="1"/>
          <c:order val="1"/>
          <c:tx>
            <c:v>Prefinos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'!$D$76:$I$76</c:f>
              <c:numCache>
                <c:formatCode>0.0</c:formatCode>
                <c:ptCount val="6"/>
                <c:pt idx="0">
                  <c:v>17.816014637033849</c:v>
                </c:pt>
                <c:pt idx="1">
                  <c:v>22.882111334440268</c:v>
                </c:pt>
                <c:pt idx="2">
                  <c:v>20.963229751235446</c:v>
                </c:pt>
                <c:pt idx="3">
                  <c:v>19.88</c:v>
                </c:pt>
                <c:pt idx="4">
                  <c:v>24.4</c:v>
                </c:pt>
                <c:pt idx="5" formatCode="General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F-6D49-97A6-546C3046D26E}"/>
            </c:ext>
          </c:extLst>
        </c:ser>
        <c:ser>
          <c:idx val="2"/>
          <c:order val="2"/>
          <c:tx>
            <c:v>Rechazos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'Reporte '!$D$70:$I$70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'!$D$77:$I$77</c:f>
              <c:numCache>
                <c:formatCode>0.0</c:formatCode>
                <c:ptCount val="6"/>
                <c:pt idx="0">
                  <c:v>35.384491201635903</c:v>
                </c:pt>
                <c:pt idx="1">
                  <c:v>37.616009787643101</c:v>
                </c:pt>
                <c:pt idx="2">
                  <c:v>38.318117095234108</c:v>
                </c:pt>
                <c:pt idx="3">
                  <c:v>38.39</c:v>
                </c:pt>
                <c:pt idx="4">
                  <c:v>26</c:v>
                </c:pt>
                <c:pt idx="5" formatCode="General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F-6D49-97A6-546C3046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23095"/>
        <c:axId val="1826546845"/>
      </c:lineChart>
      <c:catAx>
        <c:axId val="35602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CL"/>
          </a:p>
        </c:txPr>
        <c:crossAx val="1826546845"/>
        <c:crosses val="autoZero"/>
        <c:auto val="1"/>
        <c:lblAlgn val="ctr"/>
        <c:lblOffset val="100"/>
        <c:noMultiLvlLbl val="1"/>
      </c:catAx>
      <c:valAx>
        <c:axId val="182654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CL"/>
          </a:p>
        </c:txPr>
        <c:crossAx val="3560230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%Rp Granzas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'Reporte '!$W$37:$W$42</c:f>
              <c:numCache>
                <c:formatCode>m/d/yy</c:formatCode>
                <c:ptCount val="6"/>
                <c:pt idx="0">
                  <c:v>44725</c:v>
                </c:pt>
                <c:pt idx="1">
                  <c:v>44731</c:v>
                </c:pt>
                <c:pt idx="2">
                  <c:v>44742</c:v>
                </c:pt>
                <c:pt idx="3">
                  <c:v>44755</c:v>
                </c:pt>
                <c:pt idx="4">
                  <c:v>44773</c:v>
                </c:pt>
                <c:pt idx="5">
                  <c:v>44789</c:v>
                </c:pt>
              </c:numCache>
            </c:numRef>
          </c:cat>
          <c:val>
            <c:numRef>
              <c:f>'Reporte '!$X$37:$X$42</c:f>
              <c:numCache>
                <c:formatCode>0.0</c:formatCode>
                <c:ptCount val="6"/>
                <c:pt idx="0">
                  <c:v>23.202422604974736</c:v>
                </c:pt>
                <c:pt idx="1">
                  <c:v>28.95605755460387</c:v>
                </c:pt>
                <c:pt idx="2">
                  <c:v>31.81119552601232</c:v>
                </c:pt>
                <c:pt idx="3" formatCode="General">
                  <c:v>33.090909090909086</c:v>
                </c:pt>
                <c:pt idx="4" formatCode="General">
                  <c:v>29.311530250289223</c:v>
                </c:pt>
                <c:pt idx="5" formatCode="General">
                  <c:v>36.897265505739803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7-1E45-AD56-1D194588C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45976"/>
        <c:axId val="359686885"/>
      </c:lineChart>
      <c:dateAx>
        <c:axId val="204454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L"/>
              </a:p>
            </c:rich>
          </c:tx>
          <c:overlay val="0"/>
        </c:title>
        <c:numFmt formatCode="m/d/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CL"/>
          </a:p>
        </c:txPr>
        <c:crossAx val="359686885"/>
        <c:crosses val="autoZero"/>
        <c:auto val="1"/>
        <c:lblOffset val="100"/>
        <c:baseTimeUnit val="days"/>
      </c:dateAx>
      <c:valAx>
        <c:axId val="359686885"/>
        <c:scaling>
          <c:orientation val="minMax"/>
          <c:min val="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L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CL"/>
          </a:p>
        </c:txPr>
        <c:crossAx val="20445459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752475</xdr:colOff>
      <xdr:row>78</xdr:row>
      <xdr:rowOff>0</xdr:rowOff>
    </xdr:from>
    <xdr:ext cx="4352925" cy="2971800"/>
    <xdr:graphicFrame macro="">
      <xdr:nvGraphicFramePr>
        <xdr:cNvPr id="809833859" name="Chart 1">
          <a:extLst>
            <a:ext uri="{FF2B5EF4-FFF2-40B4-BE49-F238E27FC236}">
              <a16:creationId xmlns:a16="http://schemas.microsoft.com/office/drawing/2014/main" id="{00000000-0008-0000-0100-000083154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361950</xdr:colOff>
      <xdr:row>44</xdr:row>
      <xdr:rowOff>104775</xdr:rowOff>
    </xdr:from>
    <xdr:ext cx="4572000" cy="2867025"/>
    <xdr:graphicFrame macro="">
      <xdr:nvGraphicFramePr>
        <xdr:cNvPr id="252317590" name="Chart 2">
          <a:extLst>
            <a:ext uri="{FF2B5EF4-FFF2-40B4-BE49-F238E27FC236}">
              <a16:creationId xmlns:a16="http://schemas.microsoft.com/office/drawing/2014/main" id="{00000000-0008-0000-0100-0000960F0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714375</xdr:colOff>
      <xdr:row>1</xdr:row>
      <xdr:rowOff>180975</xdr:rowOff>
    </xdr:from>
    <xdr:ext cx="124777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14</xdr:row>
      <xdr:rowOff>161925</xdr:rowOff>
    </xdr:from>
    <xdr:ext cx="4095750" cy="3295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171450</xdr:colOff>
      <xdr:row>0</xdr:row>
      <xdr:rowOff>95250</xdr:rowOff>
    </xdr:from>
    <xdr:ext cx="4276725" cy="3476625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18</xdr:row>
      <xdr:rowOff>66675</xdr:rowOff>
    </xdr:from>
    <xdr:ext cx="3781425" cy="34385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676275</xdr:colOff>
      <xdr:row>18</xdr:row>
      <xdr:rowOff>161925</xdr:rowOff>
    </xdr:from>
    <xdr:ext cx="3819525" cy="4010025"/>
    <xdr:pic>
      <xdr:nvPicPr>
        <xdr:cNvPr id="5" name="image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381000</xdr:colOff>
      <xdr:row>0</xdr:row>
      <xdr:rowOff>76200</xdr:rowOff>
    </xdr:from>
    <xdr:ext cx="3895725" cy="375285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771525</xdr:colOff>
      <xdr:row>22</xdr:row>
      <xdr:rowOff>76200</xdr:rowOff>
    </xdr:from>
    <xdr:ext cx="5724525" cy="1028700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828675</xdr:colOff>
      <xdr:row>27</xdr:row>
      <xdr:rowOff>171450</xdr:rowOff>
    </xdr:from>
    <xdr:ext cx="3876675" cy="1295400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209550</xdr:colOff>
      <xdr:row>6</xdr:row>
      <xdr:rowOff>19050</xdr:rowOff>
    </xdr:from>
    <xdr:ext cx="1247775" cy="609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726875" y="3479963"/>
          <a:ext cx="1238250" cy="6000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Planta Pleito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714375</xdr:colOff>
      <xdr:row>7</xdr:row>
      <xdr:rowOff>114300</xdr:rowOff>
    </xdr:from>
    <xdr:ext cx="1028700" cy="409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590675" y="1447800"/>
          <a:ext cx="1028700" cy="409575"/>
          <a:chOff x="4836413" y="3580125"/>
          <a:chExt cx="1019100" cy="3999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CxnSpPr>
            <a:endCxn id="3" idx="1"/>
          </xdr:cNvCxnSpPr>
        </xdr:nvCxnSpPr>
        <xdr:spPr>
          <a:xfrm rot="10800000" flipH="1">
            <a:off x="4836413" y="3580125"/>
            <a:ext cx="1019100" cy="399900"/>
          </a:xfrm>
          <a:prstGeom prst="bentConnector3">
            <a:avLst>
              <a:gd name="adj1" fmla="val 64823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123825</xdr:colOff>
      <xdr:row>3</xdr:row>
      <xdr:rowOff>85725</xdr:rowOff>
    </xdr:from>
    <xdr:ext cx="838200" cy="4572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4931663" y="3556163"/>
          <a:ext cx="828675" cy="4476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Alta Ley 1 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25</xdr:row>
      <xdr:rowOff>85725</xdr:rowOff>
    </xdr:from>
    <xdr:ext cx="409575" cy="419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685800</xdr:colOff>
      <xdr:row>4</xdr:row>
      <xdr:rowOff>114300</xdr:rowOff>
    </xdr:from>
    <xdr:ext cx="409575" cy="41910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28575</xdr:colOff>
      <xdr:row>15</xdr:row>
      <xdr:rowOff>28575</xdr:rowOff>
    </xdr:from>
    <xdr:ext cx="400050" cy="41910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5150738" y="3575213"/>
          <a:ext cx="390525" cy="409575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85725</xdr:colOff>
      <xdr:row>6</xdr:row>
      <xdr:rowOff>85725</xdr:rowOff>
    </xdr:from>
    <xdr:ext cx="647700" cy="609600"/>
    <xdr:sp macro="" textlink="">
      <xdr:nvSpPr>
        <xdr:cNvPr id="9" name="Shap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026913" y="3479963"/>
          <a:ext cx="63817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Granzas</a:t>
          </a: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5</xdr:col>
      <xdr:colOff>723900</xdr:colOff>
      <xdr:row>13</xdr:row>
      <xdr:rowOff>0</xdr:rowOff>
    </xdr:from>
    <xdr:ext cx="1028700" cy="533400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4836413" y="3518063"/>
          <a:ext cx="1019175" cy="523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Finos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 o Sinter Feed</a:t>
          </a: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4</xdr:col>
      <xdr:colOff>28575</xdr:colOff>
      <xdr:row>35</xdr:row>
      <xdr:rowOff>104775</xdr:rowOff>
    </xdr:from>
    <xdr:ext cx="1419225" cy="304800"/>
    <xdr:sp macro="" textlink="">
      <xdr:nvSpPr>
        <xdr:cNvPr id="11" name="Shap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4641150" y="3632363"/>
          <a:ext cx="1409700" cy="2952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Prec. Mixto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4</xdr:col>
      <xdr:colOff>685800</xdr:colOff>
      <xdr:row>7</xdr:row>
      <xdr:rowOff>114300</xdr:rowOff>
    </xdr:from>
    <xdr:ext cx="1638300" cy="17621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pSpPr/>
      </xdr:nvGrpSpPr>
      <xdr:grpSpPr>
        <a:xfrm>
          <a:off x="4191000" y="1447800"/>
          <a:ext cx="1638300" cy="1762125"/>
          <a:chOff x="4469663" y="2965650"/>
          <a:chExt cx="1752600" cy="1628700"/>
        </a:xfrm>
      </xdr:grpSpPr>
      <xdr:cxnSp macro="">
        <xdr:nvCxnSpPr>
          <xdr:cNvPr id="13" name="Shape 11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>
            <a:stCxn id="3" idx="3"/>
          </xdr:cNvCxnSpPr>
        </xdr:nvCxnSpPr>
        <xdr:spPr>
          <a:xfrm rot="-5400000" flipH="1">
            <a:off x="4469663" y="2965650"/>
            <a:ext cx="1752600" cy="16287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685800</xdr:colOff>
      <xdr:row>5</xdr:row>
      <xdr:rowOff>114300</xdr:rowOff>
    </xdr:from>
    <xdr:ext cx="1638300" cy="40005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pSpPr/>
      </xdr:nvGrpSpPr>
      <xdr:grpSpPr>
        <a:xfrm>
          <a:off x="4191000" y="1066800"/>
          <a:ext cx="1638300" cy="400050"/>
          <a:chOff x="4531613" y="3580125"/>
          <a:chExt cx="1628700" cy="399900"/>
        </a:xfrm>
      </xdr:grpSpPr>
      <xdr:cxnSp macro="">
        <xdr:nvCxnSpPr>
          <xdr:cNvPr id="15" name="Shape 12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CxnSpPr>
            <a:stCxn id="3" idx="3"/>
            <a:endCxn id="13" idx="1"/>
          </xdr:cNvCxnSpPr>
        </xdr:nvCxnSpPr>
        <xdr:spPr>
          <a:xfrm rot="10800000" flipH="1">
            <a:off x="4531613" y="3580125"/>
            <a:ext cx="1628700" cy="3999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66675</xdr:colOff>
      <xdr:row>9</xdr:row>
      <xdr:rowOff>19050</xdr:rowOff>
    </xdr:from>
    <xdr:ext cx="1266825" cy="34766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pSpPr/>
      </xdr:nvGrpSpPr>
      <xdr:grpSpPr>
        <a:xfrm>
          <a:off x="3571875" y="1733550"/>
          <a:ext cx="1266825" cy="3476625"/>
          <a:chOff x="3612450" y="3151350"/>
          <a:chExt cx="3467100" cy="1257300"/>
        </a:xfrm>
      </xdr:grpSpPr>
      <xdr:cxnSp macro="">
        <xdr:nvCxnSpPr>
          <xdr:cNvPr id="17" name="Shape 14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>
            <a:stCxn id="3" idx="2"/>
            <a:endCxn id="6" idx="1"/>
          </xdr:cNvCxnSpPr>
        </xdr:nvCxnSpPr>
        <xdr:spPr>
          <a:xfrm rot="-5400000" flipH="1">
            <a:off x="3612450" y="3151350"/>
            <a:ext cx="3467100" cy="1257300"/>
          </a:xfrm>
          <a:prstGeom prst="bentConnector2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228600</xdr:colOff>
      <xdr:row>5</xdr:row>
      <xdr:rowOff>104775</xdr:rowOff>
    </xdr:from>
    <xdr:ext cx="103822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pSpPr/>
      </xdr:nvGrpSpPr>
      <xdr:grpSpPr>
        <a:xfrm>
          <a:off x="6362700" y="1057275"/>
          <a:ext cx="1038225" cy="38100"/>
          <a:chOff x="4826888" y="3780000"/>
          <a:chExt cx="1038300" cy="600"/>
        </a:xfrm>
      </xdr:grpSpPr>
      <xdr:cxnSp macro="">
        <xdr:nvCxnSpPr>
          <xdr:cNvPr id="19" name="Shape 15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CxnSpPr>
            <a:stCxn id="13" idx="5"/>
          </xdr:cNvCxnSpPr>
        </xdr:nvCxnSpPr>
        <xdr:spPr>
          <a:xfrm>
            <a:off x="4826888" y="3780000"/>
            <a:ext cx="10383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333375</xdr:colOff>
      <xdr:row>15</xdr:row>
      <xdr:rowOff>28575</xdr:rowOff>
    </xdr:from>
    <xdr:ext cx="1447800" cy="2095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pSpPr/>
      </xdr:nvGrpSpPr>
      <xdr:grpSpPr>
        <a:xfrm>
          <a:off x="6467475" y="2949575"/>
          <a:ext cx="1447800" cy="209550"/>
          <a:chOff x="4626863" y="3679913"/>
          <a:chExt cx="1438200" cy="200100"/>
        </a:xfrm>
      </xdr:grpSpPr>
      <xdr:cxnSp macro="">
        <xdr:nvCxnSpPr>
          <xdr:cNvPr id="21" name="Shape 16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CxnSpPr>
            <a:stCxn id="7" idx="5"/>
          </xdr:cNvCxnSpPr>
        </xdr:nvCxnSpPr>
        <xdr:spPr>
          <a:xfrm rot="10800000" flipH="1">
            <a:off x="4626863" y="3679913"/>
            <a:ext cx="1438200" cy="2001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0</xdr:colOff>
      <xdr:row>26</xdr:row>
      <xdr:rowOff>76200</xdr:rowOff>
    </xdr:from>
    <xdr:ext cx="1238250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5257800" y="5092700"/>
          <a:ext cx="1238250" cy="38100"/>
          <a:chOff x="4726875" y="3780000"/>
          <a:chExt cx="1238400" cy="600"/>
        </a:xfrm>
      </xdr:grpSpPr>
      <xdr:cxnSp macro="">
        <xdr:nvCxnSpPr>
          <xdr:cNvPr id="23" name="Shape 17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>
            <a:stCxn id="6" idx="5"/>
          </xdr:cNvCxnSpPr>
        </xdr:nvCxnSpPr>
        <xdr:spPr>
          <a:xfrm>
            <a:off x="4726875" y="3780000"/>
            <a:ext cx="12384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57150</xdr:colOff>
      <xdr:row>23</xdr:row>
      <xdr:rowOff>28575</xdr:rowOff>
    </xdr:from>
    <xdr:ext cx="1228725" cy="733425"/>
    <xdr:sp macro="" textlink="">
      <xdr:nvSpPr>
        <xdr:cNvPr id="24" name="Shape 18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736400" y="3418050"/>
          <a:ext cx="1219200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Rechazo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171450</xdr:colOff>
      <xdr:row>3</xdr:row>
      <xdr:rowOff>161925</xdr:rowOff>
    </xdr:from>
    <xdr:ext cx="1095375" cy="695325"/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803075" y="3437100"/>
          <a:ext cx="1085850" cy="685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Romeral</a:t>
          </a:r>
          <a:endParaRPr sz="1100"/>
        </a:p>
      </xdr:txBody>
    </xdr:sp>
    <xdr:clientData fLocksWithSheet="0"/>
  </xdr:oneCellAnchor>
  <xdr:oneCellAnchor>
    <xdr:from>
      <xdr:col>7</xdr:col>
      <xdr:colOff>219075</xdr:colOff>
      <xdr:row>5</xdr:row>
      <xdr:rowOff>114300</xdr:rowOff>
    </xdr:from>
    <xdr:ext cx="1028700" cy="714375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pSpPr/>
      </xdr:nvGrpSpPr>
      <xdr:grpSpPr>
        <a:xfrm>
          <a:off x="6353175" y="1066800"/>
          <a:ext cx="1028700" cy="714375"/>
          <a:chOff x="4836413" y="3427575"/>
          <a:chExt cx="1019100" cy="705000"/>
        </a:xfrm>
      </xdr:grpSpPr>
      <xdr:cxnSp macro="">
        <xdr:nvCxnSpPr>
          <xdr:cNvPr id="27" name="Shape 20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CxnSpPr>
            <a:stCxn id="13" idx="5"/>
          </xdr:cNvCxnSpPr>
        </xdr:nvCxnSpPr>
        <xdr:spPr>
          <a:xfrm>
            <a:off x="4836413" y="3427575"/>
            <a:ext cx="1019100" cy="7050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304800</xdr:colOff>
      <xdr:row>7</xdr:row>
      <xdr:rowOff>161925</xdr:rowOff>
    </xdr:from>
    <xdr:ext cx="1085850" cy="523875"/>
    <xdr:sp macro="" textlink="">
      <xdr:nvSpPr>
        <xdr:cNvPr id="28" name="Shape 2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4807838" y="3522825"/>
          <a:ext cx="1076325" cy="514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Puerto</a:t>
          </a:r>
          <a:endParaRPr sz="1100"/>
        </a:p>
      </xdr:txBody>
    </xdr:sp>
    <xdr:clientData fLocksWithSheet="0"/>
  </xdr:oneCellAnchor>
  <xdr:oneCellAnchor>
    <xdr:from>
      <xdr:col>7</xdr:col>
      <xdr:colOff>457200</xdr:colOff>
      <xdr:row>16</xdr:row>
      <xdr:rowOff>142875</xdr:rowOff>
    </xdr:from>
    <xdr:ext cx="1228725" cy="600075"/>
    <xdr:grpSp>
      <xdr:nvGrpSpPr>
        <xdr:cNvPr id="29" name="Shape 2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pSpPr/>
      </xdr:nvGrpSpPr>
      <xdr:grpSpPr>
        <a:xfrm>
          <a:off x="6591300" y="3254375"/>
          <a:ext cx="1228725" cy="600075"/>
          <a:chOff x="4736400" y="3484725"/>
          <a:chExt cx="1219200" cy="590550"/>
        </a:xfrm>
      </xdr:grpSpPr>
      <xdr:cxnSp macro="">
        <xdr:nvCxnSpPr>
          <xdr:cNvPr id="30" name="Shape 22">
            <a:extLst>
              <a:ext uri="{FF2B5EF4-FFF2-40B4-BE49-F238E27FC236}">
                <a16:creationId xmlns:a16="http://schemas.microsoft.com/office/drawing/2014/main" id="{00000000-0008-0000-0800-00001E000000}"/>
              </a:ext>
            </a:extLst>
          </xdr:cNvPr>
          <xdr:cNvCxnSpPr/>
        </xdr:nvCxnSpPr>
        <xdr:spPr>
          <a:xfrm>
            <a:off x="4736400" y="3484725"/>
            <a:ext cx="1219200" cy="59055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752475</xdr:colOff>
      <xdr:row>19</xdr:row>
      <xdr:rowOff>85725</xdr:rowOff>
    </xdr:from>
    <xdr:ext cx="952500" cy="523875"/>
    <xdr:sp macro="" textlink="">
      <xdr:nvSpPr>
        <xdr:cNvPr id="31" name="Shape 23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4874513" y="3522825"/>
          <a:ext cx="942975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Puerto</a:t>
          </a:r>
          <a:endParaRPr sz="1100"/>
        </a:p>
      </xdr:txBody>
    </xdr:sp>
    <xdr:clientData fLocksWithSheet="0"/>
  </xdr:oneCellAnchor>
  <xdr:oneCellAnchor>
    <xdr:from>
      <xdr:col>7</xdr:col>
      <xdr:colOff>304800</xdr:colOff>
      <xdr:row>13</xdr:row>
      <xdr:rowOff>9525</xdr:rowOff>
    </xdr:from>
    <xdr:ext cx="1514475" cy="323850"/>
    <xdr:sp macro="" textlink="">
      <xdr:nvSpPr>
        <xdr:cNvPr id="32" name="Shape 24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4593525" y="3622838"/>
          <a:ext cx="1504950" cy="3143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Romeral</a:t>
          </a:r>
          <a:endParaRPr sz="1100"/>
        </a:p>
      </xdr:txBody>
    </xdr:sp>
    <xdr:clientData fLocksWithSheet="0"/>
  </xdr:oneCellAnchor>
  <xdr:oneCellAnchor>
    <xdr:from>
      <xdr:col>4</xdr:col>
      <xdr:colOff>66675</xdr:colOff>
      <xdr:row>9</xdr:row>
      <xdr:rowOff>19050</xdr:rowOff>
    </xdr:from>
    <xdr:ext cx="1304925" cy="5514975"/>
    <xdr:grpSp>
      <xdr:nvGrpSpPr>
        <xdr:cNvPr id="33" name="Shape 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pSpPr/>
      </xdr:nvGrpSpPr>
      <xdr:grpSpPr>
        <a:xfrm>
          <a:off x="3571875" y="1733550"/>
          <a:ext cx="1304925" cy="5514975"/>
          <a:chOff x="2593200" y="3132375"/>
          <a:chExt cx="5505600" cy="1295400"/>
        </a:xfrm>
      </xdr:grpSpPr>
      <xdr:cxnSp macro="">
        <xdr:nvCxnSpPr>
          <xdr:cNvPr id="34" name="Shape 25">
            <a:extLst>
              <a:ext uri="{FF2B5EF4-FFF2-40B4-BE49-F238E27FC236}">
                <a16:creationId xmlns:a16="http://schemas.microsoft.com/office/drawing/2014/main" id="{00000000-0008-0000-0800-000022000000}"/>
              </a:ext>
            </a:extLst>
          </xdr:cNvPr>
          <xdr:cNvCxnSpPr>
            <a:stCxn id="3" idx="2"/>
            <a:endCxn id="26" idx="1"/>
          </xdr:cNvCxnSpPr>
        </xdr:nvCxnSpPr>
        <xdr:spPr>
          <a:xfrm rot="-5400000" flipH="1">
            <a:off x="2593200" y="3132375"/>
            <a:ext cx="5505600" cy="1295400"/>
          </a:xfrm>
          <a:prstGeom prst="bentConnector2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495300</xdr:colOff>
      <xdr:row>35</xdr:row>
      <xdr:rowOff>123825</xdr:rowOff>
    </xdr:from>
    <xdr:ext cx="409575" cy="419100"/>
    <xdr:sp macro="" textlink="">
      <xdr:nvSpPr>
        <xdr:cNvPr id="35" name="Shape 6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57150</xdr:colOff>
      <xdr:row>24</xdr:row>
      <xdr:rowOff>133350</xdr:rowOff>
    </xdr:from>
    <xdr:ext cx="1419225" cy="314325"/>
    <xdr:sp macro="" textlink="">
      <xdr:nvSpPr>
        <xdr:cNvPr id="36" name="Shape 2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4641150" y="3627600"/>
          <a:ext cx="14097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Prec. Mixto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6</xdr:col>
      <xdr:colOff>38100</xdr:colOff>
      <xdr:row>36</xdr:row>
      <xdr:rowOff>114300</xdr:rowOff>
    </xdr:from>
    <xdr:ext cx="1123950" cy="381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GrpSpPr/>
      </xdr:nvGrpSpPr>
      <xdr:grpSpPr>
        <a:xfrm>
          <a:off x="5295900" y="7035800"/>
          <a:ext cx="1123950" cy="38100"/>
          <a:chOff x="4784025" y="3780000"/>
          <a:chExt cx="1124100" cy="600"/>
        </a:xfrm>
      </xdr:grpSpPr>
      <xdr:cxnSp macro="">
        <xdr:nvCxnSpPr>
          <xdr:cNvPr id="38" name="Shape 28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CxnSpPr>
            <a:stCxn id="26" idx="5"/>
          </xdr:cNvCxnSpPr>
        </xdr:nvCxnSpPr>
        <xdr:spPr>
          <a:xfrm>
            <a:off x="4784025" y="3780000"/>
            <a:ext cx="11241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438150</xdr:colOff>
      <xdr:row>34</xdr:row>
      <xdr:rowOff>57150</xdr:rowOff>
    </xdr:from>
    <xdr:ext cx="1800225" cy="514350"/>
    <xdr:sp macro="" textlink="">
      <xdr:nvSpPr>
        <xdr:cNvPr id="39" name="Shape 29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4450650" y="3527588"/>
          <a:ext cx="1790700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Romeral (molienda)</a:t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7</xdr:row>
      <xdr:rowOff>114300</xdr:rowOff>
    </xdr:from>
    <xdr:ext cx="1628775" cy="16859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pSpPr/>
      </xdr:nvGrpSpPr>
      <xdr:grpSpPr>
        <a:xfrm>
          <a:off x="981075" y="1447800"/>
          <a:ext cx="1628775" cy="1685925"/>
          <a:chOff x="4507725" y="2970450"/>
          <a:chExt cx="1676400" cy="1619100"/>
        </a:xfrm>
      </xdr:grpSpPr>
      <xdr:cxnSp macro="">
        <xdr:nvCxnSpPr>
          <xdr:cNvPr id="41" name="Shape 30"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CxnSpPr>
            <a:endCxn id="3" idx="1"/>
          </xdr:cNvCxnSpPr>
        </xdr:nvCxnSpPr>
        <xdr:spPr>
          <a:xfrm rot="-5400000">
            <a:off x="4507725" y="2970450"/>
            <a:ext cx="1676400" cy="1619100"/>
          </a:xfrm>
          <a:prstGeom prst="bentConnector3">
            <a:avLst>
              <a:gd name="adj1" fmla="val 7914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85725</xdr:rowOff>
    </xdr:from>
    <xdr:ext cx="723900" cy="638175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GrpSpPr/>
      </xdr:nvGrpSpPr>
      <xdr:grpSpPr>
        <a:xfrm>
          <a:off x="2009775" y="847725"/>
          <a:ext cx="723900" cy="638175"/>
          <a:chOff x="4988813" y="3465675"/>
          <a:chExt cx="714300" cy="628500"/>
        </a:xfrm>
      </xdr:grpSpPr>
      <xdr:cxnSp macro="">
        <xdr:nvCxnSpPr>
          <xdr:cNvPr id="43" name="Shape 31">
            <a:extLst>
              <a:ext uri="{FF2B5EF4-FFF2-40B4-BE49-F238E27FC236}">
                <a16:creationId xmlns:a16="http://schemas.microsoft.com/office/drawing/2014/main" id="{00000000-0008-0000-0800-00002B000000}"/>
              </a:ext>
            </a:extLst>
          </xdr:cNvPr>
          <xdr:cNvCxnSpPr>
            <a:endCxn id="3" idx="1"/>
          </xdr:cNvCxnSpPr>
        </xdr:nvCxnSpPr>
        <xdr:spPr>
          <a:xfrm>
            <a:off x="4988813" y="3465675"/>
            <a:ext cx="714300" cy="6285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123825</xdr:colOff>
      <xdr:row>14</xdr:row>
      <xdr:rowOff>152400</xdr:rowOff>
    </xdr:from>
    <xdr:ext cx="647700" cy="609600"/>
    <xdr:sp macro="" textlink="">
      <xdr:nvSpPr>
        <xdr:cNvPr id="44" name="Shape 32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5026913" y="3479963"/>
          <a:ext cx="63817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Alta Ley Bronces</a:t>
          </a:r>
          <a:endParaRPr sz="1100"/>
        </a:p>
      </xdr:txBody>
    </xdr:sp>
    <xdr:clientData fLocksWithSheet="0"/>
  </xdr:oneCellAnchor>
  <xdr:oneCellAnchor>
    <xdr:from>
      <xdr:col>0</xdr:col>
      <xdr:colOff>200025</xdr:colOff>
      <xdr:row>8</xdr:row>
      <xdr:rowOff>76200</xdr:rowOff>
    </xdr:from>
    <xdr:ext cx="819150" cy="333375"/>
    <xdr:sp macro="" textlink="">
      <xdr:nvSpPr>
        <xdr:cNvPr id="45" name="Shape 33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4941188" y="3618075"/>
          <a:ext cx="809625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Alta Ley 2 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</xdr:row>
      <xdr:rowOff>28575</xdr:rowOff>
    </xdr:from>
    <xdr:ext cx="971550" cy="295275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4864988" y="3637125"/>
          <a:ext cx="962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ML Pleito</a:t>
          </a:r>
          <a:endParaRPr sz="1100"/>
        </a:p>
      </xdr:txBody>
    </xdr:sp>
    <xdr:clientData fLocksWithSheet="0"/>
  </xdr:oneCellAnchor>
  <xdr:oneCellAnchor>
    <xdr:from>
      <xdr:col>3</xdr:col>
      <xdr:colOff>638175</xdr:colOff>
      <xdr:row>4</xdr:row>
      <xdr:rowOff>133350</xdr:rowOff>
    </xdr:from>
    <xdr:ext cx="2390775" cy="1085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3267075" y="895350"/>
          <a:ext cx="2390775" cy="1085850"/>
          <a:chOff x="4155375" y="3241763"/>
          <a:chExt cx="2381100" cy="1076400"/>
        </a:xfrm>
      </xdr:grpSpPr>
      <xdr:cxnSp macro="">
        <xdr:nvCxnSpPr>
          <xdr:cNvPr id="35" name="Shape 35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CxnSpPr>
            <a:stCxn id="36" idx="3"/>
            <a:endCxn id="37" idx="1"/>
          </xdr:cNvCxnSpPr>
        </xdr:nvCxnSpPr>
        <xdr:spPr>
          <a:xfrm rot="10800000" flipH="1">
            <a:off x="4155375" y="3241763"/>
            <a:ext cx="2381100" cy="1076400"/>
          </a:xfrm>
          <a:prstGeom prst="bentConnector3">
            <a:avLst>
              <a:gd name="adj1" fmla="val 32887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628650</xdr:colOff>
      <xdr:row>3</xdr:row>
      <xdr:rowOff>123825</xdr:rowOff>
    </xdr:from>
    <xdr:ext cx="409575" cy="4191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733425</xdr:colOff>
      <xdr:row>14</xdr:row>
      <xdr:rowOff>57150</xdr:rowOff>
    </xdr:from>
    <xdr:ext cx="409575" cy="419100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733425</xdr:colOff>
      <xdr:row>12</xdr:row>
      <xdr:rowOff>76200</xdr:rowOff>
    </xdr:from>
    <xdr:ext cx="1028700" cy="60960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>
        <a:xfrm>
          <a:off x="4836413" y="3479963"/>
          <a:ext cx="1019175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Prec. Finos (40%Fem)</a:t>
          </a: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6</xdr:col>
      <xdr:colOff>76200</xdr:colOff>
      <xdr:row>1</xdr:row>
      <xdr:rowOff>38100</xdr:rowOff>
    </xdr:from>
    <xdr:ext cx="762000" cy="76200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/>
      </xdr:nvSpPr>
      <xdr:spPr>
        <a:xfrm>
          <a:off x="4965000" y="3403763"/>
          <a:ext cx="762000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Prec. Granza</a:t>
          </a:r>
          <a:endParaRPr sz="110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7</xdr:col>
      <xdr:colOff>171450</xdr:colOff>
      <xdr:row>4</xdr:row>
      <xdr:rowOff>114300</xdr:rowOff>
    </xdr:from>
    <xdr:ext cx="217170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6305550" y="876300"/>
          <a:ext cx="2171700" cy="38100"/>
          <a:chOff x="4260150" y="3780000"/>
          <a:chExt cx="2171700" cy="600"/>
        </a:xfrm>
      </xdr:grpSpPr>
      <xdr:cxnSp macro="">
        <xdr:nvCxnSpPr>
          <xdr:cNvPr id="40" name="Shape 40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CxnSpPr>
            <a:stCxn id="37" idx="5"/>
            <a:endCxn id="41" idx="1"/>
          </xdr:cNvCxnSpPr>
        </xdr:nvCxnSpPr>
        <xdr:spPr>
          <a:xfrm>
            <a:off x="4260150" y="3780000"/>
            <a:ext cx="21717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266700</xdr:colOff>
      <xdr:row>15</xdr:row>
      <xdr:rowOff>47625</xdr:rowOff>
    </xdr:from>
    <xdr:ext cx="21621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6400800" y="2968625"/>
          <a:ext cx="2162175" cy="38100"/>
          <a:chOff x="4264913" y="3780000"/>
          <a:chExt cx="2162100" cy="600"/>
        </a:xfrm>
      </xdr:grpSpPr>
      <xdr:cxnSp macro="">
        <xdr:nvCxnSpPr>
          <xdr:cNvPr id="42" name="Shape 42">
            <a:extLst>
              <a:ext uri="{FF2B5EF4-FFF2-40B4-BE49-F238E27FC236}">
                <a16:creationId xmlns:a16="http://schemas.microsoft.com/office/drawing/2014/main" id="{00000000-0008-0000-0900-00002A000000}"/>
              </a:ext>
            </a:extLst>
          </xdr:cNvPr>
          <xdr:cNvCxnSpPr>
            <a:stCxn id="43" idx="5"/>
            <a:endCxn id="44" idx="1"/>
          </xdr:cNvCxnSpPr>
        </xdr:nvCxnSpPr>
        <xdr:spPr>
          <a:xfrm>
            <a:off x="4264913" y="3780000"/>
            <a:ext cx="21621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10</xdr:col>
      <xdr:colOff>57150</xdr:colOff>
      <xdr:row>3</xdr:row>
      <xdr:rowOff>57150</xdr:rowOff>
    </xdr:from>
    <xdr:ext cx="1943100" cy="561975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/>
      </xdr:nvSpPr>
      <xdr:spPr>
        <a:xfrm>
          <a:off x="4379213" y="3503775"/>
          <a:ext cx="1933575" cy="5524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Romeral (concentradora)</a:t>
          </a:r>
          <a:endParaRPr sz="1100"/>
        </a:p>
      </xdr:txBody>
    </xdr:sp>
    <xdr:clientData fLocksWithSheet="0"/>
  </xdr:oneCellAnchor>
  <xdr:oneCellAnchor>
    <xdr:from>
      <xdr:col>10</xdr:col>
      <xdr:colOff>133350</xdr:colOff>
      <xdr:row>14</xdr:row>
      <xdr:rowOff>19050</xdr:rowOff>
    </xdr:from>
    <xdr:ext cx="1400175" cy="5143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/>
      </xdr:nvSpPr>
      <xdr:spPr>
        <a:xfrm>
          <a:off x="4650675" y="3527588"/>
          <a:ext cx="1390650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Romeral (Molienda)</a:t>
          </a:r>
          <a:endParaRPr sz="1100"/>
        </a:p>
      </xdr:txBody>
    </xdr:sp>
    <xdr:clientData fLocksWithSheet="0"/>
  </xdr:oneCellAnchor>
  <xdr:oneCellAnchor>
    <xdr:from>
      <xdr:col>2</xdr:col>
      <xdr:colOff>152400</xdr:colOff>
      <xdr:row>8</xdr:row>
      <xdr:rowOff>152400</xdr:rowOff>
    </xdr:from>
    <xdr:ext cx="1247775" cy="485775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4726875" y="3546638"/>
          <a:ext cx="1238250" cy="4667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Planta Pleito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571500</xdr:colOff>
      <xdr:row>23</xdr:row>
      <xdr:rowOff>171450</xdr:rowOff>
    </xdr:from>
    <xdr:ext cx="409575" cy="419100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5145975" y="3579975"/>
          <a:ext cx="400050" cy="400050"/>
        </a:xfrm>
        <a:prstGeom prst="triangle">
          <a:avLst>
            <a:gd name="adj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333375</xdr:colOff>
      <xdr:row>24</xdr:row>
      <xdr:rowOff>9525</xdr:rowOff>
    </xdr:from>
    <xdr:ext cx="1019175" cy="428625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/>
      </xdr:nvSpPr>
      <xdr:spPr>
        <a:xfrm>
          <a:off x="4841175" y="3570450"/>
          <a:ext cx="1009650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accent6"/>
              </a:solidFill>
              <a:latin typeface="Calibri"/>
              <a:ea typeface="Calibri"/>
              <a:cs typeface="Calibri"/>
              <a:sym typeface="Calibri"/>
            </a:rPr>
            <a:t>Stock Rechazos (10% Fem)</a:t>
          </a:r>
          <a:endParaRPr sz="1050">
            <a:solidFill>
              <a:schemeClr val="accent6"/>
            </a:solidFill>
          </a:endParaRPr>
        </a:p>
      </xdr:txBody>
    </xdr:sp>
    <xdr:clientData fLocksWithSheet="0"/>
  </xdr:oneCellAnchor>
  <xdr:oneCellAnchor>
    <xdr:from>
      <xdr:col>3</xdr:col>
      <xdr:colOff>104775</xdr:colOff>
      <xdr:row>24</xdr:row>
      <xdr:rowOff>152400</xdr:rowOff>
    </xdr:from>
    <xdr:ext cx="3238500" cy="476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2733675" y="4838700"/>
          <a:ext cx="3238500" cy="47625"/>
          <a:chOff x="3731513" y="3760950"/>
          <a:chExt cx="3228900" cy="38100"/>
        </a:xfrm>
      </xdr:grpSpPr>
      <xdr:cxnSp macro="">
        <xdr:nvCxnSpPr>
          <xdr:cNvPr id="46" name="Shape 46">
            <a:extLst>
              <a:ext uri="{FF2B5EF4-FFF2-40B4-BE49-F238E27FC236}">
                <a16:creationId xmlns:a16="http://schemas.microsoft.com/office/drawing/2014/main" id="{00000000-0008-0000-0900-00002E000000}"/>
              </a:ext>
            </a:extLst>
          </xdr:cNvPr>
          <xdr:cNvCxnSpPr>
            <a:stCxn id="47" idx="5"/>
            <a:endCxn id="48" idx="1"/>
          </xdr:cNvCxnSpPr>
        </xdr:nvCxnSpPr>
        <xdr:spPr>
          <a:xfrm rot="10800000" flipH="1">
            <a:off x="3731513" y="3760950"/>
            <a:ext cx="3228900" cy="381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285750</xdr:colOff>
      <xdr:row>23</xdr:row>
      <xdr:rowOff>104775</xdr:rowOff>
    </xdr:from>
    <xdr:ext cx="1400175" cy="53340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 txBox="1"/>
      </xdr:nvSpPr>
      <xdr:spPr>
        <a:xfrm>
          <a:off x="4650675" y="3518063"/>
          <a:ext cx="1390650" cy="5238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Transporte a Botadero</a:t>
          </a:r>
          <a:endParaRPr sz="1100"/>
        </a:p>
      </xdr:txBody>
    </xdr:sp>
    <xdr:clientData fLocksWithSheet="0"/>
  </xdr:oneCellAnchor>
  <xdr:oneCellAnchor>
    <xdr:from>
      <xdr:col>3</xdr:col>
      <xdr:colOff>638175</xdr:colOff>
      <xdr:row>10</xdr:row>
      <xdr:rowOff>0</xdr:rowOff>
    </xdr:from>
    <xdr:ext cx="2495550" cy="10668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3267075" y="1905000"/>
          <a:ext cx="2495550" cy="1066800"/>
          <a:chOff x="4102988" y="3251363"/>
          <a:chExt cx="2486100" cy="1057200"/>
        </a:xfrm>
      </xdr:grpSpPr>
      <xdr:cxnSp macro="">
        <xdr:nvCxnSpPr>
          <xdr:cNvPr id="49" name="Shape 49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CxnSpPr>
            <a:stCxn id="36" idx="3"/>
            <a:endCxn id="43" idx="1"/>
          </xdr:cNvCxnSpPr>
        </xdr:nvCxnSpPr>
        <xdr:spPr>
          <a:xfrm>
            <a:off x="4102988" y="3251363"/>
            <a:ext cx="2486100" cy="1057200"/>
          </a:xfrm>
          <a:prstGeom prst="bentConnector3">
            <a:avLst>
              <a:gd name="adj1" fmla="val 32459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0</xdr:colOff>
      <xdr:row>11</xdr:row>
      <xdr:rowOff>28575</xdr:rowOff>
    </xdr:from>
    <xdr:ext cx="38100" cy="2543175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2628900" y="2124075"/>
          <a:ext cx="38100" cy="2543175"/>
          <a:chOff x="4074750" y="3779663"/>
          <a:chExt cx="2543100" cy="600"/>
        </a:xfrm>
      </xdr:grpSpPr>
      <xdr:cxnSp macro="">
        <xdr:nvCxnSpPr>
          <xdr:cNvPr id="50" name="Shape 50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CxnSpPr>
            <a:stCxn id="36" idx="2"/>
            <a:endCxn id="47" idx="0"/>
          </xdr:cNvCxnSpPr>
        </xdr:nvCxnSpPr>
        <xdr:spPr>
          <a:xfrm rot="-5400000" flipH="1">
            <a:off x="4074750" y="3779663"/>
            <a:ext cx="2543100" cy="6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104775</xdr:colOff>
      <xdr:row>6</xdr:row>
      <xdr:rowOff>0</xdr:rowOff>
    </xdr:from>
    <xdr:ext cx="819150" cy="809625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981075" y="1143000"/>
          <a:ext cx="819150" cy="809625"/>
          <a:chOff x="4941188" y="3379950"/>
          <a:chExt cx="809700" cy="800100"/>
        </a:xfrm>
      </xdr:grpSpPr>
      <xdr:cxnSp macro="">
        <xdr:nvCxnSpPr>
          <xdr:cNvPr id="51" name="Shape 51">
            <a:extLst>
              <a:ext uri="{FF2B5EF4-FFF2-40B4-BE49-F238E27FC236}">
                <a16:creationId xmlns:a16="http://schemas.microsoft.com/office/drawing/2014/main" id="{00000000-0008-0000-0900-000033000000}"/>
              </a:ext>
            </a:extLst>
          </xdr:cNvPr>
          <xdr:cNvCxnSpPr>
            <a:endCxn id="36" idx="1"/>
          </xdr:cNvCxnSpPr>
        </xdr:nvCxnSpPr>
        <xdr:spPr>
          <a:xfrm>
            <a:off x="4941188" y="3379950"/>
            <a:ext cx="809700" cy="800100"/>
          </a:xfrm>
          <a:prstGeom prst="bentConnector3">
            <a:avLst>
              <a:gd name="adj1" fmla="val 50000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133350</xdr:colOff>
      <xdr:row>10</xdr:row>
      <xdr:rowOff>0</xdr:rowOff>
    </xdr:from>
    <xdr:ext cx="790575" cy="77152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1009650" y="1905000"/>
          <a:ext cx="790575" cy="771525"/>
          <a:chOff x="4955475" y="3399000"/>
          <a:chExt cx="780900" cy="762000"/>
        </a:xfrm>
      </xdr:grpSpPr>
      <xdr:cxnSp macro="">
        <xdr:nvCxnSpPr>
          <xdr:cNvPr id="52" name="Shape 52">
            <a:extLst>
              <a:ext uri="{FF2B5EF4-FFF2-40B4-BE49-F238E27FC236}">
                <a16:creationId xmlns:a16="http://schemas.microsoft.com/office/drawing/2014/main" id="{00000000-0008-0000-0900-000034000000}"/>
              </a:ext>
            </a:extLst>
          </xdr:cNvPr>
          <xdr:cNvCxnSpPr>
            <a:endCxn id="36" idx="1"/>
          </xdr:cNvCxnSpPr>
        </xdr:nvCxnSpPr>
        <xdr:spPr>
          <a:xfrm rot="10800000" flipH="1">
            <a:off x="4955475" y="3399000"/>
            <a:ext cx="780900" cy="762000"/>
          </a:xfrm>
          <a:prstGeom prst="bentConnector3">
            <a:avLst>
              <a:gd name="adj1" fmla="val 44106"/>
            </a:avLst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247650</xdr:colOff>
      <xdr:row>11</xdr:row>
      <xdr:rowOff>123825</xdr:rowOff>
    </xdr:from>
    <xdr:ext cx="971550" cy="32385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/>
      </xdr:nvSpPr>
      <xdr:spPr>
        <a:xfrm>
          <a:off x="4864988" y="3622838"/>
          <a:ext cx="9620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ML Bronces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00"/>
  <sheetViews>
    <sheetView tabSelected="1" workbookViewId="0">
      <selection activeCell="E29" sqref="E29"/>
    </sheetView>
  </sheetViews>
  <sheetFormatPr baseColWidth="10" defaultColWidth="14.5" defaultRowHeight="15" customHeight="1" x14ac:dyDescent="0.2"/>
  <cols>
    <col min="1" max="1" width="25.1640625" customWidth="1"/>
    <col min="2" max="2" width="23.5" customWidth="1"/>
    <col min="3" max="4" width="10.6640625" customWidth="1"/>
    <col min="5" max="5" width="12.1640625" customWidth="1"/>
    <col min="6" max="6" width="10.6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1" max="11" width="10.6640625" customWidth="1"/>
    <col min="12" max="12" width="15.33203125" customWidth="1"/>
    <col min="13" max="15" width="10.6640625" customWidth="1"/>
    <col min="16" max="16" width="12.1640625" customWidth="1"/>
    <col min="17" max="17" width="12.6640625" customWidth="1"/>
    <col min="18" max="18" width="11.6640625" customWidth="1"/>
    <col min="19" max="26" width="10.6640625" customWidth="1"/>
  </cols>
  <sheetData>
    <row r="2" spans="2:20" ht="19.5" customHeight="1" x14ac:dyDescent="0.25">
      <c r="B2" s="190" t="s">
        <v>0</v>
      </c>
      <c r="C2" s="191"/>
      <c r="D2" s="191"/>
      <c r="E2" s="192"/>
      <c r="G2" s="190" t="s">
        <v>1</v>
      </c>
      <c r="H2" s="191"/>
      <c r="I2" s="191"/>
      <c r="J2" s="192"/>
      <c r="L2" s="193" t="s">
        <v>2</v>
      </c>
      <c r="M2" s="191"/>
      <c r="N2" s="192"/>
      <c r="P2" s="1" t="s">
        <v>3</v>
      </c>
      <c r="Q2" s="2" t="s">
        <v>4</v>
      </c>
      <c r="R2" s="2" t="s">
        <v>5</v>
      </c>
      <c r="T2" s="246" t="s">
        <v>197</v>
      </c>
    </row>
    <row r="3" spans="2:20" ht="19" x14ac:dyDescent="0.25">
      <c r="B3" s="3" t="s">
        <v>6</v>
      </c>
      <c r="C3" s="3" t="s">
        <v>7</v>
      </c>
      <c r="D3" s="3" t="s">
        <v>8</v>
      </c>
      <c r="E3" s="3" t="s">
        <v>9</v>
      </c>
      <c r="G3" s="3" t="s">
        <v>6</v>
      </c>
      <c r="H3" s="3" t="s">
        <v>7</v>
      </c>
      <c r="I3" s="3" t="s">
        <v>8</v>
      </c>
      <c r="J3" s="3" t="s">
        <v>9</v>
      </c>
      <c r="L3" s="4" t="s">
        <v>10</v>
      </c>
      <c r="M3" s="4" t="s">
        <v>11</v>
      </c>
      <c r="N3" s="4" t="s">
        <v>11</v>
      </c>
      <c r="P3" s="5"/>
      <c r="Q3" s="5"/>
      <c r="R3" s="5"/>
      <c r="T3" s="247"/>
    </row>
    <row r="4" spans="2:20" ht="21" x14ac:dyDescent="0.25">
      <c r="B4" s="6" t="s">
        <v>12</v>
      </c>
      <c r="C4" s="7">
        <f>Utilidad!A1</f>
        <v>0</v>
      </c>
      <c r="D4" s="8">
        <f>IF(Utilidad!C$18&gt;1,Utilidad!C1/100,Utilidad!C1)</f>
        <v>0</v>
      </c>
      <c r="E4" s="8">
        <f>IF(Utilidad!E$18&gt;1,Utilidad!E1/100,Utilidad!E1)</f>
        <v>0</v>
      </c>
      <c r="G4" s="6" t="s">
        <v>12</v>
      </c>
      <c r="H4" s="7">
        <f>Utilidad!B1</f>
        <v>0</v>
      </c>
      <c r="I4" s="8">
        <f>IF(Utilidad!D$18&gt;1,Utilidad!D1/100,Utilidad!D1)</f>
        <v>0</v>
      </c>
      <c r="J4" s="8">
        <f>IF(Utilidad!F$18&gt;1,Utilidad!F1/100,Utilidad!F1)</f>
        <v>0</v>
      </c>
      <c r="L4" s="9">
        <f>+IF(C4&lt;&gt;0,(HI4-C4)/C4,ABS(H4-C4))</f>
        <v>0</v>
      </c>
      <c r="M4" s="9">
        <f t="shared" ref="M4:N4" si="0">+IF(D4&lt;&gt;0,(I4-D4)/D4,0)</f>
        <v>0</v>
      </c>
      <c r="N4" s="9">
        <f t="shared" si="0"/>
        <v>0</v>
      </c>
      <c r="P4" s="8">
        <f t="shared" ref="P4:P31" si="1">+IF(L4&lt;&gt;"",ABS(L4),0)</f>
        <v>0</v>
      </c>
      <c r="Q4" s="8">
        <f t="shared" ref="Q4:R4" si="2">+IF(L4&lt;&gt;"",ABS(L4),0)</f>
        <v>0</v>
      </c>
      <c r="R4" s="8">
        <f t="shared" si="2"/>
        <v>0</v>
      </c>
      <c r="T4" s="248" t="str">
        <f>IF(J4&lt;=I4,"SI","NO")</f>
        <v>SI</v>
      </c>
    </row>
    <row r="5" spans="2:20" ht="21" x14ac:dyDescent="0.25">
      <c r="B5" s="6" t="s">
        <v>13</v>
      </c>
      <c r="C5" s="7">
        <f>Utilidad!A2</f>
        <v>68993</v>
      </c>
      <c r="D5" s="8">
        <f>IF(Utilidad!C$18&gt;1,Utilidad!C2/100,Utilidad!C2)</f>
        <v>0.53526600000000002</v>
      </c>
      <c r="E5" s="8">
        <f>IF(Utilidad!E$18&gt;1,Utilidad!E2/100,Utilidad!E2)</f>
        <v>0.48852699999999999</v>
      </c>
      <c r="G5" s="6" t="s">
        <v>13</v>
      </c>
      <c r="H5" s="7">
        <f>Utilidad!B2</f>
        <v>67346.029609999998</v>
      </c>
      <c r="I5" s="8">
        <f>IF(Utilidad!D$18&gt;1,Utilidad!D2/100,Utilidad!D2)</f>
        <v>0.50850269999999997</v>
      </c>
      <c r="J5" s="8">
        <f>IF(Utilidad!F$18&gt;1,Utilidad!F2/100,Utilidad!F2)</f>
        <v>0.47170172276</v>
      </c>
      <c r="L5" s="9">
        <f t="shared" ref="L5:L31" si="3">+IF(C5&lt;&gt;0,(H5-C5)/C5,ABS(H5-C5))</f>
        <v>-2.3871557839201109E-2</v>
      </c>
      <c r="M5" s="9">
        <f t="shared" ref="M5:N5" si="4">+IF(D5&lt;&gt;0,(I5-D5)/D5,0)</f>
        <v>-5.0000000000000086E-2</v>
      </c>
      <c r="N5" s="9">
        <f t="shared" si="4"/>
        <v>-3.4440833853604802E-2</v>
      </c>
      <c r="P5" s="8">
        <f t="shared" si="1"/>
        <v>2.3871557839201109E-2</v>
      </c>
      <c r="Q5" s="8">
        <f t="shared" ref="Q5:R5" si="5">+IF(L5&lt;&gt;"",ABS(L5),0)</f>
        <v>2.3871557839201109E-2</v>
      </c>
      <c r="R5" s="8">
        <f t="shared" si="5"/>
        <v>5.0000000000000086E-2</v>
      </c>
      <c r="T5" s="248" t="str">
        <f t="shared" ref="T5:T31" si="6">IF(J5&lt;=I5,"SI","NO")</f>
        <v>SI</v>
      </c>
    </row>
    <row r="6" spans="2:20" ht="21" x14ac:dyDescent="0.25">
      <c r="B6" s="6" t="s">
        <v>14</v>
      </c>
      <c r="C6" s="7">
        <f>Utilidad!A3</f>
        <v>10719.6</v>
      </c>
      <c r="D6" s="8">
        <f>IF(Utilidad!C$18&gt;1,Utilidad!C3/100,Utilidad!C3)</f>
        <v>0.55290700000000004</v>
      </c>
      <c r="E6" s="8">
        <f>IF(Utilidad!E$18&gt;1,Utilidad!E3/100,Utilidad!E3)</f>
        <v>0.50318099999999999</v>
      </c>
      <c r="G6" s="6" t="s">
        <v>14</v>
      </c>
      <c r="H6" s="7">
        <f>Utilidad!B3</f>
        <v>10663.005496</v>
      </c>
      <c r="I6" s="8">
        <f>IF(Utilidad!D$18&gt;1,Utilidad!D3/100,Utilidad!D3)</f>
        <v>0.54221502163000002</v>
      </c>
      <c r="J6" s="8">
        <f>IF(Utilidad!F$18&gt;1,Utilidad!F3/100,Utilidad!F3)</f>
        <v>0.50033678547999993</v>
      </c>
      <c r="L6" s="9">
        <f t="shared" si="3"/>
        <v>-5.2795350572783124E-3</v>
      </c>
      <c r="M6" s="9">
        <f t="shared" ref="M6:N6" si="7">+IF(D6&lt;&gt;0,(I6-D6)/D6,0)</f>
        <v>-1.9337751864237605E-2</v>
      </c>
      <c r="N6" s="9">
        <f t="shared" si="7"/>
        <v>-5.6524680383401894E-3</v>
      </c>
      <c r="P6" s="8">
        <f t="shared" si="1"/>
        <v>5.2795350572783124E-3</v>
      </c>
      <c r="Q6" s="8">
        <f t="shared" ref="Q6:R6" si="8">+IF(L6&lt;&gt;"",ABS(L6),0)</f>
        <v>5.2795350572783124E-3</v>
      </c>
      <c r="R6" s="8">
        <f t="shared" si="8"/>
        <v>1.9337751864237605E-2</v>
      </c>
      <c r="T6" s="248" t="str">
        <f t="shared" si="6"/>
        <v>SI</v>
      </c>
    </row>
    <row r="7" spans="2:20" ht="21" x14ac:dyDescent="0.25">
      <c r="B7" s="6" t="s">
        <v>15</v>
      </c>
      <c r="C7" s="7">
        <f>Utilidad!A4</f>
        <v>22667.151999999998</v>
      </c>
      <c r="D7" s="8">
        <f>IF(Utilidad!C$18&gt;1,Utilidad!C4/100,Utilidad!C4)</f>
        <v>0.60589000000000004</v>
      </c>
      <c r="E7" s="8">
        <f>IF(Utilidad!E$18&gt;1,Utilidad!E4/100,Utilidad!E4)</f>
        <v>0.59221200000000007</v>
      </c>
      <c r="G7" s="6" t="s">
        <v>15</v>
      </c>
      <c r="H7" s="7">
        <f>Utilidad!B4</f>
        <v>23735.816956999999</v>
      </c>
      <c r="I7" s="8">
        <f>IF(Utilidad!D$18&gt;1,Utilidad!D4/100,Utilidad!D4)</f>
        <v>0.60740306086999996</v>
      </c>
      <c r="J7" s="8">
        <f>IF(Utilidad!F$18&gt;1,Utilidad!F4/100,Utilidad!F4)</f>
        <v>0.59605544544</v>
      </c>
      <c r="L7" s="9">
        <f t="shared" si="3"/>
        <v>4.7145973918558494E-2</v>
      </c>
      <c r="M7" s="9">
        <f t="shared" ref="M7:N7" si="9">+IF(D7&lt;&gt;0,(I7-D7)/D7,0)</f>
        <v>2.4972534123354337E-3</v>
      </c>
      <c r="N7" s="9">
        <f t="shared" si="9"/>
        <v>6.4899823711777639E-3</v>
      </c>
      <c r="P7" s="8">
        <f t="shared" si="1"/>
        <v>4.7145973918558494E-2</v>
      </c>
      <c r="Q7" s="8">
        <f t="shared" ref="Q7:R7" si="10">+IF(L7&lt;&gt;"",ABS(L7),0)</f>
        <v>4.7145973918558494E-2</v>
      </c>
      <c r="R7" s="8">
        <f t="shared" si="10"/>
        <v>2.4972534123354337E-3</v>
      </c>
      <c r="T7" s="248" t="str">
        <f t="shared" si="6"/>
        <v>SI</v>
      </c>
    </row>
    <row r="8" spans="2:20" ht="21" x14ac:dyDescent="0.25">
      <c r="B8" s="6" t="s">
        <v>16</v>
      </c>
      <c r="C8" s="7">
        <f>Utilidad!A5</f>
        <v>2867</v>
      </c>
      <c r="D8" s="8">
        <f>IF(Utilidad!C$18&gt;1,Utilidad!C5/100,Utilidad!C5)</f>
        <v>0.60589000000000004</v>
      </c>
      <c r="E8" s="8">
        <f>IF(Utilidad!E$18&gt;1,Utilidad!E5/100,Utilidad!E5)</f>
        <v>0.59221200000000007</v>
      </c>
      <c r="G8" s="6" t="s">
        <v>16</v>
      </c>
      <c r="H8" s="7">
        <f>Utilidad!B5</f>
        <v>2856.5269567999999</v>
      </c>
      <c r="I8" s="8">
        <f>IF(Utilidad!D$18&gt;1,Utilidad!D5/100,Utilidad!D5)</f>
        <v>0.60916893233000002</v>
      </c>
      <c r="J8" s="8">
        <f>IF(Utilidad!F$18&gt;1,Utilidad!F5/100,Utilidad!F5)</f>
        <v>0.59276765962</v>
      </c>
      <c r="L8" s="9">
        <f t="shared" si="3"/>
        <v>-3.6529623997210046E-3</v>
      </c>
      <c r="M8" s="9">
        <f t="shared" ref="M8:N8" si="11">+IF(D8&lt;&gt;0,(I8-D8)/D8,0)</f>
        <v>5.4117617554341278E-3</v>
      </c>
      <c r="N8" s="9">
        <f t="shared" si="11"/>
        <v>9.3827821793534465E-4</v>
      </c>
      <c r="P8" s="8">
        <f t="shared" si="1"/>
        <v>3.6529623997210046E-3</v>
      </c>
      <c r="Q8" s="8">
        <f t="shared" ref="Q8:R8" si="12">+IF(L8&lt;&gt;"",ABS(L8),0)</f>
        <v>3.6529623997210046E-3</v>
      </c>
      <c r="R8" s="8">
        <f t="shared" si="12"/>
        <v>5.4117617554341278E-3</v>
      </c>
      <c r="T8" s="248" t="str">
        <f t="shared" si="6"/>
        <v>SI</v>
      </c>
    </row>
    <row r="9" spans="2:20" ht="21" x14ac:dyDescent="0.25">
      <c r="B9" s="6" t="s">
        <v>17</v>
      </c>
      <c r="C9" s="7">
        <f>Utilidad!A6</f>
        <v>0</v>
      </c>
      <c r="D9" s="8">
        <f>IF(Utilidad!C$18&gt;1,Utilidad!C6/100,Utilidad!C6)</f>
        <v>0</v>
      </c>
      <c r="E9" s="8">
        <f>IF(Utilidad!E$18&gt;1,Utilidad!E6/100,Utilidad!E6)</f>
        <v>0</v>
      </c>
      <c r="G9" s="6" t="s">
        <v>17</v>
      </c>
      <c r="H9" s="7">
        <f>Utilidad!B6</f>
        <v>0</v>
      </c>
      <c r="I9" s="8">
        <f>IF(Utilidad!D$18&gt;1,Utilidad!D6/100,Utilidad!D6)</f>
        <v>0</v>
      </c>
      <c r="J9" s="8">
        <f>IF(Utilidad!F$18&gt;1,Utilidad!F6/100,Utilidad!F6)</f>
        <v>0</v>
      </c>
      <c r="L9" s="9">
        <f t="shared" si="3"/>
        <v>0</v>
      </c>
      <c r="M9" s="9">
        <f t="shared" ref="M9:N9" si="13">+IF(D9&lt;&gt;0,(I9-D9)/D9,0)</f>
        <v>0</v>
      </c>
      <c r="N9" s="9">
        <f t="shared" si="13"/>
        <v>0</v>
      </c>
      <c r="P9" s="8">
        <f t="shared" si="1"/>
        <v>0</v>
      </c>
      <c r="Q9" s="8">
        <f t="shared" ref="Q9:R9" si="14">+IF(L9&lt;&gt;"",ABS(L9),0)</f>
        <v>0</v>
      </c>
      <c r="R9" s="8">
        <f t="shared" si="14"/>
        <v>0</v>
      </c>
      <c r="T9" s="248" t="str">
        <f t="shared" si="6"/>
        <v>SI</v>
      </c>
    </row>
    <row r="10" spans="2:20" ht="21" x14ac:dyDescent="0.25">
      <c r="B10" s="6" t="s">
        <v>18</v>
      </c>
      <c r="C10" s="7">
        <f>Utilidad!A7</f>
        <v>20879.29</v>
      </c>
      <c r="D10" s="8">
        <f>IF(Utilidad!C$18&gt;1,Utilidad!C7/100,Utilidad!C7)</f>
        <v>0.58489999999999998</v>
      </c>
      <c r="E10" s="8">
        <f>IF(Utilidad!E$18&gt;1,Utilidad!E7/100,Utilidad!E7)</f>
        <v>0.59221200000000007</v>
      </c>
      <c r="G10" s="6" t="s">
        <v>18</v>
      </c>
      <c r="H10" s="7">
        <f>Utilidad!B7</f>
        <v>20879.29</v>
      </c>
      <c r="I10" s="8">
        <f>IF(Utilidad!D$18&gt;1,Utilidad!D7/100,Utilidad!D7)</f>
        <v>0.60716147348000005</v>
      </c>
      <c r="J10" s="8">
        <f>IF(Utilidad!F$18&gt;1,Utilidad!F7/100,Utilidad!F7)</f>
        <v>0.59650525031000001</v>
      </c>
      <c r="L10" s="9">
        <f t="shared" si="3"/>
        <v>0</v>
      </c>
      <c r="M10" s="9">
        <f t="shared" ref="M10:N10" si="15">+IF(D10&lt;&gt;0,(I10-D10)/D10,0)</f>
        <v>3.8060306855872923E-2</v>
      </c>
      <c r="N10" s="9">
        <f t="shared" si="15"/>
        <v>7.2495158997114891E-3</v>
      </c>
      <c r="P10" s="8">
        <f t="shared" si="1"/>
        <v>0</v>
      </c>
      <c r="Q10" s="8">
        <f t="shared" ref="Q10:R10" si="16">+IF(L10&lt;&gt;"",ABS(L10),0)</f>
        <v>0</v>
      </c>
      <c r="R10" s="8">
        <f t="shared" si="16"/>
        <v>3.8060306855872923E-2</v>
      </c>
      <c r="T10" s="248" t="str">
        <f t="shared" si="6"/>
        <v>SI</v>
      </c>
    </row>
    <row r="11" spans="2:20" ht="21" x14ac:dyDescent="0.25">
      <c r="B11" s="6" t="s">
        <v>19</v>
      </c>
      <c r="C11" s="7">
        <f>Utilidad!A8</f>
        <v>18314.103999999999</v>
      </c>
      <c r="D11" s="8">
        <f>IF(Utilidad!C$18&gt;1,Utilidad!C8/100,Utilidad!C8)</f>
        <v>0.60215600000000002</v>
      </c>
      <c r="E11" s="8">
        <f>IF(Utilidad!E$18&gt;1,Utilidad!E8/100,Utilidad!E8)</f>
        <v>0.586225</v>
      </c>
      <c r="G11" s="6" t="s">
        <v>19</v>
      </c>
      <c r="H11" s="7">
        <f>Utilidad!B8</f>
        <v>16482.693599999999</v>
      </c>
      <c r="I11" s="8">
        <f>IF(Utilidad!D$18&gt;1,Utilidad!D8/100,Utilidad!D8)</f>
        <v>0.60817756000000001</v>
      </c>
      <c r="J11" s="8">
        <f>IF(Utilidad!F$18&gt;1,Utilidad!F8/100,Utilidad!F8)</f>
        <v>0.58912350328000007</v>
      </c>
      <c r="L11" s="9">
        <f t="shared" si="3"/>
        <v>-0.10000000000000003</v>
      </c>
      <c r="M11" s="9">
        <f t="shared" ref="M11:N11" si="17">+IF(D11&lt;&gt;0,(I11-D11)/D11,0)</f>
        <v>9.999999999999969E-3</v>
      </c>
      <c r="N11" s="9">
        <f t="shared" si="17"/>
        <v>4.9443529020428596E-3</v>
      </c>
      <c r="P11" s="8">
        <f t="shared" si="1"/>
        <v>0.10000000000000003</v>
      </c>
      <c r="Q11" s="8">
        <f t="shared" ref="Q11:R11" si="18">+IF(L11&lt;&gt;"",ABS(L11),0)</f>
        <v>0.10000000000000003</v>
      </c>
      <c r="R11" s="8">
        <f t="shared" si="18"/>
        <v>9.999999999999969E-3</v>
      </c>
      <c r="T11" s="248" t="str">
        <f t="shared" si="6"/>
        <v>SI</v>
      </c>
    </row>
    <row r="12" spans="2:20" ht="21" x14ac:dyDescent="0.25">
      <c r="B12" s="6" t="s">
        <v>20</v>
      </c>
      <c r="C12" s="7">
        <f>Utilidad!A9</f>
        <v>212</v>
      </c>
      <c r="D12" s="8">
        <f>IF(Utilidad!C$18&gt;1,Utilidad!C9/100,Utilidad!C9)</f>
        <v>0.60060000000000002</v>
      </c>
      <c r="E12" s="8">
        <f>IF(Utilidad!E$18&gt;1,Utilidad!E9/100,Utilidad!E9)</f>
        <v>0.586225</v>
      </c>
      <c r="G12" s="6" t="s">
        <v>20</v>
      </c>
      <c r="H12" s="7">
        <f>Utilidad!B9</f>
        <v>252.02359999999999</v>
      </c>
      <c r="I12" s="8">
        <f>IF(Utilidad!D$18&gt;1,Utilidad!D9/100,Utilidad!D9)</f>
        <v>0.60071884741000003</v>
      </c>
      <c r="J12" s="8">
        <f>IF(Utilidad!F$18&gt;1,Utilidad!F9/100,Utilidad!F9)</f>
        <v>0.58630078285999998</v>
      </c>
      <c r="L12" s="9">
        <f t="shared" si="3"/>
        <v>0.18879056603773578</v>
      </c>
      <c r="M12" s="9">
        <f t="shared" ref="M12:N12" si="19">+IF(D12&lt;&gt;0,(I12-D12)/D12,0)</f>
        <v>1.9788113553115453E-4</v>
      </c>
      <c r="N12" s="9">
        <f t="shared" si="19"/>
        <v>1.2927265128574242E-4</v>
      </c>
      <c r="P12" s="8">
        <f t="shared" si="1"/>
        <v>0.18879056603773578</v>
      </c>
      <c r="Q12" s="8">
        <f t="shared" ref="Q12:R12" si="20">+IF(L12&lt;&gt;"",ABS(L12),0)</f>
        <v>0.18879056603773578</v>
      </c>
      <c r="R12" s="8">
        <f t="shared" si="20"/>
        <v>1.9788113553115453E-4</v>
      </c>
      <c r="T12" s="248" t="str">
        <f t="shared" si="6"/>
        <v>SI</v>
      </c>
    </row>
    <row r="13" spans="2:20" ht="21" x14ac:dyDescent="0.25">
      <c r="B13" s="6" t="s">
        <v>21</v>
      </c>
      <c r="C13" s="7">
        <f>Utilidad!A10</f>
        <v>0</v>
      </c>
      <c r="D13" s="8">
        <f>IF(Utilidad!C$18&gt;1,Utilidad!C10/100,Utilidad!C10)</f>
        <v>0</v>
      </c>
      <c r="E13" s="8">
        <f>IF(Utilidad!E$18&gt;1,Utilidad!E10/100,Utilidad!E10)</f>
        <v>0</v>
      </c>
      <c r="G13" s="6" t="s">
        <v>21</v>
      </c>
      <c r="H13" s="7">
        <f>Utilidad!B10</f>
        <v>0</v>
      </c>
      <c r="I13" s="8">
        <f>IF(Utilidad!D$18&gt;1,Utilidad!D10/100,Utilidad!D10)</f>
        <v>0</v>
      </c>
      <c r="J13" s="8">
        <f>IF(Utilidad!F$18&gt;1,Utilidad!F10/100,Utilidad!F10)</f>
        <v>0</v>
      </c>
      <c r="L13" s="9">
        <f t="shared" si="3"/>
        <v>0</v>
      </c>
      <c r="M13" s="9">
        <f t="shared" ref="M13:N13" si="21">+IF(D13&lt;&gt;0,(I13-D13)/D13,0)</f>
        <v>0</v>
      </c>
      <c r="N13" s="9">
        <f t="shared" si="21"/>
        <v>0</v>
      </c>
      <c r="P13" s="8">
        <f t="shared" si="1"/>
        <v>0</v>
      </c>
      <c r="Q13" s="8">
        <f t="shared" ref="Q13:R13" si="22">+IF(L13&lt;&gt;"",ABS(L13),0)</f>
        <v>0</v>
      </c>
      <c r="R13" s="8">
        <f t="shared" si="22"/>
        <v>0</v>
      </c>
      <c r="T13" s="248" t="str">
        <f t="shared" si="6"/>
        <v>SI</v>
      </c>
    </row>
    <row r="14" spans="2:20" ht="21" x14ac:dyDescent="0.25">
      <c r="B14" s="6" t="s">
        <v>22</v>
      </c>
      <c r="C14" s="7">
        <f>Utilidad!A11</f>
        <v>16230.67</v>
      </c>
      <c r="D14" s="8">
        <f>IF(Utilidad!C$18&gt;1,Utilidad!C11/100,Utilidad!C11)</f>
        <v>0.60060000000000002</v>
      </c>
      <c r="E14" s="8">
        <f>IF(Utilidad!E$18&gt;1,Utilidad!E11/100,Utilidad!E11)</f>
        <v>0.586225</v>
      </c>
      <c r="G14" s="6" t="s">
        <v>22</v>
      </c>
      <c r="H14" s="7">
        <f>Utilidad!B11</f>
        <v>16230.67</v>
      </c>
      <c r="I14" s="8">
        <f>IF(Utilidad!D$18&gt;1,Utilidad!D11/100,Utilidad!D11)</f>
        <v>0.60829337602</v>
      </c>
      <c r="J14" s="8">
        <f>IF(Utilidad!F$18&gt;1,Utilidad!F11/100,Utilidad!F11)</f>
        <v>0.58916733340000005</v>
      </c>
      <c r="L14" s="9">
        <f t="shared" si="3"/>
        <v>0</v>
      </c>
      <c r="M14" s="9">
        <f t="shared" ref="M14:N14" si="23">+IF(D14&lt;&gt;0,(I14-D14)/D14,0)</f>
        <v>1.2809483882783843E-2</v>
      </c>
      <c r="N14" s="9">
        <f t="shared" si="23"/>
        <v>5.0191196213059015E-3</v>
      </c>
      <c r="P14" s="8">
        <f t="shared" si="1"/>
        <v>0</v>
      </c>
      <c r="Q14" s="8">
        <f t="shared" ref="Q14:R14" si="24">+IF(L14&lt;&gt;"",ABS(L14),0)</f>
        <v>0</v>
      </c>
      <c r="R14" s="8">
        <f t="shared" si="24"/>
        <v>1.2809483882783843E-2</v>
      </c>
      <c r="T14" s="248" t="str">
        <f t="shared" si="6"/>
        <v>SI</v>
      </c>
    </row>
    <row r="15" spans="2:20" ht="21" x14ac:dyDescent="0.25">
      <c r="B15" s="6" t="s">
        <v>23</v>
      </c>
      <c r="C15" s="7">
        <f>Utilidad!A12</f>
        <v>13136</v>
      </c>
      <c r="D15" s="8">
        <f>IF(Utilidad!C$18&gt;1,Utilidad!C12/100,Utilidad!C12)</f>
        <v>0.35781399999999997</v>
      </c>
      <c r="E15" s="8">
        <f>IF(Utilidad!E$18&gt;1,Utilidad!E12/100,Utilidad!E12)</f>
        <v>0.321851</v>
      </c>
      <c r="G15" s="6" t="s">
        <v>23</v>
      </c>
      <c r="H15" s="7">
        <f>Utilidad!B12</f>
        <v>4229.7245661999996</v>
      </c>
      <c r="I15" s="8">
        <f>IF(Utilidad!D$18&gt;1,Utilidad!D12/100,Utilidad!D12)</f>
        <v>0.35880705339999996</v>
      </c>
      <c r="J15" s="8">
        <f>IF(Utilidad!F$18&gt;1,Utilidad!F12/100,Utilidad!F12)</f>
        <v>0.32209955213000002</v>
      </c>
      <c r="L15" s="9">
        <f t="shared" si="3"/>
        <v>-0.67800513351096237</v>
      </c>
      <c r="M15" s="9">
        <f t="shared" ref="M15:N15" si="25">+IF(D15&lt;&gt;0,(I15-D15)/D15,0)</f>
        <v>2.7753341121364706E-3</v>
      </c>
      <c r="N15" s="9">
        <f t="shared" si="25"/>
        <v>7.7225837421671442E-4</v>
      </c>
      <c r="P15" s="8">
        <f t="shared" si="1"/>
        <v>0.67800513351096237</v>
      </c>
      <c r="Q15" s="8">
        <f t="shared" ref="Q15:R15" si="26">+IF(L15&lt;&gt;"",ABS(L15),0)</f>
        <v>0.67800513351096237</v>
      </c>
      <c r="R15" s="8">
        <f t="shared" si="26"/>
        <v>2.7753341121364706E-3</v>
      </c>
      <c r="T15" s="248" t="str">
        <f t="shared" si="6"/>
        <v>SI</v>
      </c>
    </row>
    <row r="16" spans="2:20" ht="21" x14ac:dyDescent="0.25">
      <c r="B16" s="6" t="s">
        <v>24</v>
      </c>
      <c r="C16" s="7">
        <f>Utilidad!A13</f>
        <v>-478</v>
      </c>
      <c r="D16" s="8">
        <f>IF(Utilidad!C$18&gt;1,Utilidad!C13/100,Utilidad!C13)</f>
        <v>0.35781399999999997</v>
      </c>
      <c r="E16" s="8">
        <f>IF(Utilidad!E$18&gt;1,Utilidad!E13/100,Utilidad!E13)</f>
        <v>0.321851</v>
      </c>
      <c r="G16" s="6" t="s">
        <v>24</v>
      </c>
      <c r="H16" s="7">
        <f>Utilidad!B13</f>
        <v>-466.27543380999998</v>
      </c>
      <c r="I16" s="8">
        <f>IF(Utilidad!D$18&gt;1,Utilidad!D13/100,Utilidad!D13)</f>
        <v>0.35772303398999999</v>
      </c>
      <c r="J16" s="8">
        <f>IF(Utilidad!F$18&gt;1,Utilidad!F13/100,Utilidad!F13)</f>
        <v>0.32186202414999998</v>
      </c>
      <c r="L16" s="9">
        <f t="shared" si="3"/>
        <v>-2.4528381150627655E-2</v>
      </c>
      <c r="M16" s="9">
        <f t="shared" ref="M16:N16" si="27">+IF(D16&lt;&gt;0,(I16-D16)/D16,0)</f>
        <v>-2.5422708446279623E-4</v>
      </c>
      <c r="N16" s="9">
        <f t="shared" si="27"/>
        <v>3.4252340368627173E-5</v>
      </c>
      <c r="P16" s="8">
        <f t="shared" si="1"/>
        <v>2.4528381150627655E-2</v>
      </c>
      <c r="Q16" s="8">
        <f t="shared" ref="Q16:R16" si="28">+IF(L16&lt;&gt;"",ABS(L16),0)</f>
        <v>2.4528381150627655E-2</v>
      </c>
      <c r="R16" s="8">
        <f t="shared" si="28"/>
        <v>2.5422708446279623E-4</v>
      </c>
      <c r="T16" s="248" t="str">
        <f t="shared" si="6"/>
        <v>SI</v>
      </c>
    </row>
    <row r="17" spans="2:20" ht="21" x14ac:dyDescent="0.25">
      <c r="B17" s="6" t="s">
        <v>25</v>
      </c>
      <c r="C17" s="7">
        <f>Utilidad!A14</f>
        <v>4696</v>
      </c>
      <c r="D17" s="8">
        <f>IF(Utilidad!C$18&gt;1,Utilidad!C14/100,Utilidad!C14)</f>
        <v>0.35781399999999997</v>
      </c>
      <c r="E17" s="8">
        <f>IF(Utilidad!E$18&gt;1,Utilidad!E14/100,Utilidad!E14)</f>
        <v>0.321851</v>
      </c>
      <c r="G17" s="6" t="s">
        <v>25</v>
      </c>
      <c r="H17" s="7">
        <f>Utilidad!B14</f>
        <v>4696</v>
      </c>
      <c r="I17" s="8">
        <f>IF(Utilidad!D$18&gt;1,Utilidad!D14/100,Utilidad!D14)</f>
        <v>0.35869941890000001</v>
      </c>
      <c r="J17" s="8">
        <f>IF(Utilidad!F$18&gt;1,Utilidad!F14/100,Utilidad!F14)</f>
        <v>0.32207596748999995</v>
      </c>
      <c r="L17" s="9">
        <f t="shared" si="3"/>
        <v>0</v>
      </c>
      <c r="M17" s="9">
        <f t="shared" ref="M17:N17" si="29">+IF(D17&lt;&gt;0,(I17-D17)/D17,0)</f>
        <v>2.4745227967604556E-3</v>
      </c>
      <c r="N17" s="9">
        <f t="shared" si="29"/>
        <v>6.9898024241015215E-4</v>
      </c>
      <c r="P17" s="8">
        <f t="shared" si="1"/>
        <v>0</v>
      </c>
      <c r="Q17" s="8">
        <f t="shared" ref="Q17:R17" si="30">+IF(L17&lt;&gt;"",ABS(L17),0)</f>
        <v>0</v>
      </c>
      <c r="R17" s="8">
        <f t="shared" si="30"/>
        <v>2.4745227967604556E-3</v>
      </c>
      <c r="T17" s="248" t="str">
        <f t="shared" si="6"/>
        <v>SI</v>
      </c>
    </row>
    <row r="18" spans="2:20" ht="21" x14ac:dyDescent="0.25">
      <c r="B18" s="6" t="s">
        <v>26</v>
      </c>
      <c r="C18" s="7">
        <f>Utilidad!A15</f>
        <v>25816</v>
      </c>
      <c r="D18" s="8">
        <f>IF(Utilidad!C$18&gt;1,Utilidad!C15/100,Utilidad!C15)</f>
        <v>0.41159999999999997</v>
      </c>
      <c r="E18" s="8">
        <f>IF(Utilidad!E$18&gt;1,Utilidad!E15/100,Utilidad!E15)</f>
        <v>0.321851</v>
      </c>
      <c r="G18" s="6" t="s">
        <v>26</v>
      </c>
      <c r="H18" s="7">
        <f>Utilidad!B15</f>
        <v>33560.799982999997</v>
      </c>
      <c r="I18" s="8">
        <f>IF(Utilidad!D$18&gt;1,Utilidad!D15/100,Utilidad!D15)</f>
        <v>0.41917988581000004</v>
      </c>
      <c r="J18" s="8">
        <f>IF(Utilidad!F$18&gt;1,Utilidad!F15/100,Utilidad!F15)</f>
        <v>0.35403610000000002</v>
      </c>
      <c r="L18" s="9">
        <f t="shared" si="3"/>
        <v>0.29999999934149352</v>
      </c>
      <c r="M18" s="9">
        <f t="shared" ref="M18:N18" si="31">+IF(D18&lt;&gt;0,(I18-D18)/D18,0)</f>
        <v>1.8415660374149843E-2</v>
      </c>
      <c r="N18" s="9">
        <f t="shared" si="31"/>
        <v>0.10000000000000007</v>
      </c>
      <c r="P18" s="8">
        <f t="shared" si="1"/>
        <v>0.29999999934149352</v>
      </c>
      <c r="Q18" s="8">
        <f t="shared" ref="Q18:R18" si="32">+IF(L18&lt;&gt;"",ABS(L18),0)</f>
        <v>0.29999999934149352</v>
      </c>
      <c r="R18" s="8">
        <f t="shared" si="32"/>
        <v>1.8415660374149843E-2</v>
      </c>
      <c r="T18" s="248" t="str">
        <f t="shared" si="6"/>
        <v>SI</v>
      </c>
    </row>
    <row r="19" spans="2:20" ht="21" x14ac:dyDescent="0.25">
      <c r="B19" s="6" t="s">
        <v>27</v>
      </c>
      <c r="C19" s="7">
        <f>Utilidad!A16</f>
        <v>528</v>
      </c>
      <c r="D19" s="8">
        <f>IF(Utilidad!C$18&gt;1,Utilidad!C16/100,Utilidad!C16)</f>
        <v>0.41159999999999997</v>
      </c>
      <c r="E19" s="8">
        <f>IF(Utilidad!E$18&gt;1,Utilidad!E16/100,Utilidad!E16)</f>
        <v>0.376</v>
      </c>
      <c r="G19" s="6" t="s">
        <v>27</v>
      </c>
      <c r="H19" s="7">
        <f>Utilidad!B16</f>
        <v>6684.3299832000002</v>
      </c>
      <c r="I19" s="8">
        <f>IF(Utilidad!D$18&gt;1,Utilidad!D16/100,Utilidad!D16)</f>
        <v>0.41382753760999996</v>
      </c>
      <c r="J19" s="8">
        <f>IF(Utilidad!F$18&gt;1,Utilidad!F16/100,Utilidad!F16)</f>
        <v>0.34131463597</v>
      </c>
      <c r="L19" s="9">
        <f t="shared" si="3"/>
        <v>11.659715877272728</v>
      </c>
      <c r="M19" s="9">
        <f t="shared" ref="M19:N19" si="33">+IF(D19&lt;&gt;0,(I19-D19)/D19,0)</f>
        <v>5.4118989552963967E-3</v>
      </c>
      <c r="N19" s="9">
        <f t="shared" si="33"/>
        <v>-9.2248308590425529E-2</v>
      </c>
      <c r="P19" s="8">
        <f t="shared" si="1"/>
        <v>11.659715877272728</v>
      </c>
      <c r="Q19" s="8">
        <f t="shared" ref="Q19:R19" si="34">+IF(L19&lt;&gt;"",ABS(L19),0)</f>
        <v>11.659715877272728</v>
      </c>
      <c r="R19" s="8">
        <f t="shared" si="34"/>
        <v>5.4118989552963967E-3</v>
      </c>
      <c r="T19" s="248" t="str">
        <f t="shared" si="6"/>
        <v>SI</v>
      </c>
    </row>
    <row r="20" spans="2:20" ht="21" x14ac:dyDescent="0.25">
      <c r="B20" s="6" t="s">
        <v>28</v>
      </c>
      <c r="C20" s="7">
        <f>Utilidad!A17</f>
        <v>26876.47</v>
      </c>
      <c r="D20" s="8">
        <f>IF(Utilidad!C$18&gt;1,Utilidad!C17/100,Utilidad!C17)</f>
        <v>0.41159999999999997</v>
      </c>
      <c r="E20" s="8">
        <f>IF(Utilidad!E$18&gt;1,Utilidad!E17/100,Utilidad!E17)</f>
        <v>0.376</v>
      </c>
      <c r="G20" s="6" t="s">
        <v>28</v>
      </c>
      <c r="H20" s="7">
        <f>Utilidad!B17</f>
        <v>26876.47</v>
      </c>
      <c r="I20" s="8">
        <f>IF(Utilidad!D$18&gt;1,Utilidad!D17/100,Utilidad!D17)</f>
        <v>0.42051104504999998</v>
      </c>
      <c r="J20" s="8">
        <f>IF(Utilidad!F$18&gt;1,Utilidad!F17/100,Utilidad!F17)</f>
        <v>0.35719999999999996</v>
      </c>
      <c r="L20" s="9">
        <f t="shared" si="3"/>
        <v>0</v>
      </c>
      <c r="M20" s="9">
        <f t="shared" ref="M20:N20" si="35">+IF(D20&lt;&gt;0,(I20-D20)/D20,0)</f>
        <v>2.1649769314868832E-2</v>
      </c>
      <c r="N20" s="9">
        <f t="shared" si="35"/>
        <v>-5.00000000000001E-2</v>
      </c>
      <c r="P20" s="8">
        <f t="shared" si="1"/>
        <v>0</v>
      </c>
      <c r="Q20" s="8">
        <f t="shared" ref="Q20:R20" si="36">+IF(L20&lt;&gt;"",ABS(L20),0)</f>
        <v>0</v>
      </c>
      <c r="R20" s="8">
        <f t="shared" si="36"/>
        <v>2.1649769314868832E-2</v>
      </c>
      <c r="T20" s="248" t="str">
        <f t="shared" si="6"/>
        <v>SI</v>
      </c>
    </row>
    <row r="21" spans="2:20" ht="15.75" customHeight="1" x14ac:dyDescent="0.25">
      <c r="B21" s="10" t="s">
        <v>29</v>
      </c>
      <c r="C21" s="7">
        <f>Utilidad!A18</f>
        <v>26924</v>
      </c>
      <c r="D21" s="8">
        <f>IF(Utilidad!C$18&gt;1,Utilidad!C18/100,Utilidad!C18)</f>
        <v>0.44134200000000001</v>
      </c>
      <c r="E21" s="8">
        <f>IF(Utilidad!E$18&gt;1,Utilidad!E18/100,Utilidad!E18)</f>
        <v>0.40327099999999999</v>
      </c>
      <c r="G21" s="10" t="s">
        <v>29</v>
      </c>
      <c r="H21" s="7">
        <f>Utilidad!B18</f>
        <v>23698.763164</v>
      </c>
      <c r="I21" s="8">
        <f>IF(Utilidad!D$18&gt;1,Utilidad!D18/100,Utilidad!D18)</f>
        <v>0.44090977576000001</v>
      </c>
      <c r="J21" s="8">
        <f>IF(Utilidad!F$18&gt;1,Utilidad!F18/100,Utilidad!F18)</f>
        <v>0.41424761902000001</v>
      </c>
      <c r="L21" s="9">
        <f t="shared" si="3"/>
        <v>-0.11979040395186451</v>
      </c>
      <c r="M21" s="9">
        <f t="shared" ref="M21:N21" si="37">+IF(D21&lt;&gt;0,(I21-D21)/D21,0)</f>
        <v>-9.7934082865442436E-4</v>
      </c>
      <c r="N21" s="9">
        <f t="shared" si="37"/>
        <v>2.7218964468062476E-2</v>
      </c>
      <c r="P21" s="8">
        <f t="shared" si="1"/>
        <v>0.11979040395186451</v>
      </c>
      <c r="Q21" s="8">
        <f t="shared" ref="Q21:R21" si="38">+IF(L21&lt;&gt;"",ABS(L21),0)</f>
        <v>0.11979040395186451</v>
      </c>
      <c r="R21" s="8">
        <f t="shared" si="38"/>
        <v>9.7934082865442436E-4</v>
      </c>
      <c r="T21" s="248" t="str">
        <f t="shared" si="6"/>
        <v>SI</v>
      </c>
    </row>
    <row r="22" spans="2:20" ht="15.75" customHeight="1" x14ac:dyDescent="0.25">
      <c r="B22" s="10" t="s">
        <v>30</v>
      </c>
      <c r="C22" s="7">
        <f>Utilidad!A19</f>
        <v>9033</v>
      </c>
      <c r="D22" s="8">
        <f>IF(Utilidad!C$18&gt;1,Utilidad!C19/100,Utilidad!C19)</f>
        <v>0.42468600000000001</v>
      </c>
      <c r="E22" s="8">
        <f>IF(Utilidad!E$18&gt;1,Utilidad!E19/100,Utilidad!E19)</f>
        <v>0.37383099999999997</v>
      </c>
      <c r="G22" s="10" t="s">
        <v>30</v>
      </c>
      <c r="H22" s="7">
        <f>Utilidad!B19</f>
        <v>8581.35</v>
      </c>
      <c r="I22" s="8">
        <f>IF(Utilidad!D$18&gt;1,Utilidad!D19/100,Utilidad!D19)</f>
        <v>0.42453286771000004</v>
      </c>
      <c r="J22" s="8">
        <f>IF(Utilidad!F$18&gt;1,Utilidad!F19/100,Utilidad!F19)</f>
        <v>0.37724650703000001</v>
      </c>
      <c r="L22" s="9">
        <f t="shared" si="3"/>
        <v>-4.9999999999999961E-2</v>
      </c>
      <c r="M22" s="9">
        <f t="shared" ref="M22:N22" si="39">+IF(D22&lt;&gt;0,(I22-D22)/D22,0)</f>
        <v>-3.6057767385778847E-4</v>
      </c>
      <c r="N22" s="9">
        <f t="shared" si="39"/>
        <v>9.1365002634881606E-3</v>
      </c>
      <c r="P22" s="8">
        <f t="shared" si="1"/>
        <v>4.9999999999999961E-2</v>
      </c>
      <c r="Q22" s="8">
        <f t="shared" ref="Q22:R22" si="40">+IF(L22&lt;&gt;"",ABS(L22),0)</f>
        <v>4.9999999999999961E-2</v>
      </c>
      <c r="R22" s="8">
        <f t="shared" si="40"/>
        <v>3.6057767385778847E-4</v>
      </c>
      <c r="T22" s="248" t="str">
        <f t="shared" si="6"/>
        <v>SI</v>
      </c>
    </row>
    <row r="23" spans="2:20" ht="15.75" customHeight="1" x14ac:dyDescent="0.25">
      <c r="B23" s="10" t="s">
        <v>31</v>
      </c>
      <c r="C23" s="7">
        <f>Utilidad!A20</f>
        <v>19699.46</v>
      </c>
      <c r="D23" s="8">
        <f>IF(Utilidad!C$18&gt;1,Utilidad!C20/100,Utilidad!C20)</f>
        <v>0.46240000000000003</v>
      </c>
      <c r="E23" s="8">
        <f>IF(Utilidad!E$18&gt;1,Utilidad!E20/100,Utilidad!E20)</f>
        <v>0.43380000000000002</v>
      </c>
      <c r="G23" s="10" t="s">
        <v>31</v>
      </c>
      <c r="H23" s="7">
        <f>Utilidad!B20</f>
        <v>19715.459997000002</v>
      </c>
      <c r="I23" s="8">
        <f>IF(Utilidad!D$18&gt;1,Utilidad!D20/100,Utilidad!D20)</f>
        <v>0.46260921894000001</v>
      </c>
      <c r="J23" s="8">
        <f>IF(Utilidad!F$18&gt;1,Utilidad!F20/100,Utilidad!F20)</f>
        <v>0.42946199999999995</v>
      </c>
      <c r="L23" s="9">
        <f t="shared" si="3"/>
        <v>8.122048523158819E-4</v>
      </c>
      <c r="M23" s="9">
        <f t="shared" ref="M23:N23" si="41">+IF(D23&lt;&gt;0,(I23-D23)/D23,0)</f>
        <v>4.5246310553628404E-4</v>
      </c>
      <c r="N23" s="9">
        <f t="shared" si="41"/>
        <v>-1.0000000000000148E-2</v>
      </c>
      <c r="P23" s="8">
        <f t="shared" si="1"/>
        <v>8.122048523158819E-4</v>
      </c>
      <c r="Q23" s="8">
        <f t="shared" ref="Q23:R23" si="42">+IF(L23&lt;&gt;"",ABS(L23),0)</f>
        <v>8.122048523158819E-4</v>
      </c>
      <c r="R23" s="8">
        <f t="shared" si="42"/>
        <v>4.5246310553628404E-4</v>
      </c>
      <c r="T23" s="248" t="str">
        <f t="shared" si="6"/>
        <v>SI</v>
      </c>
    </row>
    <row r="24" spans="2:20" ht="15.75" customHeight="1" x14ac:dyDescent="0.25">
      <c r="B24" s="10" t="s">
        <v>32</v>
      </c>
      <c r="C24" s="7">
        <f>Utilidad!A21</f>
        <v>-80</v>
      </c>
      <c r="D24" s="8">
        <f>IF(Utilidad!C$18&gt;1,Utilidad!C21/100,Utilidad!C21)</f>
        <v>0.46240000000000003</v>
      </c>
      <c r="E24" s="8">
        <f>IF(Utilidad!E$18&gt;1,Utilidad!E21/100,Utilidad!E21)</f>
        <v>0.43380000000000002</v>
      </c>
      <c r="G24" s="10" t="s">
        <v>32</v>
      </c>
      <c r="H24" s="7">
        <f>Utilidad!B21</f>
        <v>-64.000003277000005</v>
      </c>
      <c r="I24" s="8">
        <f>IF(Utilidad!D$18&gt;1,Utilidad!D21/100,Utilidad!D21)</f>
        <v>0.46239677018000003</v>
      </c>
      <c r="J24" s="8">
        <f>IF(Utilidad!F$18&gt;1,Utilidad!F21/100,Utilidad!F21)</f>
        <v>0.43381634067999997</v>
      </c>
      <c r="L24" s="9">
        <f t="shared" si="3"/>
        <v>-0.19999995903749995</v>
      </c>
      <c r="M24" s="9">
        <f t="shared" ref="M24:N24" si="43">+IF(D24&lt;&gt;0,(I24-D24)/D24,0)</f>
        <v>-6.9849048443032497E-6</v>
      </c>
      <c r="N24" s="9">
        <f t="shared" si="43"/>
        <v>3.766869525114987E-5</v>
      </c>
      <c r="P24" s="8">
        <f t="shared" si="1"/>
        <v>0.19999995903749995</v>
      </c>
      <c r="Q24" s="8">
        <f t="shared" ref="Q24:R24" si="44">+IF(L24&lt;&gt;"",ABS(L24),0)</f>
        <v>0.19999995903749995</v>
      </c>
      <c r="R24" s="8">
        <f t="shared" si="44"/>
        <v>6.9849048443032497E-6</v>
      </c>
      <c r="T24" s="248" t="str">
        <f t="shared" si="6"/>
        <v>SI</v>
      </c>
    </row>
    <row r="25" spans="2:20" ht="15.75" customHeight="1" x14ac:dyDescent="0.25">
      <c r="B25" s="10" t="s">
        <v>33</v>
      </c>
      <c r="C25" s="7">
        <f>Utilidad!A22</f>
        <v>19779.46</v>
      </c>
      <c r="D25" s="8">
        <f>IF(Utilidad!C$18&gt;1,Utilidad!C22/100,Utilidad!C22)</f>
        <v>0.46240000000000003</v>
      </c>
      <c r="E25" s="8">
        <f>IF(Utilidad!E$18&gt;1,Utilidad!E22/100,Utilidad!E22)</f>
        <v>0.43380000000000002</v>
      </c>
      <c r="G25" s="10" t="s">
        <v>33</v>
      </c>
      <c r="H25" s="7">
        <f>Utilidad!B22</f>
        <v>19779.46</v>
      </c>
      <c r="I25" s="8">
        <f>IF(Utilidad!D$18&gt;1,Utilidad!D22/100,Utilidad!D22)</f>
        <v>0.46260853152999998</v>
      </c>
      <c r="J25" s="8">
        <f>IF(Utilidad!F$18&gt;1,Utilidad!F22/100,Utilidad!F22)</f>
        <v>0.42947608924999997</v>
      </c>
      <c r="L25" s="9">
        <f t="shared" si="3"/>
        <v>0</v>
      </c>
      <c r="M25" s="9">
        <f t="shared" ref="M25:N25" si="45">+IF(D25&lt;&gt;0,(I25-D25)/D25,0)</f>
        <v>4.5097649221441307E-4</v>
      </c>
      <c r="N25" s="9">
        <f t="shared" si="45"/>
        <v>-9.9675213231905212E-3</v>
      </c>
      <c r="P25" s="8">
        <f t="shared" si="1"/>
        <v>0</v>
      </c>
      <c r="Q25" s="8">
        <f t="shared" ref="Q25:R25" si="46">+IF(L25&lt;&gt;"",ABS(L25),0)</f>
        <v>0</v>
      </c>
      <c r="R25" s="8">
        <f t="shared" si="46"/>
        <v>4.5097649221441307E-4</v>
      </c>
      <c r="T25" s="248" t="str">
        <f t="shared" si="6"/>
        <v>SI</v>
      </c>
    </row>
    <row r="26" spans="2:20" ht="15.75" customHeight="1" x14ac:dyDescent="0.25">
      <c r="B26" s="10" t="s">
        <v>34</v>
      </c>
      <c r="C26" s="7">
        <f>Utilidad!A23</f>
        <v>8922.43</v>
      </c>
      <c r="D26" s="8">
        <f>IF(Utilidad!C$18&gt;1,Utilidad!C23/100,Utilidad!C23)</f>
        <v>0.47119999999999995</v>
      </c>
      <c r="E26" s="8">
        <f>IF(Utilidad!E$18&gt;1,Utilidad!E23/100,Utilidad!E23)</f>
        <v>0.43130000000000002</v>
      </c>
      <c r="G26" s="10" t="s">
        <v>34</v>
      </c>
      <c r="H26" s="7">
        <f>Utilidad!B23</f>
        <v>9135.83</v>
      </c>
      <c r="I26" s="8">
        <f>IF(Utilidad!D$18&gt;1,Utilidad!D23/100,Utilidad!D23)</f>
        <v>0.4712818346</v>
      </c>
      <c r="J26" s="8">
        <f>IF(Utilidad!F$18&gt;1,Utilidad!F23/100,Utilidad!F23)</f>
        <v>0.42921153846999999</v>
      </c>
      <c r="L26" s="9">
        <f t="shared" si="3"/>
        <v>2.3917251242094321E-2</v>
      </c>
      <c r="M26" s="9">
        <f t="shared" ref="M26:N26" si="47">+IF(D26&lt;&gt;0,(I26-D26)/D26,0)</f>
        <v>1.7367275042455964E-4</v>
      </c>
      <c r="N26" s="9">
        <f t="shared" si="47"/>
        <v>-4.8422479248783441E-3</v>
      </c>
      <c r="P26" s="8">
        <f t="shared" si="1"/>
        <v>2.3917251242094321E-2</v>
      </c>
      <c r="Q26" s="8">
        <f t="shared" ref="Q26:R26" si="48">+IF(L26&lt;&gt;"",ABS(L26),0)</f>
        <v>2.3917251242094321E-2</v>
      </c>
      <c r="R26" s="8">
        <f t="shared" si="48"/>
        <v>1.7367275042455964E-4</v>
      </c>
      <c r="T26" s="248" t="str">
        <f t="shared" si="6"/>
        <v>SI</v>
      </c>
    </row>
    <row r="27" spans="2:20" ht="15.75" customHeight="1" x14ac:dyDescent="0.25">
      <c r="B27" s="10" t="s">
        <v>35</v>
      </c>
      <c r="C27" s="7">
        <f>Utilidad!A24</f>
        <v>1067</v>
      </c>
      <c r="D27" s="8">
        <f>IF(Utilidad!C$18&gt;1,Utilidad!C24/100,Utilidad!C24)</f>
        <v>0.47119999999999995</v>
      </c>
      <c r="E27" s="8">
        <f>IF(Utilidad!E$18&gt;1,Utilidad!E24/100,Utilidad!E24)</f>
        <v>0.43130000000000002</v>
      </c>
      <c r="G27" s="10" t="s">
        <v>35</v>
      </c>
      <c r="H27" s="7">
        <f>Utilidad!B24</f>
        <v>1280.4000000000001</v>
      </c>
      <c r="I27" s="8">
        <f>IF(Utilidad!D$18&gt;1,Utilidad!D24/100,Utilidad!D24)</f>
        <v>0.47121286524</v>
      </c>
      <c r="J27" s="8">
        <f>IF(Utilidad!F$18&gt;1,Utilidad!F24/100,Utilidad!F24)</f>
        <v>0.43091433576999999</v>
      </c>
      <c r="L27" s="9">
        <f t="shared" si="3"/>
        <v>0.20000000000000009</v>
      </c>
      <c r="M27" s="9">
        <f t="shared" ref="M27:N27" si="49">+IF(D27&lt;&gt;0,(I27-D27)/D27,0)</f>
        <v>2.7303140916910881E-5</v>
      </c>
      <c r="N27" s="9">
        <f t="shared" si="49"/>
        <v>-8.9419019244151824E-4</v>
      </c>
      <c r="P27" s="8">
        <f t="shared" si="1"/>
        <v>0.20000000000000009</v>
      </c>
      <c r="Q27" s="8">
        <f t="shared" ref="Q27:R27" si="50">+IF(L27&lt;&gt;"",ABS(L27),0)</f>
        <v>0.20000000000000009</v>
      </c>
      <c r="R27" s="8">
        <f t="shared" si="50"/>
        <v>2.7303140916910881E-5</v>
      </c>
      <c r="T27" s="248" t="str">
        <f t="shared" si="6"/>
        <v>SI</v>
      </c>
    </row>
    <row r="28" spans="2:20" ht="15.75" customHeight="1" x14ac:dyDescent="0.25">
      <c r="B28" s="10" t="s">
        <v>36</v>
      </c>
      <c r="C28" s="7">
        <f>Utilidad!A25</f>
        <v>7855.43</v>
      </c>
      <c r="D28" s="8">
        <f>IF(Utilidad!C$18&gt;1,Utilidad!C25/100,Utilidad!C25)</f>
        <v>0.47119999999999995</v>
      </c>
      <c r="E28" s="8">
        <f>IF(Utilidad!E$18&gt;1,Utilidad!E25/100,Utilidad!E25)</f>
        <v>0.43130000000000002</v>
      </c>
      <c r="G28" s="10" t="s">
        <v>36</v>
      </c>
      <c r="H28" s="7">
        <f>Utilidad!B25</f>
        <v>7855.43</v>
      </c>
      <c r="I28" s="8">
        <f>IF(Utilidad!D$18&gt;1,Utilidad!D25/100,Utilidad!D25)</f>
        <v>0.47129307629000006</v>
      </c>
      <c r="J28" s="8">
        <f>IF(Utilidad!F$18&gt;1,Utilidad!F25/100,Utilidad!F25)</f>
        <v>0.42893399011</v>
      </c>
      <c r="L28" s="9">
        <f t="shared" si="3"/>
        <v>0</v>
      </c>
      <c r="M28" s="9">
        <f t="shared" ref="M28:N28" si="51">+IF(D28&lt;&gt;0,(I28-D28)/D28,0)</f>
        <v>1.9753032682534968E-4</v>
      </c>
      <c r="N28" s="9">
        <f t="shared" si="51"/>
        <v>-5.4857637143520066E-3</v>
      </c>
      <c r="P28" s="8">
        <f t="shared" si="1"/>
        <v>0</v>
      </c>
      <c r="Q28" s="8">
        <f t="shared" ref="Q28:R28" si="52">+IF(L28&lt;&gt;"",ABS(L28),0)</f>
        <v>0</v>
      </c>
      <c r="R28" s="8">
        <f t="shared" si="52"/>
        <v>1.9753032682534968E-4</v>
      </c>
      <c r="T28" s="248" t="str">
        <f t="shared" si="6"/>
        <v>SI</v>
      </c>
    </row>
    <row r="29" spans="2:20" ht="15.75" customHeight="1" x14ac:dyDescent="0.25">
      <c r="B29" s="10" t="s">
        <v>37</v>
      </c>
      <c r="C29" s="7">
        <f>Utilidad!A26</f>
        <v>7335.11</v>
      </c>
      <c r="D29" s="8">
        <f>IF(Utilidad!C$18&gt;1,Utilidad!C26/100,Utilidad!C26)</f>
        <v>0.196191</v>
      </c>
      <c r="E29" s="8">
        <f>IF(Utilidad!E$18&gt;1,Utilidad!E26/100,Utilidad!E26)</f>
        <v>0.21588100000000002</v>
      </c>
      <c r="G29" s="10" t="s">
        <v>37</v>
      </c>
      <c r="H29" s="7">
        <f>Utilidad!B26</f>
        <v>3428.8231669000002</v>
      </c>
      <c r="I29" s="8">
        <f>IF(Utilidad!D$18&gt;1,Utilidad!D26/100,Utilidad!D26)</f>
        <v>0.19422908999999999</v>
      </c>
      <c r="J29" s="8">
        <f>IF(Utilidad!F$18&gt;1,Utilidad!F26/100,Utilidad!F26)</f>
        <v>0.19429290000000002</v>
      </c>
      <c r="L29" s="9">
        <f t="shared" si="3"/>
        <v>-0.53254645575867299</v>
      </c>
      <c r="M29" s="9">
        <f t="shared" ref="M29:N29" si="53">+IF(D29&lt;&gt;0,(I29-D29)/D29,0)</f>
        <v>-1.0000000000000057E-2</v>
      </c>
      <c r="N29" s="9">
        <f t="shared" si="53"/>
        <v>-9.9999999999999992E-2</v>
      </c>
      <c r="P29" s="8">
        <f t="shared" si="1"/>
        <v>0.53254645575867299</v>
      </c>
      <c r="Q29" s="8">
        <f t="shared" ref="Q29:R29" si="54">+IF(L29&lt;&gt;"",ABS(L29),0)</f>
        <v>0.53254645575867299</v>
      </c>
      <c r="R29" s="8">
        <f t="shared" si="54"/>
        <v>1.0000000000000057E-2</v>
      </c>
      <c r="T29" s="248" t="str">
        <f t="shared" si="6"/>
        <v>NO</v>
      </c>
    </row>
    <row r="30" spans="2:20" ht="15.75" customHeight="1" x14ac:dyDescent="0.25">
      <c r="B30" s="10" t="s">
        <v>38</v>
      </c>
      <c r="C30" s="7">
        <f>Utilidad!A27</f>
        <v>-3000</v>
      </c>
      <c r="D30" s="8">
        <f>IF(Utilidad!C$18&gt;1,Utilidad!C27/100,Utilidad!C27)</f>
        <v>0.196191</v>
      </c>
      <c r="E30" s="8">
        <f>IF(Utilidad!E$18&gt;1,Utilidad!E27/100,Utilidad!E27)</f>
        <v>0.14010899999999998</v>
      </c>
      <c r="G30" s="10" t="s">
        <v>38</v>
      </c>
      <c r="H30" s="7">
        <f>Utilidad!B27</f>
        <v>-7697.1768331000003</v>
      </c>
      <c r="I30" s="8">
        <f>IF(Utilidad!D$18&gt;1,Utilidad!D27/100,Utilidad!D27)</f>
        <v>0.18638145</v>
      </c>
      <c r="J30" s="8">
        <f>IF(Utilidad!F$18&gt;1,Utilidad!F27/100,Utilidad!F27)</f>
        <v>0.12609809999999999</v>
      </c>
      <c r="L30" s="9">
        <f t="shared" si="3"/>
        <v>1.5657256110333335</v>
      </c>
      <c r="M30" s="9">
        <f t="shared" ref="M30:N30" si="55">+IF(D30&lt;&gt;0,(I30-D30)/D30,0)</f>
        <v>-0.05</v>
      </c>
      <c r="N30" s="9">
        <f t="shared" si="55"/>
        <v>-9.9999999999999964E-2</v>
      </c>
      <c r="P30" s="8">
        <f t="shared" si="1"/>
        <v>1.5657256110333335</v>
      </c>
      <c r="Q30" s="8">
        <f t="shared" ref="Q30:R30" si="56">+IF(L30&lt;&gt;"",ABS(L30),0)</f>
        <v>1.5657256110333335</v>
      </c>
      <c r="R30" s="8">
        <f t="shared" si="56"/>
        <v>0.05</v>
      </c>
      <c r="T30" s="248" t="str">
        <f t="shared" si="6"/>
        <v>SI</v>
      </c>
    </row>
    <row r="31" spans="2:20" ht="15.75" customHeight="1" x14ac:dyDescent="0.25">
      <c r="B31" s="10" t="s">
        <v>39</v>
      </c>
      <c r="C31" s="7">
        <f>Utilidad!A28</f>
        <v>11126</v>
      </c>
      <c r="D31" s="8">
        <f>IF(Utilidad!C$18&gt;1,Utilidad!C28/100,Utilidad!C28)</f>
        <v>0.196191</v>
      </c>
      <c r="E31" s="8">
        <f>IF(Utilidad!E$18&gt;1,Utilidad!E28/100,Utilidad!E28)</f>
        <v>0.14010899999999998</v>
      </c>
      <c r="G31" s="10" t="s">
        <v>39</v>
      </c>
      <c r="H31" s="7">
        <f>Utilidad!B28</f>
        <v>11126</v>
      </c>
      <c r="I31" s="8">
        <f>IF(Utilidad!D$18&gt;1,Utilidad!D28/100,Utilidad!D28)</f>
        <v>0.18879994450000001</v>
      </c>
      <c r="J31" s="8">
        <f>IF(Utilidad!F$18&gt;1,Utilidad!F28/100,Utilidad!F28)</f>
        <v>0.14711445000000001</v>
      </c>
      <c r="L31" s="9">
        <f t="shared" si="3"/>
        <v>0</v>
      </c>
      <c r="M31" s="9">
        <f t="shared" ref="M31:N31" si="57">+IF(D31&lt;&gt;0,(I31-D31)/D31,0)</f>
        <v>-3.7672755121284839E-2</v>
      </c>
      <c r="N31" s="9">
        <f t="shared" si="57"/>
        <v>5.0000000000000176E-2</v>
      </c>
      <c r="P31" s="8">
        <f t="shared" si="1"/>
        <v>0</v>
      </c>
      <c r="Q31" s="8">
        <f t="shared" ref="Q31:R31" si="58">+IF(L31&lt;&gt;"",ABS(L31),0)</f>
        <v>0</v>
      </c>
      <c r="R31" s="8">
        <f t="shared" si="58"/>
        <v>3.7672755121284839E-2</v>
      </c>
      <c r="T31" s="248" t="str">
        <f t="shared" si="6"/>
        <v>SI</v>
      </c>
    </row>
    <row r="32" spans="2:20" ht="15.75" customHeight="1" x14ac:dyDescent="0.25">
      <c r="B32" s="11"/>
      <c r="C32" s="12"/>
      <c r="D32" s="13"/>
      <c r="E32" s="13"/>
      <c r="G32" s="11"/>
      <c r="H32" s="12"/>
      <c r="I32" s="13"/>
      <c r="J32" s="13"/>
      <c r="L32" s="14"/>
      <c r="M32" s="14"/>
      <c r="N32" s="14"/>
      <c r="P32" s="13"/>
      <c r="Q32" s="13"/>
      <c r="R32" s="13"/>
    </row>
    <row r="33" spans="2:18" ht="15.75" customHeight="1" x14ac:dyDescent="0.25">
      <c r="B33" s="11"/>
      <c r="C33" s="12"/>
      <c r="D33" s="13"/>
      <c r="E33" s="13"/>
      <c r="G33" s="11"/>
      <c r="H33" s="12"/>
      <c r="I33" s="13"/>
      <c r="J33" s="13"/>
      <c r="L33" s="14"/>
      <c r="M33" s="14"/>
      <c r="N33" s="14"/>
      <c r="P33" s="13"/>
      <c r="Q33" s="13"/>
      <c r="R33" s="13"/>
    </row>
    <row r="34" spans="2:18" ht="15.75" customHeight="1" x14ac:dyDescent="0.25">
      <c r="B34" s="11"/>
      <c r="C34" s="12"/>
      <c r="D34" s="13"/>
      <c r="E34" s="13"/>
      <c r="G34" s="11"/>
      <c r="H34" s="12"/>
      <c r="I34" s="13"/>
      <c r="J34" s="13"/>
      <c r="L34" s="14"/>
      <c r="M34" s="14"/>
      <c r="N34" s="14"/>
      <c r="P34" s="13"/>
      <c r="Q34" s="13"/>
      <c r="R34" s="13"/>
    </row>
    <row r="35" spans="2:18" ht="15.75" customHeight="1" x14ac:dyDescent="0.25">
      <c r="B35" s="11"/>
      <c r="C35" s="12"/>
      <c r="D35" s="13"/>
      <c r="E35" s="13"/>
      <c r="G35" s="11"/>
      <c r="H35" s="12"/>
      <c r="I35" s="13"/>
      <c r="J35" s="13"/>
      <c r="L35" s="14"/>
      <c r="M35" s="14"/>
      <c r="N35" s="14"/>
      <c r="P35" s="13"/>
      <c r="Q35" s="13"/>
      <c r="R35" s="13"/>
    </row>
    <row r="36" spans="2:18" ht="15.75" customHeight="1" x14ac:dyDescent="0.25">
      <c r="B36" s="11"/>
      <c r="C36" s="12"/>
      <c r="D36" s="13"/>
      <c r="E36" s="13"/>
      <c r="G36" s="11"/>
      <c r="H36" s="12"/>
      <c r="I36" s="13"/>
      <c r="J36" s="13"/>
      <c r="L36" s="14"/>
      <c r="M36" s="14"/>
      <c r="N36" s="14"/>
      <c r="P36" s="13"/>
      <c r="Q36" s="13"/>
      <c r="R36" s="13"/>
    </row>
    <row r="37" spans="2:18" ht="15.75" customHeight="1" x14ac:dyDescent="0.25">
      <c r="B37" s="15"/>
      <c r="C37" s="12"/>
      <c r="D37" s="13"/>
      <c r="E37" s="13"/>
      <c r="G37" s="15"/>
      <c r="H37" s="12"/>
      <c r="I37" s="13"/>
      <c r="J37" s="13"/>
      <c r="L37" s="14"/>
      <c r="M37" s="14"/>
      <c r="N37" s="14"/>
      <c r="P37" s="13"/>
      <c r="Q37" s="13"/>
      <c r="R37" s="13"/>
    </row>
    <row r="38" spans="2:18" ht="15.75" customHeight="1" x14ac:dyDescent="0.25">
      <c r="B38" s="15"/>
      <c r="C38" s="12"/>
      <c r="D38" s="13"/>
      <c r="E38" s="13"/>
      <c r="G38" s="15"/>
      <c r="H38" s="12"/>
      <c r="I38" s="13"/>
      <c r="J38" s="13"/>
      <c r="L38" s="14"/>
      <c r="M38" s="14"/>
      <c r="N38" s="14"/>
      <c r="P38" s="13"/>
      <c r="Q38" s="13"/>
      <c r="R38" s="13"/>
    </row>
    <row r="39" spans="2:18" ht="15.75" customHeight="1" x14ac:dyDescent="0.25">
      <c r="B39" s="11"/>
      <c r="C39" s="12"/>
      <c r="D39" s="13"/>
      <c r="E39" s="13"/>
      <c r="G39" s="11"/>
      <c r="H39" s="12"/>
      <c r="I39" s="13"/>
      <c r="J39" s="13"/>
      <c r="L39" s="14"/>
      <c r="M39" s="14"/>
      <c r="N39" s="14"/>
      <c r="P39" s="13"/>
      <c r="Q39" s="13"/>
      <c r="R39" s="13"/>
    </row>
    <row r="40" spans="2:18" ht="15.75" customHeight="1" x14ac:dyDescent="0.25">
      <c r="B40" s="11"/>
      <c r="C40" s="12"/>
      <c r="D40" s="13"/>
      <c r="E40" s="13"/>
      <c r="G40" s="11"/>
      <c r="H40" s="12"/>
      <c r="I40" s="13"/>
      <c r="J40" s="13"/>
      <c r="L40" s="14"/>
      <c r="M40" s="14"/>
      <c r="N40" s="14"/>
      <c r="P40" s="13"/>
      <c r="Q40" s="13"/>
      <c r="R40" s="13"/>
    </row>
    <row r="41" spans="2:18" ht="15.75" customHeight="1" x14ac:dyDescent="0.25">
      <c r="B41" s="11"/>
      <c r="C41" s="12"/>
      <c r="D41" s="13"/>
      <c r="E41" s="13"/>
      <c r="G41" s="11"/>
      <c r="H41" s="12"/>
      <c r="I41" s="13"/>
      <c r="J41" s="13"/>
      <c r="L41" s="14"/>
      <c r="M41" s="14"/>
      <c r="N41" s="14"/>
      <c r="P41" s="13"/>
      <c r="Q41" s="13"/>
      <c r="R41" s="13"/>
    </row>
    <row r="42" spans="2:18" ht="15.75" customHeight="1" x14ac:dyDescent="0.25">
      <c r="B42" s="11"/>
      <c r="C42" s="12"/>
      <c r="D42" s="13"/>
      <c r="E42" s="13"/>
      <c r="G42" s="11"/>
      <c r="H42" s="12"/>
      <c r="I42" s="13"/>
      <c r="J42" s="13"/>
      <c r="L42" s="14"/>
      <c r="M42" s="14"/>
      <c r="N42" s="14"/>
      <c r="P42" s="13"/>
      <c r="Q42" s="13"/>
      <c r="R42" s="13"/>
    </row>
    <row r="43" spans="2:18" ht="15.75" customHeight="1" x14ac:dyDescent="0.25">
      <c r="B43" s="11"/>
      <c r="C43" s="12"/>
      <c r="D43" s="13"/>
      <c r="E43" s="13"/>
      <c r="G43" s="11"/>
      <c r="H43" s="12"/>
      <c r="I43" s="13"/>
      <c r="J43" s="13"/>
      <c r="L43" s="14"/>
      <c r="M43" s="14"/>
      <c r="N43" s="14"/>
      <c r="P43" s="13"/>
      <c r="Q43" s="13"/>
      <c r="R43" s="13"/>
    </row>
    <row r="44" spans="2:18" ht="15.75" customHeight="1" x14ac:dyDescent="0.25">
      <c r="B44" s="11"/>
      <c r="C44" s="12"/>
      <c r="D44" s="13"/>
      <c r="E44" s="13"/>
      <c r="G44" s="11"/>
      <c r="H44" s="12"/>
      <c r="I44" s="13"/>
      <c r="J44" s="13"/>
      <c r="L44" s="14"/>
      <c r="M44" s="14"/>
      <c r="N44" s="14"/>
      <c r="P44" s="13"/>
      <c r="Q44" s="13"/>
      <c r="R44" s="13"/>
    </row>
    <row r="45" spans="2:18" ht="15.75" customHeight="1" x14ac:dyDescent="0.25">
      <c r="B45" s="11"/>
      <c r="C45" s="12"/>
      <c r="D45" s="13"/>
      <c r="E45" s="13"/>
      <c r="G45" s="11"/>
      <c r="H45" s="12"/>
      <c r="I45" s="13"/>
      <c r="J45" s="13"/>
      <c r="L45" s="14"/>
      <c r="M45" s="14"/>
      <c r="N45" s="14"/>
      <c r="P45" s="13"/>
      <c r="Q45" s="13"/>
      <c r="R45" s="13"/>
    </row>
    <row r="46" spans="2:18" ht="15.75" customHeight="1" x14ac:dyDescent="0.25">
      <c r="B46" s="11"/>
      <c r="C46" s="12"/>
      <c r="D46" s="13"/>
      <c r="E46" s="13"/>
      <c r="G46" s="11"/>
      <c r="H46" s="12"/>
      <c r="I46" s="13"/>
      <c r="J46" s="13"/>
      <c r="L46" s="14"/>
      <c r="M46" s="14"/>
      <c r="N46" s="14"/>
      <c r="P46" s="13"/>
      <c r="Q46" s="13"/>
      <c r="R46" s="13"/>
    </row>
    <row r="47" spans="2:18" ht="15.75" customHeight="1" x14ac:dyDescent="0.25">
      <c r="B47" s="11"/>
      <c r="C47" s="12"/>
      <c r="D47" s="13"/>
      <c r="E47" s="13"/>
      <c r="G47" s="11"/>
      <c r="H47" s="12"/>
      <c r="I47" s="13"/>
      <c r="J47" s="13"/>
      <c r="L47" s="14"/>
      <c r="M47" s="14"/>
      <c r="N47" s="14"/>
      <c r="P47" s="13"/>
      <c r="Q47" s="13"/>
      <c r="R47" s="13"/>
    </row>
    <row r="48" spans="2:18" ht="15.75" customHeight="1" x14ac:dyDescent="0.25">
      <c r="B48" s="11"/>
      <c r="C48" s="12"/>
      <c r="D48" s="13"/>
      <c r="E48" s="13"/>
      <c r="G48" s="11"/>
      <c r="H48" s="12"/>
      <c r="I48" s="13"/>
      <c r="J48" s="13"/>
      <c r="L48" s="14"/>
      <c r="M48" s="14"/>
      <c r="N48" s="14"/>
      <c r="P48" s="13"/>
      <c r="Q48" s="13"/>
      <c r="R48" s="13"/>
    </row>
    <row r="49" spans="2:18" ht="15.75" customHeight="1" x14ac:dyDescent="0.25">
      <c r="B49" s="11"/>
      <c r="C49" s="12"/>
      <c r="D49" s="13"/>
      <c r="E49" s="13"/>
      <c r="G49" s="11"/>
      <c r="H49" s="12"/>
      <c r="I49" s="13"/>
      <c r="J49" s="13"/>
      <c r="L49" s="14"/>
      <c r="M49" s="14"/>
      <c r="N49" s="14"/>
      <c r="P49" s="13"/>
      <c r="Q49" s="13"/>
      <c r="R49" s="13"/>
    </row>
    <row r="50" spans="2:18" ht="15.75" customHeight="1" x14ac:dyDescent="0.25">
      <c r="B50" s="11"/>
      <c r="C50" s="12"/>
      <c r="D50" s="13"/>
      <c r="E50" s="13"/>
      <c r="G50" s="11"/>
      <c r="H50" s="12"/>
      <c r="I50" s="13"/>
      <c r="J50" s="13"/>
      <c r="L50" s="14"/>
      <c r="M50" s="14"/>
      <c r="N50" s="14"/>
      <c r="P50" s="13"/>
      <c r="Q50" s="13"/>
      <c r="R50" s="13"/>
    </row>
    <row r="51" spans="2:18" ht="15.75" customHeight="1" x14ac:dyDescent="0.25">
      <c r="B51" s="11"/>
      <c r="C51" s="12"/>
      <c r="D51" s="13"/>
      <c r="E51" s="13"/>
      <c r="G51" s="11"/>
      <c r="H51" s="12"/>
      <c r="I51" s="13"/>
      <c r="J51" s="13"/>
      <c r="L51" s="14"/>
      <c r="M51" s="14"/>
      <c r="N51" s="14"/>
      <c r="P51" s="13"/>
      <c r="Q51" s="13"/>
      <c r="R51" s="13"/>
    </row>
    <row r="52" spans="2:18" ht="15.75" customHeight="1" x14ac:dyDescent="0.25">
      <c r="B52" s="11"/>
      <c r="C52" s="12"/>
      <c r="D52" s="13"/>
      <c r="E52" s="13"/>
      <c r="G52" s="11"/>
      <c r="H52" s="12"/>
      <c r="I52" s="13"/>
      <c r="J52" s="13"/>
      <c r="L52" s="14"/>
      <c r="M52" s="14"/>
      <c r="N52" s="14"/>
      <c r="P52" s="13"/>
      <c r="Q52" s="13"/>
      <c r="R52" s="13"/>
    </row>
    <row r="53" spans="2:18" ht="15.75" customHeight="1" x14ac:dyDescent="0.25">
      <c r="B53" s="11"/>
      <c r="C53" s="12"/>
      <c r="D53" s="13"/>
      <c r="E53" s="13"/>
      <c r="G53" s="11"/>
      <c r="H53" s="12"/>
      <c r="I53" s="13"/>
      <c r="J53" s="13"/>
      <c r="L53" s="14"/>
      <c r="M53" s="14"/>
      <c r="N53" s="14"/>
      <c r="P53" s="13"/>
      <c r="Q53" s="13"/>
      <c r="R53" s="13"/>
    </row>
    <row r="54" spans="2:18" ht="15.75" customHeight="1" x14ac:dyDescent="0.2">
      <c r="D54" s="16"/>
      <c r="M54" s="17"/>
      <c r="N54" s="17"/>
      <c r="O54" s="16"/>
      <c r="P54" s="18"/>
      <c r="Q54" s="16"/>
    </row>
    <row r="55" spans="2:18" ht="15.75" customHeight="1" x14ac:dyDescent="0.2">
      <c r="D55" s="16"/>
      <c r="M55" s="17"/>
      <c r="N55" s="17"/>
      <c r="O55" s="16"/>
      <c r="P55" s="18"/>
      <c r="Q55" s="16"/>
    </row>
    <row r="56" spans="2:18" ht="15.75" customHeight="1" x14ac:dyDescent="0.2">
      <c r="D56" s="16"/>
      <c r="M56" s="17"/>
      <c r="N56" s="17"/>
      <c r="O56" s="16"/>
      <c r="P56" s="19"/>
      <c r="Q56" s="16"/>
    </row>
    <row r="57" spans="2:18" ht="15.75" customHeight="1" x14ac:dyDescent="0.2"/>
    <row r="58" spans="2:18" ht="15.75" customHeight="1" x14ac:dyDescent="0.2"/>
    <row r="59" spans="2:18" ht="15.75" customHeight="1" x14ac:dyDescent="0.2"/>
    <row r="60" spans="2:18" ht="15.75" customHeight="1" x14ac:dyDescent="0.2"/>
    <row r="61" spans="2:18" ht="15.75" customHeight="1" x14ac:dyDescent="0.2"/>
    <row r="62" spans="2:18" ht="15.75" customHeight="1" x14ac:dyDescent="0.2"/>
    <row r="63" spans="2:18" ht="15.75" customHeight="1" x14ac:dyDescent="0.2"/>
    <row r="64" spans="2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2:E2"/>
    <mergeCell ref="G2:J2"/>
    <mergeCell ref="L2:N2"/>
  </mergeCells>
  <conditionalFormatting sqref="L4:M53 M54:N56">
    <cfRule type="expression" dxfId="7" priority="3">
      <formula>ABS(L4)&gt;=10%</formula>
    </cfRule>
  </conditionalFormatting>
  <conditionalFormatting sqref="N4:N53">
    <cfRule type="expression" dxfId="6" priority="4">
      <formula>ABS(N4)&gt;=10%</formula>
    </cfRule>
  </conditionalFormatting>
  <conditionalFormatting sqref="T4:T31">
    <cfRule type="containsText" dxfId="0" priority="1" operator="containsText" text="NO">
      <formula>NOT(ISERROR(SEARCH("NO",T4)))</formula>
    </cfRule>
    <cfRule type="containsText" dxfId="1" priority="2" operator="containsText" text="SI">
      <formula>NOT(ISERROR(SEARCH("SI",T4)))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W1000"/>
  <sheetViews>
    <sheetView showGridLines="0" workbookViewId="0">
      <selection activeCell="G19" sqref="G19"/>
    </sheetView>
  </sheetViews>
  <sheetFormatPr baseColWidth="10" defaultColWidth="14.5" defaultRowHeight="15" customHeight="1" x14ac:dyDescent="0.2"/>
  <cols>
    <col min="1" max="13" width="11.5" customWidth="1"/>
    <col min="14" max="14" width="17.6640625" customWidth="1"/>
    <col min="15" max="26" width="11.5" customWidth="1"/>
  </cols>
  <sheetData>
    <row r="6" spans="1:23" x14ac:dyDescent="0.2">
      <c r="A6" s="156">
        <f>+'Bal ML FeT'!J20</f>
        <v>23698.763164</v>
      </c>
      <c r="B6" s="158"/>
      <c r="C6" s="158"/>
      <c r="F6" s="156">
        <f>+'Bal ML FeT'!J22</f>
        <v>19715.459997000002</v>
      </c>
      <c r="I6" s="156">
        <f>+'Bal ML FeT'!J24</f>
        <v>19779.46</v>
      </c>
    </row>
    <row r="7" spans="1:23" x14ac:dyDescent="0.2">
      <c r="A7" s="157">
        <f>+'Bal ML FeT'!K20</f>
        <v>0.44090977576000001</v>
      </c>
      <c r="B7" s="176">
        <f>+'Bal ML FeMag'!K20</f>
        <v>0.41424761902000001</v>
      </c>
      <c r="C7" s="158"/>
      <c r="F7" s="157">
        <f>+'Bal ML FeT'!K22</f>
        <v>0.46260921894000001</v>
      </c>
      <c r="G7" s="177">
        <f>+'Bal ML FeMag'!K22</f>
        <v>0.42946199999999995</v>
      </c>
      <c r="H7" s="161">
        <f>+'Bal ML FeT'!J23</f>
        <v>-64.000003277000005</v>
      </c>
      <c r="I7" s="157">
        <f>+'Bal ML FeT'!K24</f>
        <v>0.46260853152999998</v>
      </c>
      <c r="J7" s="16">
        <f>+'Bal ML FeMag'!K24</f>
        <v>0.42947608924999997</v>
      </c>
      <c r="N7" s="178" t="s">
        <v>186</v>
      </c>
      <c r="O7" s="179">
        <f>+F6/(A6+A14)</f>
        <v>0.6107617992797939</v>
      </c>
    </row>
    <row r="8" spans="1:23" x14ac:dyDescent="0.2">
      <c r="A8" s="159">
        <f>+'Bal ML FeT'!L20</f>
        <v>10449.016352428589</v>
      </c>
      <c r="B8" s="180">
        <f>+'Bal ML FeMag'!L20</f>
        <v>9817.1562144058826</v>
      </c>
      <c r="C8" s="158"/>
      <c r="F8" s="159">
        <f>+'Bal ML FeT'!L22</f>
        <v>9120.5535502549865</v>
      </c>
      <c r="G8" s="181">
        <f>+'Bal ML FeMag'!L22</f>
        <v>8467.0408812316145</v>
      </c>
      <c r="H8" s="182">
        <f>+'Bal ML FeT'!L23</f>
        <v>-29.593394806794219</v>
      </c>
      <c r="I8" s="159">
        <f>+'Bal ML FeT'!L24</f>
        <v>9150.1469450563727</v>
      </c>
      <c r="J8" s="37">
        <f>+'Bal ML FeMag'!L24</f>
        <v>8494.8051282768047</v>
      </c>
      <c r="N8" s="178" t="s">
        <v>187</v>
      </c>
      <c r="O8" s="179">
        <f>+F17/(A6+A14)</f>
        <v>0.28301728539751903</v>
      </c>
    </row>
    <row r="9" spans="1:23" x14ac:dyDescent="0.2">
      <c r="A9" s="158"/>
      <c r="B9" s="158"/>
      <c r="C9" s="158"/>
      <c r="H9" s="181">
        <f>+'Bal ML FeMag'!L23</f>
        <v>-27.764247225136149</v>
      </c>
    </row>
    <row r="10" spans="1:23" x14ac:dyDescent="0.2">
      <c r="A10" s="158"/>
      <c r="B10" s="158"/>
      <c r="C10" s="158"/>
    </row>
    <row r="11" spans="1:23" x14ac:dyDescent="0.2">
      <c r="A11" s="158"/>
      <c r="B11" s="158"/>
      <c r="C11" s="158"/>
    </row>
    <row r="12" spans="1:23" x14ac:dyDescent="0.2">
      <c r="A12" s="158"/>
      <c r="B12" s="158"/>
      <c r="C12" s="158"/>
    </row>
    <row r="13" spans="1:23" x14ac:dyDescent="0.2">
      <c r="A13" s="158"/>
      <c r="B13" s="158"/>
      <c r="C13" s="158"/>
    </row>
    <row r="14" spans="1:23" ht="16" x14ac:dyDescent="0.2">
      <c r="A14" s="156">
        <f>+'Bal ML FeT'!J21</f>
        <v>8581.35</v>
      </c>
      <c r="B14" s="158"/>
      <c r="C14" s="158"/>
      <c r="N14" s="163" t="s">
        <v>169</v>
      </c>
    </row>
    <row r="15" spans="1:23" ht="19" x14ac:dyDescent="0.2">
      <c r="A15" s="157">
        <f>+'Bal ML FeT'!K21</f>
        <v>0.42453286771000004</v>
      </c>
      <c r="B15" s="176">
        <f>+'Bal ML FeMag'!K21</f>
        <v>0.37724650703000001</v>
      </c>
      <c r="C15" s="158"/>
      <c r="N15" s="242" t="s">
        <v>170</v>
      </c>
      <c r="O15" s="191"/>
      <c r="P15" s="238"/>
      <c r="Q15" s="243" t="s">
        <v>171</v>
      </c>
      <c r="R15" s="191"/>
      <c r="S15" s="192"/>
      <c r="T15" s="244" t="s">
        <v>172</v>
      </c>
      <c r="U15" s="191"/>
      <c r="V15" s="191"/>
      <c r="W15" s="192"/>
    </row>
    <row r="16" spans="1:23" x14ac:dyDescent="0.2">
      <c r="A16" s="159">
        <f>+'Bal ML FeT'!L21</f>
        <v>3643.0651243232091</v>
      </c>
      <c r="B16" s="180">
        <f>+'Bal ML FeMag'!L21</f>
        <v>3237.2843131018908</v>
      </c>
      <c r="C16" s="158"/>
      <c r="N16" s="236" t="s">
        <v>188</v>
      </c>
      <c r="O16" s="192"/>
      <c r="P16" s="164">
        <f>+A6</f>
        <v>23698.763164</v>
      </c>
      <c r="Q16" s="236" t="s">
        <v>189</v>
      </c>
      <c r="R16" s="192"/>
      <c r="S16" s="165">
        <f>+H7</f>
        <v>-64.000003277000005</v>
      </c>
      <c r="T16" s="234" t="s">
        <v>190</v>
      </c>
      <c r="U16" s="191"/>
      <c r="V16" s="192"/>
      <c r="W16" s="165">
        <f>+I6</f>
        <v>19779.46</v>
      </c>
    </row>
    <row r="17" spans="1:23" x14ac:dyDescent="0.2">
      <c r="A17" s="158"/>
      <c r="B17" s="158"/>
      <c r="C17" s="156">
        <f>+'Bal ML FeT'!J28</f>
        <v>3428.8231669000002</v>
      </c>
      <c r="F17" s="156">
        <f>+'Bal ML FeT'!J25</f>
        <v>9135.83</v>
      </c>
      <c r="I17" s="156">
        <f>+'Bal ML FeT'!J27</f>
        <v>7855.43</v>
      </c>
      <c r="N17" s="236" t="s">
        <v>191</v>
      </c>
      <c r="O17" s="192"/>
      <c r="P17" s="164">
        <f>+A14</f>
        <v>8581.35</v>
      </c>
      <c r="Q17" s="234" t="s">
        <v>192</v>
      </c>
      <c r="R17" s="192"/>
      <c r="S17" s="165">
        <f>+H18</f>
        <v>1280.4000000000001</v>
      </c>
      <c r="T17" s="234" t="s">
        <v>193</v>
      </c>
      <c r="U17" s="191"/>
      <c r="V17" s="192"/>
      <c r="W17" s="165">
        <f>+I17</f>
        <v>7855.43</v>
      </c>
    </row>
    <row r="18" spans="1:23" x14ac:dyDescent="0.2">
      <c r="A18" s="158"/>
      <c r="B18" s="158"/>
      <c r="C18" s="157">
        <f>+'Bal ML FeT'!K28</f>
        <v>0.19422908999999999</v>
      </c>
      <c r="D18" s="16">
        <f>+'Bal ML FeMag'!K28</f>
        <v>0.19429290000000002</v>
      </c>
      <c r="F18" s="157">
        <f>+'Bal ML FeT'!K25</f>
        <v>0.4712818346</v>
      </c>
      <c r="G18" s="177">
        <f>+'Bal ML FeMag'!K25</f>
        <v>0.42921153846999999</v>
      </c>
      <c r="H18" s="161">
        <f>+'Bal ML FeT'!J26</f>
        <v>1280.4000000000001</v>
      </c>
      <c r="I18" s="157">
        <f>+'Bal ML FeT'!K27</f>
        <v>0.47129307629000006</v>
      </c>
      <c r="J18" s="177">
        <f>+'Bal ML FeMag'!K27</f>
        <v>0.42893399011</v>
      </c>
      <c r="N18" s="236"/>
      <c r="O18" s="192"/>
      <c r="P18" s="164"/>
      <c r="Q18" s="234" t="s">
        <v>159</v>
      </c>
      <c r="R18" s="192"/>
      <c r="S18" s="165">
        <f>+C27</f>
        <v>-7697.1768331000003</v>
      </c>
      <c r="T18" s="234" t="s">
        <v>194</v>
      </c>
      <c r="U18" s="191"/>
      <c r="V18" s="192"/>
      <c r="W18" s="165">
        <f>+F26</f>
        <v>11126</v>
      </c>
    </row>
    <row r="19" spans="1:23" ht="19" x14ac:dyDescent="0.2">
      <c r="A19" s="158"/>
      <c r="B19" s="158"/>
      <c r="C19" s="159">
        <f>+'Bal ML FeT'!L28</f>
        <v>665.97720347790516</v>
      </c>
      <c r="D19" s="37">
        <f>+'Bal ML FeMag'!L28</f>
        <v>666.19599668418505</v>
      </c>
      <c r="F19" s="159">
        <f>+'Bal ML FeT'!L25</f>
        <v>4305.5507229937184</v>
      </c>
      <c r="G19" s="181">
        <f>+'Bal ML FeMag'!L25</f>
        <v>3921.2036495003799</v>
      </c>
      <c r="H19" s="182">
        <f>+'Bal ML FeT'!L26</f>
        <v>603.34095265329609</v>
      </c>
      <c r="I19" s="159">
        <f>+'Bal ML FeT'!L27</f>
        <v>3702.2097702807555</v>
      </c>
      <c r="J19" s="181">
        <f>+'Bal ML FeMag'!L27</f>
        <v>3369.4609339297972</v>
      </c>
      <c r="N19" s="235" t="s">
        <v>180</v>
      </c>
      <c r="O19" s="192"/>
      <c r="P19" s="168">
        <f>+SUM(P16:P18)</f>
        <v>32280.113164000002</v>
      </c>
      <c r="Q19" s="239" t="s">
        <v>181</v>
      </c>
      <c r="R19" s="192"/>
      <c r="S19" s="169">
        <f>+SUM(S16:S18)</f>
        <v>-6480.7768363770001</v>
      </c>
      <c r="T19" s="239"/>
      <c r="U19" s="191"/>
      <c r="V19" s="192"/>
      <c r="W19" s="168">
        <f>+SUM(W16:W18)</f>
        <v>38760.89</v>
      </c>
    </row>
    <row r="20" spans="1:23" x14ac:dyDescent="0.2">
      <c r="A20" s="158"/>
      <c r="B20" s="158"/>
      <c r="C20" s="158"/>
      <c r="H20" s="181">
        <f>+'Bal ML FeMag'!L26</f>
        <v>551.74271551990807</v>
      </c>
    </row>
    <row r="21" spans="1:23" ht="15.75" customHeight="1" x14ac:dyDescent="0.2">
      <c r="A21" s="158"/>
      <c r="B21" s="158"/>
      <c r="C21" s="158"/>
      <c r="S21" s="170" t="s">
        <v>182</v>
      </c>
      <c r="T21" s="171"/>
      <c r="U21" s="172"/>
      <c r="V21" s="171"/>
      <c r="W21" s="173">
        <f>+P19-S19-W19</f>
        <v>3.7700374377891421E-7</v>
      </c>
    </row>
    <row r="22" spans="1:23" ht="15.75" customHeight="1" x14ac:dyDescent="0.2">
      <c r="A22" s="158"/>
      <c r="B22" s="158"/>
      <c r="C22" s="158"/>
    </row>
    <row r="23" spans="1:23" ht="15.75" customHeight="1" x14ac:dyDescent="0.2">
      <c r="A23" s="158"/>
      <c r="B23" s="158"/>
      <c r="C23" s="158"/>
    </row>
    <row r="24" spans="1:23" ht="15.75" customHeight="1" x14ac:dyDescent="0.2">
      <c r="A24" s="158"/>
      <c r="B24" s="158"/>
      <c r="C24" s="158"/>
    </row>
    <row r="25" spans="1:23" ht="15.75" customHeight="1" x14ac:dyDescent="0.2">
      <c r="A25" s="158"/>
      <c r="B25" s="158"/>
      <c r="C25" s="158"/>
    </row>
    <row r="26" spans="1:23" ht="15.75" customHeight="1" x14ac:dyDescent="0.2">
      <c r="A26" s="158"/>
      <c r="B26" s="158"/>
      <c r="C26" s="158"/>
      <c r="F26" s="156">
        <f>+'Bal ML FeT'!J30</f>
        <v>11126</v>
      </c>
      <c r="N26" s="163" t="s">
        <v>195</v>
      </c>
    </row>
    <row r="27" spans="1:23" ht="15.75" customHeight="1" x14ac:dyDescent="0.2">
      <c r="A27" s="158"/>
      <c r="B27" s="158"/>
      <c r="C27" s="161">
        <f>+'Bal ML FeT'!J29</f>
        <v>-7697.1768331000003</v>
      </c>
      <c r="F27" s="157">
        <f>+'Bal ML FeT'!K30</f>
        <v>0.18879994450000001</v>
      </c>
      <c r="G27" s="16">
        <f>+'Bal ML FeMag'!K30</f>
        <v>0.14711445000000001</v>
      </c>
      <c r="N27" s="237" t="s">
        <v>170</v>
      </c>
      <c r="O27" s="191"/>
      <c r="P27" s="238"/>
      <c r="Q27" s="241" t="s">
        <v>171</v>
      </c>
      <c r="R27" s="191"/>
      <c r="S27" s="192"/>
      <c r="T27" s="240" t="s">
        <v>172</v>
      </c>
      <c r="U27" s="191"/>
      <c r="V27" s="191"/>
      <c r="W27" s="192"/>
    </row>
    <row r="28" spans="1:23" ht="15.75" customHeight="1" x14ac:dyDescent="0.2">
      <c r="A28" s="158"/>
      <c r="B28" s="158"/>
      <c r="C28" s="182">
        <f>+'Bal ML FeT'!L29</f>
        <v>-1434.610979059586</v>
      </c>
      <c r="F28" s="159">
        <f>+'Bal ML FeT'!L30</f>
        <v>2100.5881825070001</v>
      </c>
      <c r="G28" s="37">
        <f>+'Bal ML FeMag'!L30</f>
        <v>1636.7953707000001</v>
      </c>
      <c r="N28" s="236" t="s">
        <v>188</v>
      </c>
      <c r="O28" s="192"/>
      <c r="P28" s="164">
        <f>+A8</f>
        <v>10449.016352428589</v>
      </c>
      <c r="Q28" s="236" t="s">
        <v>189</v>
      </c>
      <c r="R28" s="192"/>
      <c r="S28" s="165">
        <f>+H8</f>
        <v>-29.593394806794219</v>
      </c>
      <c r="T28" s="234" t="s">
        <v>190</v>
      </c>
      <c r="U28" s="191"/>
      <c r="V28" s="192"/>
      <c r="W28" s="165">
        <f>+I8</f>
        <v>9150.1469450563727</v>
      </c>
    </row>
    <row r="29" spans="1:23" ht="15.75" customHeight="1" x14ac:dyDescent="0.2">
      <c r="A29" s="158"/>
      <c r="B29" s="158"/>
      <c r="C29" s="181">
        <f>+'Bal ML FeMag'!L29</f>
        <v>-970.59937401792706</v>
      </c>
      <c r="N29" s="236" t="s">
        <v>191</v>
      </c>
      <c r="O29" s="192"/>
      <c r="P29" s="164">
        <f>+A16</f>
        <v>3643.0651243232091</v>
      </c>
      <c r="Q29" s="234" t="s">
        <v>192</v>
      </c>
      <c r="R29" s="192"/>
      <c r="S29" s="165">
        <f>+H19</f>
        <v>603.34095265329609</v>
      </c>
      <c r="T29" s="234" t="s">
        <v>193</v>
      </c>
      <c r="U29" s="191"/>
      <c r="V29" s="192"/>
      <c r="W29" s="165">
        <f>+I19</f>
        <v>3702.2097702807555</v>
      </c>
    </row>
    <row r="30" spans="1:23" ht="15.75" customHeight="1" x14ac:dyDescent="0.2">
      <c r="A30" s="158"/>
      <c r="B30" s="158"/>
      <c r="C30" s="158"/>
      <c r="N30" s="236"/>
      <c r="O30" s="192"/>
      <c r="P30" s="164"/>
      <c r="Q30" s="234" t="s">
        <v>159</v>
      </c>
      <c r="R30" s="192"/>
      <c r="S30" s="165">
        <f>+C28</f>
        <v>-1434.610979059586</v>
      </c>
      <c r="T30" s="234" t="s">
        <v>194</v>
      </c>
      <c r="U30" s="191"/>
      <c r="V30" s="192"/>
      <c r="W30" s="165">
        <f>+F28</f>
        <v>2100.5881825070001</v>
      </c>
    </row>
    <row r="31" spans="1:23" ht="15.75" customHeight="1" x14ac:dyDescent="0.2">
      <c r="A31" s="158"/>
      <c r="B31" s="158"/>
      <c r="C31" s="158"/>
      <c r="N31" s="235" t="s">
        <v>180</v>
      </c>
      <c r="O31" s="192"/>
      <c r="P31" s="168">
        <f>+SUM(P28:P30)</f>
        <v>14092.081476751799</v>
      </c>
      <c r="Q31" s="239" t="s">
        <v>181</v>
      </c>
      <c r="R31" s="192"/>
      <c r="S31" s="169">
        <f>+SUM(S28:S30)</f>
        <v>-860.86342121308417</v>
      </c>
      <c r="T31" s="239"/>
      <c r="U31" s="191"/>
      <c r="V31" s="192"/>
      <c r="W31" s="168">
        <f>+SUM(W28:W30)</f>
        <v>14952.944897844129</v>
      </c>
    </row>
    <row r="32" spans="1:23" ht="15.75" customHeight="1" x14ac:dyDescent="0.2">
      <c r="A32" s="158"/>
      <c r="B32" s="158"/>
      <c r="C32" s="158"/>
    </row>
    <row r="33" spans="1:23" ht="15.75" customHeight="1" x14ac:dyDescent="0.2">
      <c r="A33" s="158"/>
      <c r="B33" s="158"/>
      <c r="C33" s="158"/>
      <c r="S33" s="170" t="s">
        <v>182</v>
      </c>
      <c r="T33" s="171"/>
      <c r="U33" s="172"/>
      <c r="V33" s="171"/>
      <c r="W33" s="173">
        <f>+P31-S31-W31</f>
        <v>1.2075361155439168E-7</v>
      </c>
    </row>
    <row r="34" spans="1:23" ht="15.75" customHeight="1" x14ac:dyDescent="0.2">
      <c r="A34" s="158"/>
      <c r="B34" s="158"/>
      <c r="C34" s="158"/>
    </row>
    <row r="35" spans="1:23" ht="15.75" customHeight="1" x14ac:dyDescent="0.2">
      <c r="A35" s="158"/>
      <c r="B35" s="158"/>
      <c r="C35" s="158"/>
    </row>
    <row r="36" spans="1:23" ht="15.75" customHeight="1" x14ac:dyDescent="0.2">
      <c r="A36" s="158"/>
      <c r="B36" s="158"/>
      <c r="C36" s="158"/>
    </row>
    <row r="37" spans="1:23" ht="15.75" customHeight="1" x14ac:dyDescent="0.2">
      <c r="A37" s="158"/>
      <c r="B37" s="158"/>
      <c r="C37" s="158"/>
    </row>
    <row r="38" spans="1:23" ht="15.75" customHeight="1" x14ac:dyDescent="0.2">
      <c r="A38" s="158"/>
      <c r="B38" s="158"/>
      <c r="C38" s="158"/>
      <c r="N38" s="163" t="s">
        <v>196</v>
      </c>
    </row>
    <row r="39" spans="1:23" ht="15.75" customHeight="1" x14ac:dyDescent="0.2">
      <c r="A39" s="158"/>
      <c r="B39" s="158"/>
      <c r="C39" s="158"/>
      <c r="N39" s="237" t="s">
        <v>170</v>
      </c>
      <c r="O39" s="191"/>
      <c r="P39" s="238"/>
      <c r="Q39" s="241" t="s">
        <v>171</v>
      </c>
      <c r="R39" s="191"/>
      <c r="S39" s="192"/>
      <c r="T39" s="240" t="s">
        <v>172</v>
      </c>
      <c r="U39" s="191"/>
      <c r="V39" s="191"/>
      <c r="W39" s="192"/>
    </row>
    <row r="40" spans="1:23" ht="15.75" customHeight="1" x14ac:dyDescent="0.2">
      <c r="A40" s="158"/>
      <c r="B40" s="158"/>
      <c r="C40" s="158"/>
      <c r="N40" s="236" t="s">
        <v>188</v>
      </c>
      <c r="O40" s="192"/>
      <c r="P40" s="164">
        <f>+B8</f>
        <v>9817.1562144058826</v>
      </c>
      <c r="Q40" s="236" t="s">
        <v>189</v>
      </c>
      <c r="R40" s="192"/>
      <c r="S40" s="165">
        <f>+H9</f>
        <v>-27.764247225136149</v>
      </c>
      <c r="T40" s="234" t="s">
        <v>190</v>
      </c>
      <c r="U40" s="191"/>
      <c r="V40" s="192"/>
      <c r="W40" s="165">
        <f>+J8</f>
        <v>8494.8051282768047</v>
      </c>
    </row>
    <row r="41" spans="1:23" ht="15.75" customHeight="1" x14ac:dyDescent="0.2">
      <c r="A41" s="158"/>
      <c r="B41" s="158"/>
      <c r="C41" s="158"/>
      <c r="N41" s="236" t="s">
        <v>191</v>
      </c>
      <c r="O41" s="192"/>
      <c r="P41" s="164">
        <f>+B16</f>
        <v>3237.2843131018908</v>
      </c>
      <c r="Q41" s="234" t="s">
        <v>192</v>
      </c>
      <c r="R41" s="192"/>
      <c r="S41" s="165">
        <f>+H20</f>
        <v>551.74271551990807</v>
      </c>
      <c r="T41" s="234" t="s">
        <v>193</v>
      </c>
      <c r="U41" s="191"/>
      <c r="V41" s="192"/>
      <c r="W41" s="165">
        <f>+J19</f>
        <v>3369.4609339297972</v>
      </c>
    </row>
    <row r="42" spans="1:23" ht="15.75" customHeight="1" x14ac:dyDescent="0.2">
      <c r="A42" s="158"/>
      <c r="B42" s="158"/>
      <c r="C42" s="158"/>
      <c r="N42" s="236"/>
      <c r="O42" s="192"/>
      <c r="P42" s="164"/>
      <c r="Q42" s="234" t="s">
        <v>159</v>
      </c>
      <c r="R42" s="192"/>
      <c r="S42" s="165">
        <f>+C29</f>
        <v>-970.59937401792706</v>
      </c>
      <c r="T42" s="234" t="s">
        <v>194</v>
      </c>
      <c r="U42" s="191"/>
      <c r="V42" s="192"/>
      <c r="W42" s="165">
        <f>+G28</f>
        <v>1636.7953707000001</v>
      </c>
    </row>
    <row r="43" spans="1:23" ht="15.75" customHeight="1" x14ac:dyDescent="0.2">
      <c r="A43" s="158"/>
      <c r="B43" s="158"/>
      <c r="C43" s="158"/>
      <c r="N43" s="235" t="s">
        <v>180</v>
      </c>
      <c r="O43" s="192"/>
      <c r="P43" s="168">
        <f>+SUM(P40:P42)</f>
        <v>13054.440527507773</v>
      </c>
      <c r="Q43" s="239" t="s">
        <v>181</v>
      </c>
      <c r="R43" s="192"/>
      <c r="S43" s="169">
        <f>+SUM(S40:S42)</f>
        <v>-446.62090572315515</v>
      </c>
      <c r="T43" s="239"/>
      <c r="U43" s="191"/>
      <c r="V43" s="192"/>
      <c r="W43" s="168">
        <f>+SUM(W40:W42)</f>
        <v>13501.061432906601</v>
      </c>
    </row>
    <row r="44" spans="1:23" ht="15.75" customHeight="1" x14ac:dyDescent="0.2"/>
    <row r="45" spans="1:23" ht="15.75" customHeight="1" x14ac:dyDescent="0.2">
      <c r="S45" s="170" t="s">
        <v>182</v>
      </c>
      <c r="T45" s="171"/>
      <c r="U45" s="172"/>
      <c r="V45" s="171"/>
      <c r="W45" s="173">
        <f>+P43-S43-W43</f>
        <v>3.2432762964162976E-7</v>
      </c>
    </row>
    <row r="46" spans="1:23" ht="15.75" customHeight="1" x14ac:dyDescent="0.2"/>
    <row r="47" spans="1:23" ht="15.75" customHeight="1" x14ac:dyDescent="0.2"/>
    <row r="48" spans="1:2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5">
    <mergeCell ref="N15:P15"/>
    <mergeCell ref="Q15:S15"/>
    <mergeCell ref="T15:W15"/>
    <mergeCell ref="N16:O16"/>
    <mergeCell ref="Q16:R16"/>
    <mergeCell ref="N17:O17"/>
    <mergeCell ref="T18:V18"/>
    <mergeCell ref="Q31:R31"/>
    <mergeCell ref="Q39:S39"/>
    <mergeCell ref="Q40:R40"/>
    <mergeCell ref="T31:V31"/>
    <mergeCell ref="T39:W39"/>
    <mergeCell ref="T40:V40"/>
    <mergeCell ref="N39:P39"/>
    <mergeCell ref="N40:O40"/>
    <mergeCell ref="Q41:R41"/>
    <mergeCell ref="Q42:R42"/>
    <mergeCell ref="Q43:R43"/>
    <mergeCell ref="Q17:R17"/>
    <mergeCell ref="Q18:R18"/>
    <mergeCell ref="Q19:R19"/>
    <mergeCell ref="Q27:S27"/>
    <mergeCell ref="Q28:R28"/>
    <mergeCell ref="Q29:R29"/>
    <mergeCell ref="Q30:R30"/>
    <mergeCell ref="T41:V41"/>
    <mergeCell ref="T42:V42"/>
    <mergeCell ref="T43:V43"/>
    <mergeCell ref="T16:V16"/>
    <mergeCell ref="T17:V17"/>
    <mergeCell ref="T19:V19"/>
    <mergeCell ref="T27:W27"/>
    <mergeCell ref="T28:V28"/>
    <mergeCell ref="T29:V29"/>
    <mergeCell ref="T30:V30"/>
    <mergeCell ref="N41:O41"/>
    <mergeCell ref="N42:O42"/>
    <mergeCell ref="N43:O43"/>
    <mergeCell ref="N18:O18"/>
    <mergeCell ref="N19:O19"/>
    <mergeCell ref="N27:P27"/>
    <mergeCell ref="N28:O28"/>
    <mergeCell ref="N29:O29"/>
    <mergeCell ref="N30:O30"/>
    <mergeCell ref="N31:O31"/>
  </mergeCells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C1000"/>
  <sheetViews>
    <sheetView workbookViewId="0">
      <selection activeCell="J29" sqref="J29"/>
    </sheetView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0.83203125" customWidth="1"/>
    <col min="7" max="7" width="11.83203125" customWidth="1"/>
    <col min="8" max="8" width="12.33203125" customWidth="1"/>
    <col min="9" max="9" width="10" customWidth="1"/>
    <col min="10" max="11" width="11.83203125" customWidth="1"/>
    <col min="12" max="13" width="11.5" customWidth="1"/>
    <col min="14" max="14" width="12.5" customWidth="1"/>
    <col min="15" max="15" width="11.5" customWidth="1"/>
    <col min="16" max="16" width="15.33203125" customWidth="1"/>
    <col min="17" max="20" width="11.5" customWidth="1"/>
    <col min="21" max="21" width="19.83203125" customWidth="1"/>
    <col min="22" max="29" width="11.5" customWidth="1"/>
  </cols>
  <sheetData>
    <row r="2" spans="5:29" x14ac:dyDescent="0.2">
      <c r="G2" s="183"/>
      <c r="H2" s="183"/>
      <c r="I2" s="183"/>
      <c r="J2" s="183"/>
      <c r="K2" s="183"/>
    </row>
    <row r="3" spans="5:29" x14ac:dyDescent="0.2">
      <c r="E3" s="139"/>
      <c r="F3" s="139"/>
      <c r="G3" s="20"/>
      <c r="H3" s="20"/>
      <c r="I3" s="20"/>
      <c r="J3" s="20"/>
      <c r="K3" s="20"/>
    </row>
    <row r="4" spans="5:29" x14ac:dyDescent="0.2">
      <c r="E4" s="139"/>
      <c r="F4" s="139"/>
      <c r="G4" s="20"/>
      <c r="H4" s="20"/>
      <c r="I4" s="20"/>
      <c r="J4" s="20"/>
      <c r="K4" s="20"/>
    </row>
    <row r="5" spans="5:29" x14ac:dyDescent="0.2">
      <c r="E5" s="139"/>
      <c r="F5" s="139"/>
      <c r="G5" s="20"/>
      <c r="H5" s="20"/>
      <c r="I5" s="20"/>
      <c r="J5" s="20"/>
      <c r="K5" s="20"/>
    </row>
    <row r="6" spans="5:29" x14ac:dyDescent="0.2">
      <c r="E6" s="139"/>
      <c r="F6" s="139"/>
      <c r="G6" s="20"/>
      <c r="H6" s="20"/>
      <c r="I6" s="20"/>
      <c r="J6" s="20"/>
      <c r="K6" s="20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</row>
    <row r="7" spans="5:29" x14ac:dyDescent="0.2">
      <c r="E7" s="139"/>
      <c r="F7" s="139"/>
      <c r="G7" s="20"/>
      <c r="H7" s="20"/>
      <c r="I7" s="20"/>
      <c r="J7" s="20"/>
      <c r="K7" s="20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</row>
    <row r="8" spans="5:29" x14ac:dyDescent="0.2">
      <c r="E8" s="139"/>
      <c r="F8" s="139"/>
      <c r="G8" s="20"/>
      <c r="H8" s="20"/>
      <c r="I8" s="20"/>
      <c r="J8" s="20"/>
      <c r="K8" s="20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</row>
    <row r="9" spans="5:29" x14ac:dyDescent="0.2">
      <c r="E9" s="139"/>
      <c r="F9" s="139"/>
      <c r="G9" s="20"/>
      <c r="H9" s="20"/>
      <c r="I9" s="20"/>
      <c r="J9" s="20"/>
      <c r="K9" s="20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37"/>
      <c r="Z9" s="37"/>
      <c r="AA9" s="139"/>
      <c r="AB9" s="139"/>
      <c r="AC9" s="139"/>
    </row>
    <row r="10" spans="5:29" x14ac:dyDescent="0.2">
      <c r="E10" s="139"/>
      <c r="F10" s="139"/>
      <c r="G10" s="20"/>
      <c r="H10" s="20"/>
      <c r="I10" s="20"/>
      <c r="J10" s="20"/>
      <c r="K10" s="20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37"/>
      <c r="Z10" s="37"/>
      <c r="AA10" s="139"/>
      <c r="AB10" s="139"/>
      <c r="AC10" s="139"/>
    </row>
    <row r="11" spans="5:29" x14ac:dyDescent="0.2">
      <c r="E11" s="139"/>
      <c r="F11" s="139"/>
      <c r="G11" s="20"/>
      <c r="H11" s="20"/>
      <c r="I11" s="20"/>
      <c r="J11" s="20"/>
      <c r="K11" s="20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37"/>
      <c r="Z11" s="37"/>
      <c r="AA11" s="139"/>
      <c r="AB11" s="139"/>
      <c r="AC11" s="139"/>
    </row>
    <row r="12" spans="5:29" x14ac:dyDescent="0.2">
      <c r="E12" s="139"/>
      <c r="F12" s="139"/>
      <c r="G12" s="20"/>
      <c r="H12" s="20"/>
      <c r="I12" s="20"/>
      <c r="J12" s="20"/>
      <c r="K12" s="20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37"/>
      <c r="Z12" s="37"/>
      <c r="AA12" s="139"/>
      <c r="AB12" s="139"/>
      <c r="AC12" s="139"/>
    </row>
    <row r="13" spans="5:29" x14ac:dyDescent="0.2">
      <c r="E13" s="139"/>
      <c r="F13" s="139"/>
      <c r="G13" s="20"/>
      <c r="H13" s="20"/>
      <c r="I13" s="20"/>
      <c r="J13" s="20"/>
      <c r="K13" s="20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37"/>
      <c r="Z13" s="37"/>
      <c r="AA13" s="139"/>
      <c r="AB13" s="139"/>
      <c r="AC13" s="139"/>
    </row>
    <row r="14" spans="5:29" x14ac:dyDescent="0.2">
      <c r="E14" s="139"/>
      <c r="F14" s="139"/>
      <c r="G14" s="20"/>
      <c r="H14" s="20"/>
      <c r="I14" s="20"/>
      <c r="J14" s="20"/>
      <c r="K14" s="20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37"/>
      <c r="Z14" s="37"/>
      <c r="AA14" s="139"/>
      <c r="AB14" s="139"/>
      <c r="AC14" s="139"/>
    </row>
    <row r="15" spans="5:29" x14ac:dyDescent="0.2">
      <c r="E15" s="139"/>
      <c r="F15" s="139"/>
      <c r="G15" s="20"/>
      <c r="H15" s="20"/>
      <c r="I15" s="20"/>
      <c r="J15" s="20"/>
      <c r="K15" s="20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37"/>
      <c r="Z15" s="37"/>
      <c r="AA15" s="139"/>
      <c r="AB15" s="139"/>
      <c r="AC15" s="139"/>
    </row>
    <row r="16" spans="5:29" x14ac:dyDescent="0.2">
      <c r="E16" s="139"/>
      <c r="F16" s="139"/>
      <c r="G16" s="20"/>
      <c r="H16" s="20"/>
      <c r="I16" s="184">
        <f>+G24-J24</f>
        <v>0</v>
      </c>
      <c r="J16" s="55"/>
      <c r="K16" s="20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37"/>
      <c r="Z16" s="37"/>
      <c r="AA16" s="139"/>
      <c r="AB16" s="139"/>
      <c r="AC16" s="139"/>
    </row>
    <row r="17" spans="1:29" x14ac:dyDescent="0.2"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37"/>
      <c r="Z17" s="37"/>
      <c r="AA17" s="139"/>
      <c r="AB17" s="139"/>
      <c r="AC17" s="139"/>
    </row>
    <row r="18" spans="1:29" ht="19" x14ac:dyDescent="0.25">
      <c r="C18" s="27">
        <v>32846</v>
      </c>
      <c r="G18" s="228" t="s">
        <v>164</v>
      </c>
      <c r="H18" s="192"/>
      <c r="J18" s="231" t="s">
        <v>165</v>
      </c>
      <c r="K18" s="232"/>
      <c r="L18" s="233"/>
      <c r="M18" s="139"/>
      <c r="N18" s="230"/>
      <c r="O18" s="195"/>
      <c r="P18" s="139"/>
      <c r="Q18" s="139"/>
      <c r="R18" s="140"/>
      <c r="S18" s="139"/>
      <c r="T18" s="139"/>
      <c r="U18" s="139"/>
      <c r="V18" s="139"/>
      <c r="W18" s="139"/>
      <c r="X18" s="139"/>
      <c r="Y18" s="37"/>
      <c r="Z18" s="37"/>
      <c r="AA18" s="139"/>
      <c r="AB18" s="139"/>
      <c r="AC18" s="139"/>
    </row>
    <row r="19" spans="1:29" x14ac:dyDescent="0.2">
      <c r="G19" s="141" t="s">
        <v>7</v>
      </c>
      <c r="H19" s="141" t="s">
        <v>54</v>
      </c>
      <c r="J19" s="150" t="s">
        <v>7</v>
      </c>
      <c r="K19" s="142" t="s">
        <v>54</v>
      </c>
      <c r="L19" s="151" t="s">
        <v>166</v>
      </c>
      <c r="M19" s="139"/>
      <c r="N19" s="20"/>
      <c r="O19" s="20"/>
      <c r="P19" s="143"/>
      <c r="Q19" s="144"/>
      <c r="R19" s="145"/>
      <c r="S19" s="144"/>
      <c r="T19" s="139"/>
      <c r="U19" s="139"/>
      <c r="V19" s="139"/>
      <c r="W19" s="139"/>
      <c r="X19" s="139"/>
      <c r="Y19" s="37"/>
      <c r="Z19" s="37"/>
      <c r="AA19" s="139"/>
      <c r="AB19" s="139"/>
      <c r="AC19" s="139"/>
    </row>
    <row r="20" spans="1:29" x14ac:dyDescent="0.2">
      <c r="E20" s="27">
        <f t="shared" ref="E20:F20" si="0">+E3</f>
        <v>0</v>
      </c>
      <c r="F20" s="27">
        <f t="shared" si="0"/>
        <v>0</v>
      </c>
      <c r="G20" s="146">
        <f>+'Info Planta'!D18</f>
        <v>26924</v>
      </c>
      <c r="H20" s="147">
        <f>+'Info Planta'!E18</f>
        <v>0.441342081414351</v>
      </c>
      <c r="I20" s="18"/>
      <c r="J20" s="87">
        <f>Utilidad!B18</f>
        <v>23698.763164</v>
      </c>
      <c r="K20" s="152">
        <f>IF(Utilidad!D$18&gt;1,Utilidad!D18/100,Utilidad!D18)</f>
        <v>0.44090977576000001</v>
      </c>
      <c r="L20" s="87">
        <f t="shared" ref="L20:L30" si="1">+J20*K20</f>
        <v>10449.016352428589</v>
      </c>
      <c r="M20" s="18"/>
      <c r="N20" s="16"/>
      <c r="O20" s="17"/>
      <c r="P20" s="16"/>
      <c r="Q20" s="144"/>
      <c r="R20" s="148"/>
      <c r="S20" s="144"/>
      <c r="T20" s="139"/>
      <c r="U20" s="139"/>
      <c r="V20" s="139"/>
      <c r="W20" s="139"/>
      <c r="X20" s="139"/>
      <c r="Y20" s="37"/>
      <c r="Z20" s="37"/>
      <c r="AA20" s="139"/>
      <c r="AB20" s="139"/>
      <c r="AC20" s="139"/>
    </row>
    <row r="21" spans="1:29" ht="15.75" customHeight="1" x14ac:dyDescent="0.2">
      <c r="E21" s="27">
        <f t="shared" ref="E21:F21" si="2">+E4</f>
        <v>0</v>
      </c>
      <c r="F21" s="27">
        <f t="shared" si="2"/>
        <v>0</v>
      </c>
      <c r="G21" s="146">
        <f>+'Info Planta'!D19</f>
        <v>9033</v>
      </c>
      <c r="H21" s="147">
        <f>+'Info Planta'!E19</f>
        <v>0.42468630576774002</v>
      </c>
      <c r="J21" s="87">
        <f>Utilidad!B19</f>
        <v>8581.35</v>
      </c>
      <c r="K21" s="152">
        <f>IF(Utilidad!D$18&gt;1,Utilidad!D19/100,Utilidad!D19)</f>
        <v>0.42453286771000004</v>
      </c>
      <c r="L21" s="87">
        <f t="shared" si="1"/>
        <v>3643.0651243232091</v>
      </c>
      <c r="M21" s="139"/>
      <c r="N21" s="16"/>
      <c r="O21" s="17"/>
      <c r="P21" s="16"/>
      <c r="Q21" s="144"/>
      <c r="R21" s="148"/>
      <c r="S21" s="144"/>
      <c r="T21" s="139"/>
      <c r="U21" s="139"/>
      <c r="V21" s="139"/>
      <c r="W21" s="139"/>
      <c r="X21" s="139"/>
      <c r="Y21" s="37"/>
      <c r="Z21" s="37"/>
      <c r="AA21" s="139"/>
      <c r="AB21" s="139"/>
      <c r="AC21" s="139"/>
    </row>
    <row r="22" spans="1:29" ht="15.75" customHeight="1" x14ac:dyDescent="0.2">
      <c r="E22" s="27">
        <f t="shared" ref="E22:F22" si="3">+E5</f>
        <v>0</v>
      </c>
      <c r="F22" s="27">
        <f t="shared" si="3"/>
        <v>0</v>
      </c>
      <c r="G22" s="146">
        <f>+G24+A23</f>
        <v>19699.46</v>
      </c>
      <c r="H22" s="147">
        <f>+IF(G22&lt;&gt;0,(G24*H24+A23*H23)/G22,0)</f>
        <v>0.46239999999999992</v>
      </c>
      <c r="J22" s="87">
        <f>Utilidad!B20</f>
        <v>19715.459997000002</v>
      </c>
      <c r="K22" s="152">
        <f>IF(Utilidad!D$18&gt;1,Utilidad!D20/100,Utilidad!D20)</f>
        <v>0.46260921894000001</v>
      </c>
      <c r="L22" s="87">
        <f t="shared" si="1"/>
        <v>9120.5535502549865</v>
      </c>
      <c r="M22" s="139"/>
      <c r="N22" s="16"/>
      <c r="O22" s="17"/>
      <c r="P22" s="16"/>
      <c r="Q22" s="144"/>
      <c r="R22" s="148"/>
      <c r="S22" s="144"/>
      <c r="T22" s="139"/>
      <c r="U22" s="139"/>
      <c r="V22" s="139"/>
      <c r="W22" s="139"/>
      <c r="X22" s="139"/>
      <c r="Y22" s="37"/>
      <c r="Z22" s="37"/>
      <c r="AA22" s="139"/>
      <c r="AB22" s="139"/>
      <c r="AC22" s="139"/>
    </row>
    <row r="23" spans="1:29" ht="15.75" customHeight="1" x14ac:dyDescent="0.2">
      <c r="A23" s="37">
        <f>+'Calc Nodos'!F8</f>
        <v>-80</v>
      </c>
      <c r="D23" s="27">
        <f>+IF(A23&gt;0,1,IF(A23&lt;&gt;0,-1,0))</f>
        <v>-1</v>
      </c>
      <c r="E23" s="27">
        <f t="shared" ref="E23:F23" si="4">+E6</f>
        <v>0</v>
      </c>
      <c r="F23" s="113">
        <f t="shared" si="4"/>
        <v>0</v>
      </c>
      <c r="G23" s="146">
        <f>+ABS(A23)</f>
        <v>80</v>
      </c>
      <c r="H23" s="147">
        <f>+H24</f>
        <v>0.46239999999999998</v>
      </c>
      <c r="J23" s="87">
        <f>Utilidad!B21</f>
        <v>-64.000003277000005</v>
      </c>
      <c r="K23" s="152">
        <f>IF(Utilidad!D$18&gt;1,Utilidad!D21/100,Utilidad!D21)</f>
        <v>0.46239677018000003</v>
      </c>
      <c r="L23" s="87">
        <f t="shared" si="1"/>
        <v>-29.593394806794219</v>
      </c>
      <c r="M23" s="139"/>
      <c r="N23" s="16"/>
      <c r="O23" s="17"/>
      <c r="P23" s="16"/>
      <c r="Q23" s="144"/>
      <c r="R23" s="148"/>
      <c r="S23" s="144"/>
      <c r="T23" s="139"/>
      <c r="U23" s="139"/>
      <c r="V23" s="139"/>
      <c r="W23" s="139"/>
      <c r="X23" s="139"/>
      <c r="Y23" s="37"/>
      <c r="Z23" s="139"/>
      <c r="AA23" s="139"/>
      <c r="AB23" s="139"/>
      <c r="AC23" s="139"/>
    </row>
    <row r="24" spans="1:29" ht="15.75" customHeight="1" x14ac:dyDescent="0.2">
      <c r="A24" s="37"/>
      <c r="B24" s="37"/>
      <c r="C24" s="37"/>
      <c r="E24" s="27">
        <f t="shared" ref="E24:F24" si="5">+E7</f>
        <v>0</v>
      </c>
      <c r="F24" s="185">
        <f t="shared" si="5"/>
        <v>0</v>
      </c>
      <c r="G24" s="186">
        <f>+'Info Planta'!D24</f>
        <v>19779.46</v>
      </c>
      <c r="H24" s="187">
        <f>+'Info Planta'!E24</f>
        <v>0.46239999999999998</v>
      </c>
      <c r="I24" s="185"/>
      <c r="J24" s="87">
        <f>Utilidad!B22</f>
        <v>19779.46</v>
      </c>
      <c r="K24" s="152">
        <f>IF(Utilidad!D$18&gt;1,Utilidad!D22/100,Utilidad!D22)</f>
        <v>0.46260853152999998</v>
      </c>
      <c r="L24" s="186">
        <f t="shared" si="1"/>
        <v>9150.1469450563727</v>
      </c>
      <c r="M24" s="139"/>
      <c r="N24" s="16"/>
      <c r="O24" s="17"/>
      <c r="P24" s="16"/>
      <c r="Q24" s="144"/>
      <c r="R24" s="148"/>
      <c r="S24" s="144"/>
      <c r="T24" s="139"/>
      <c r="U24" s="139"/>
      <c r="V24" s="139"/>
      <c r="W24" s="139"/>
      <c r="X24" s="139"/>
      <c r="Y24" s="37"/>
      <c r="Z24" s="139"/>
      <c r="AA24" s="139"/>
      <c r="AB24" s="139"/>
      <c r="AC24" s="139"/>
    </row>
    <row r="25" spans="1:29" ht="15.75" customHeight="1" x14ac:dyDescent="0.2">
      <c r="E25" s="27">
        <f t="shared" ref="E25:F25" si="6">+E8</f>
        <v>0</v>
      </c>
      <c r="F25" s="27">
        <f t="shared" si="6"/>
        <v>0</v>
      </c>
      <c r="G25" s="146">
        <f>+G27+A26</f>
        <v>8922.43</v>
      </c>
      <c r="H25" s="147">
        <f>+IF(G25&lt;&gt;0,(G27*H27+A26*H26)/G25,0)</f>
        <v>0.47120000000000006</v>
      </c>
      <c r="J25" s="87">
        <f>Utilidad!B23</f>
        <v>9135.83</v>
      </c>
      <c r="K25" s="152">
        <f>IF(Utilidad!D$18&gt;1,Utilidad!D23/100,Utilidad!D23)</f>
        <v>0.4712818346</v>
      </c>
      <c r="L25" s="87">
        <f t="shared" si="1"/>
        <v>4305.5507229937184</v>
      </c>
      <c r="M25" s="139"/>
      <c r="N25" s="16"/>
      <c r="O25" s="17"/>
      <c r="P25" s="16"/>
      <c r="Q25" s="144"/>
      <c r="R25" s="148"/>
      <c r="S25" s="144"/>
      <c r="T25" s="139"/>
      <c r="U25" s="139"/>
      <c r="V25" s="139"/>
      <c r="W25" s="139"/>
      <c r="X25" s="139"/>
      <c r="Y25" s="37"/>
      <c r="Z25" s="139"/>
      <c r="AA25" s="139"/>
      <c r="AB25" s="139"/>
      <c r="AC25" s="139"/>
    </row>
    <row r="26" spans="1:29" ht="15.75" customHeight="1" x14ac:dyDescent="0.2">
      <c r="A26" s="37">
        <f>+'Calc Nodos'!F9</f>
        <v>1067</v>
      </c>
      <c r="D26" s="27">
        <f>+IF(A26&gt;0,1,IF(A26&lt;&gt;0,-1,0))</f>
        <v>1</v>
      </c>
      <c r="E26" s="27">
        <f t="shared" ref="E26:F26" si="7">+E9</f>
        <v>0</v>
      </c>
      <c r="F26" s="113">
        <f t="shared" si="7"/>
        <v>0</v>
      </c>
      <c r="G26" s="146">
        <f>+ABS(A26)</f>
        <v>1067</v>
      </c>
      <c r="H26" s="147">
        <f>+H27</f>
        <v>0.47120000000000001</v>
      </c>
      <c r="J26" s="87">
        <f>Utilidad!B24</f>
        <v>1280.4000000000001</v>
      </c>
      <c r="K26" s="152">
        <f>IF(Utilidad!D$18&gt;1,Utilidad!D24/100,Utilidad!D24)</f>
        <v>0.47121286524</v>
      </c>
      <c r="L26" s="87">
        <f t="shared" si="1"/>
        <v>603.34095265329609</v>
      </c>
      <c r="M26" s="139"/>
      <c r="N26" s="16"/>
      <c r="O26" s="17"/>
      <c r="P26" s="16"/>
      <c r="Q26" s="144"/>
      <c r="R26" s="148"/>
      <c r="S26" s="144"/>
      <c r="T26" s="139"/>
      <c r="U26" s="139"/>
      <c r="V26" s="139"/>
      <c r="W26" s="139"/>
      <c r="X26" s="139"/>
      <c r="Y26" s="37"/>
      <c r="Z26" s="139"/>
      <c r="AA26" s="139"/>
      <c r="AB26" s="139"/>
      <c r="AC26" s="139"/>
    </row>
    <row r="27" spans="1:29" ht="15.75" customHeight="1" x14ac:dyDescent="0.2">
      <c r="E27" s="27">
        <f t="shared" ref="E27:F27" si="8">+E10</f>
        <v>0</v>
      </c>
      <c r="F27" s="185">
        <f t="shared" si="8"/>
        <v>0</v>
      </c>
      <c r="G27" s="186">
        <f>+'Info Planta'!D25</f>
        <v>7855.43</v>
      </c>
      <c r="H27" s="187">
        <f>+'Info Planta'!E25</f>
        <v>0.47120000000000001</v>
      </c>
      <c r="I27" s="185"/>
      <c r="J27" s="87">
        <f>Utilidad!B25</f>
        <v>7855.43</v>
      </c>
      <c r="K27" s="152">
        <f>IF(Utilidad!D$18&gt;1,Utilidad!D25/100,Utilidad!D25)</f>
        <v>0.47129307629000006</v>
      </c>
      <c r="L27" s="186">
        <f t="shared" si="1"/>
        <v>3702.2097702807555</v>
      </c>
      <c r="M27" s="139"/>
      <c r="N27" s="16"/>
      <c r="O27" s="17"/>
      <c r="P27" s="16"/>
      <c r="Q27" s="144"/>
      <c r="R27" s="148"/>
      <c r="S27" s="144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</row>
    <row r="28" spans="1:29" ht="15.75" customHeight="1" x14ac:dyDescent="0.2">
      <c r="A28" s="37"/>
      <c r="B28" s="37"/>
      <c r="C28" s="37"/>
      <c r="E28" s="27">
        <f t="shared" ref="E28:F28" si="9">+E11</f>
        <v>0</v>
      </c>
      <c r="F28" s="27">
        <f t="shared" si="9"/>
        <v>0</v>
      </c>
      <c r="G28" s="146">
        <f>+G20+G21-(G22+G25)</f>
        <v>7335.1100000000006</v>
      </c>
      <c r="H28" s="147">
        <f>+IF(G28&lt;&gt;0,(G30*H30+G29*H29)/(G29+G30),0)</f>
        <v>0.196191304347826</v>
      </c>
      <c r="J28" s="87">
        <f>Utilidad!B26</f>
        <v>3428.8231669000002</v>
      </c>
      <c r="K28" s="152">
        <f>IF(Utilidad!D$18&gt;1,Utilidad!D26/100,Utilidad!D26)</f>
        <v>0.19422908999999999</v>
      </c>
      <c r="L28" s="87">
        <f t="shared" si="1"/>
        <v>665.97720347790516</v>
      </c>
      <c r="M28" s="139"/>
      <c r="N28" s="16"/>
      <c r="O28" s="17"/>
      <c r="P28" s="16"/>
      <c r="Q28" s="144"/>
      <c r="R28" s="148"/>
      <c r="S28" s="144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</row>
    <row r="29" spans="1:29" ht="15.75" customHeight="1" x14ac:dyDescent="0.2">
      <c r="A29" s="37">
        <f>+'Calc Nodos'!F10</f>
        <v>176</v>
      </c>
      <c r="D29" s="27">
        <f>+IF(A29&gt;0,1,IF(A29&lt;&gt;0,-1,0))</f>
        <v>1</v>
      </c>
      <c r="E29" s="27">
        <f t="shared" ref="E29:F29" si="10">+E12</f>
        <v>0</v>
      </c>
      <c r="F29" s="113">
        <f t="shared" si="10"/>
        <v>0</v>
      </c>
      <c r="G29" s="146">
        <f>+ABS(A29)</f>
        <v>176</v>
      </c>
      <c r="H29" s="147">
        <f>+H30</f>
        <v>0.196191304347826</v>
      </c>
      <c r="J29" s="87">
        <f>Utilidad!B27</f>
        <v>-7697.1768331000003</v>
      </c>
      <c r="K29" s="152">
        <f>IF(Utilidad!D$18&gt;1,Utilidad!D27/100,Utilidad!D27)</f>
        <v>0.18638145</v>
      </c>
      <c r="L29" s="87">
        <f t="shared" si="1"/>
        <v>-1434.610979059586</v>
      </c>
      <c r="M29" s="139"/>
      <c r="N29" s="16"/>
      <c r="O29" s="17"/>
      <c r="P29" s="16"/>
      <c r="Q29" s="144"/>
      <c r="R29" s="148"/>
      <c r="S29" s="144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</row>
    <row r="30" spans="1:29" ht="15.75" customHeight="1" x14ac:dyDescent="0.2">
      <c r="E30" s="27">
        <f t="shared" ref="E30:F30" si="11">+E13</f>
        <v>0</v>
      </c>
      <c r="F30" s="27">
        <f t="shared" si="11"/>
        <v>0</v>
      </c>
      <c r="G30" s="146">
        <f>+'Info Planta'!D26</f>
        <v>11126</v>
      </c>
      <c r="H30" s="147">
        <f>+'Info Planta'!E26</f>
        <v>0.196191304347826</v>
      </c>
      <c r="J30" s="87">
        <f>Utilidad!B28</f>
        <v>11126</v>
      </c>
      <c r="K30" s="152">
        <f>IF(Utilidad!D$18&gt;1,Utilidad!D28/100,Utilidad!D28)</f>
        <v>0.18879994450000001</v>
      </c>
      <c r="L30" s="87">
        <f t="shared" si="1"/>
        <v>2100.5881825070001</v>
      </c>
      <c r="M30" s="139"/>
      <c r="N30" s="16"/>
      <c r="O30" s="17"/>
      <c r="P30" s="16"/>
      <c r="Q30" s="144"/>
      <c r="R30" s="148"/>
      <c r="S30" s="144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</row>
    <row r="31" spans="1:29" ht="15.75" customHeight="1" x14ac:dyDescent="0.2"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</row>
    <row r="32" spans="1:29" ht="15.75" customHeight="1" x14ac:dyDescent="0.2">
      <c r="D32" s="139"/>
      <c r="E32" s="139"/>
      <c r="F32" s="135"/>
      <c r="G32" s="227"/>
      <c r="H32" s="195"/>
      <c r="I32" s="139"/>
      <c r="J32" s="227"/>
      <c r="K32" s="195"/>
      <c r="L32" s="139"/>
      <c r="M32" s="139"/>
      <c r="N32" s="37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</row>
    <row r="33" spans="4:29" ht="15.75" customHeight="1" x14ac:dyDescent="0.2">
      <c r="D33" s="139"/>
      <c r="E33" s="139"/>
      <c r="F33" s="135"/>
      <c r="G33" s="20"/>
      <c r="H33" s="20"/>
      <c r="I33" s="139"/>
      <c r="J33" s="20"/>
      <c r="K33" s="20"/>
      <c r="L33" s="139"/>
      <c r="M33" s="37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</row>
    <row r="34" spans="4:29" ht="15.75" customHeight="1" x14ac:dyDescent="0.2">
      <c r="D34" s="139"/>
      <c r="E34" s="139"/>
      <c r="F34" s="139"/>
      <c r="G34" s="139"/>
      <c r="H34" s="139"/>
      <c r="I34" s="139"/>
      <c r="J34" s="37"/>
      <c r="K34" s="18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</row>
    <row r="35" spans="4:29" ht="15.75" customHeight="1" x14ac:dyDescent="0.2">
      <c r="D35" s="139"/>
      <c r="E35" s="139"/>
      <c r="F35" s="139"/>
      <c r="G35" s="139"/>
      <c r="H35" s="139"/>
      <c r="I35" s="139"/>
      <c r="J35" s="37"/>
      <c r="K35" s="18"/>
      <c r="L35" s="139"/>
      <c r="M35" s="139"/>
      <c r="N35" s="139"/>
      <c r="O35" s="139"/>
      <c r="P35" s="37"/>
      <c r="Q35" s="139"/>
      <c r="R35" s="139"/>
      <c r="S35" s="139"/>
      <c r="T35" s="139"/>
      <c r="U35" s="139"/>
      <c r="V35" s="139"/>
      <c r="W35" s="139"/>
    </row>
    <row r="36" spans="4:29" ht="15.75" customHeight="1" x14ac:dyDescent="0.2">
      <c r="D36" s="139"/>
      <c r="E36" s="139"/>
      <c r="F36" s="139"/>
      <c r="G36" s="139"/>
      <c r="H36" s="139"/>
      <c r="I36" s="139"/>
      <c r="J36" s="37"/>
      <c r="K36" s="18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</row>
    <row r="37" spans="4:29" ht="15.75" customHeight="1" x14ac:dyDescent="0.2">
      <c r="D37" s="139"/>
      <c r="E37" s="139"/>
      <c r="F37" s="139"/>
      <c r="G37" s="139"/>
      <c r="H37" s="139"/>
      <c r="I37" s="139"/>
      <c r="J37" s="37"/>
      <c r="K37" s="18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</row>
    <row r="38" spans="4:29" ht="15.75" customHeight="1" x14ac:dyDescent="0.2">
      <c r="D38" s="139"/>
      <c r="E38" s="139"/>
      <c r="F38" s="139"/>
      <c r="G38" s="139"/>
      <c r="H38" s="139"/>
      <c r="I38" s="139"/>
      <c r="J38" s="37"/>
      <c r="K38" s="18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</row>
    <row r="39" spans="4:29" ht="15.75" customHeight="1" x14ac:dyDescent="0.2">
      <c r="D39" s="139"/>
      <c r="E39" s="139"/>
      <c r="F39" s="139"/>
      <c r="G39" s="139"/>
      <c r="H39" s="139"/>
      <c r="I39" s="139"/>
      <c r="J39" s="37"/>
      <c r="K39" s="18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</row>
    <row r="40" spans="4:29" ht="15.75" customHeight="1" x14ac:dyDescent="0.2">
      <c r="D40" s="139"/>
      <c r="E40" s="139"/>
      <c r="F40" s="139"/>
      <c r="G40" s="139"/>
      <c r="H40" s="139"/>
      <c r="I40" s="139"/>
      <c r="J40" s="37"/>
      <c r="K40" s="18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</row>
    <row r="41" spans="4:29" ht="15.75" customHeight="1" x14ac:dyDescent="0.2">
      <c r="D41" s="139"/>
      <c r="E41" s="139"/>
      <c r="F41" s="139"/>
      <c r="G41" s="139"/>
      <c r="H41" s="139"/>
      <c r="I41" s="139"/>
      <c r="J41" s="37"/>
      <c r="K41" s="18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</row>
    <row r="42" spans="4:29" ht="15.75" customHeight="1" x14ac:dyDescent="0.2">
      <c r="D42" s="139"/>
      <c r="E42" s="139"/>
      <c r="F42" s="139"/>
      <c r="G42" s="139"/>
      <c r="H42" s="139"/>
      <c r="I42" s="139"/>
      <c r="J42" s="37"/>
      <c r="K42" s="18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</row>
    <row r="43" spans="4:29" ht="15.75" customHeight="1" x14ac:dyDescent="0.2">
      <c r="D43" s="139"/>
      <c r="E43" s="139"/>
      <c r="F43" s="139"/>
      <c r="G43" s="139"/>
      <c r="H43" s="139"/>
      <c r="I43" s="139"/>
      <c r="J43" s="37"/>
      <c r="K43" s="18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</row>
    <row r="44" spans="4:29" ht="15.75" customHeight="1" x14ac:dyDescent="0.2">
      <c r="D44" s="139"/>
      <c r="E44" s="139"/>
      <c r="F44" s="139"/>
      <c r="G44" s="139"/>
      <c r="H44" s="139"/>
      <c r="I44" s="139"/>
      <c r="J44" s="37"/>
      <c r="K44" s="18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</row>
    <row r="45" spans="4:29" ht="15.75" customHeight="1" x14ac:dyDescent="0.2"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</row>
    <row r="46" spans="4:29" ht="15.75" customHeight="1" x14ac:dyDescent="0.2">
      <c r="D46" s="139"/>
      <c r="E46" s="139"/>
      <c r="F46" s="135"/>
      <c r="G46" s="227"/>
      <c r="H46" s="195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</row>
    <row r="47" spans="4:29" ht="15.75" customHeight="1" x14ac:dyDescent="0.2">
      <c r="D47" s="139"/>
      <c r="E47" s="139"/>
      <c r="F47" s="135"/>
      <c r="G47" s="20"/>
      <c r="H47" s="20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</row>
    <row r="48" spans="4:29" ht="15.75" customHeight="1" x14ac:dyDescent="0.2"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</row>
    <row r="49" spans="4:14" ht="15.75" customHeight="1" x14ac:dyDescent="0.2"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</row>
    <row r="50" spans="4:14" ht="15.75" customHeight="1" x14ac:dyDescent="0.2"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</row>
    <row r="51" spans="4:14" ht="15.75" customHeight="1" x14ac:dyDescent="0.2"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</row>
    <row r="52" spans="4:14" ht="15.75" customHeight="1" x14ac:dyDescent="0.2"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</row>
    <row r="53" spans="4:14" ht="15.75" customHeight="1" x14ac:dyDescent="0.2"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</row>
    <row r="54" spans="4:14" ht="15.75" customHeight="1" x14ac:dyDescent="0.2"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</row>
    <row r="55" spans="4:14" ht="15.75" customHeight="1" x14ac:dyDescent="0.2"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</row>
    <row r="56" spans="4:14" ht="15.75" customHeight="1" x14ac:dyDescent="0.2"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</row>
    <row r="57" spans="4:14" ht="15.75" customHeight="1" x14ac:dyDescent="0.2"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</row>
    <row r="58" spans="4:14" ht="15.75" customHeight="1" x14ac:dyDescent="0.2"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</row>
    <row r="59" spans="4:14" ht="15.75" customHeight="1" x14ac:dyDescent="0.2"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</row>
    <row r="60" spans="4:14" ht="15.75" customHeight="1" x14ac:dyDescent="0.2"/>
    <row r="61" spans="4:14" ht="15.75" customHeight="1" x14ac:dyDescent="0.2"/>
    <row r="62" spans="4:14" ht="15.75" customHeight="1" x14ac:dyDescent="0.2"/>
    <row r="63" spans="4:14" ht="15.75" customHeight="1" x14ac:dyDescent="0.2"/>
    <row r="64" spans="4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3" priority="1">
      <formula>ABS(N20)&gt;=10%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F1000"/>
  <sheetViews>
    <sheetView workbookViewId="0">
      <selection activeCell="J20" sqref="J20"/>
    </sheetView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0.83203125" customWidth="1"/>
    <col min="7" max="7" width="11.83203125" customWidth="1"/>
    <col min="8" max="8" width="12.33203125" customWidth="1"/>
    <col min="9" max="9" width="10" customWidth="1"/>
    <col min="10" max="11" width="11.83203125" customWidth="1"/>
    <col min="12" max="20" width="11.5" customWidth="1"/>
    <col min="21" max="21" width="19.83203125" customWidth="1"/>
    <col min="22" max="32" width="11.5" customWidth="1"/>
  </cols>
  <sheetData>
    <row r="2" spans="5:32" x14ac:dyDescent="0.2">
      <c r="E2" s="139"/>
      <c r="F2" s="139"/>
      <c r="G2" s="183"/>
      <c r="H2" s="183"/>
      <c r="I2" s="183"/>
      <c r="J2" s="183"/>
      <c r="K2" s="183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</row>
    <row r="3" spans="5:32" x14ac:dyDescent="0.2">
      <c r="E3" s="139"/>
      <c r="F3" s="139"/>
      <c r="G3" s="20"/>
      <c r="H3" s="20"/>
      <c r="I3" s="20"/>
      <c r="J3" s="20"/>
      <c r="K3" s="20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</row>
    <row r="4" spans="5:32" x14ac:dyDescent="0.2">
      <c r="E4" s="139"/>
      <c r="F4" s="139"/>
      <c r="G4" s="20"/>
      <c r="H4" s="20"/>
      <c r="I4" s="20"/>
      <c r="J4" s="20"/>
      <c r="K4" s="20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</row>
    <row r="5" spans="5:32" x14ac:dyDescent="0.2">
      <c r="E5" s="139"/>
      <c r="F5" s="139"/>
      <c r="G5" s="20"/>
      <c r="H5" s="20"/>
      <c r="I5" s="20"/>
      <c r="J5" s="20"/>
      <c r="K5" s="20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</row>
    <row r="6" spans="5:32" x14ac:dyDescent="0.2">
      <c r="E6" s="139"/>
      <c r="F6" s="139"/>
      <c r="G6" s="20"/>
      <c r="H6" s="20"/>
      <c r="I6" s="20"/>
      <c r="J6" s="20"/>
      <c r="K6" s="20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</row>
    <row r="7" spans="5:32" x14ac:dyDescent="0.2">
      <c r="E7" s="139"/>
      <c r="F7" s="139"/>
      <c r="G7" s="20"/>
      <c r="H7" s="20"/>
      <c r="I7" s="20"/>
      <c r="J7" s="20"/>
      <c r="K7" s="20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</row>
    <row r="8" spans="5:32" x14ac:dyDescent="0.2">
      <c r="E8" s="139"/>
      <c r="F8" s="139"/>
      <c r="G8" s="20"/>
      <c r="H8" s="20"/>
      <c r="I8" s="20"/>
      <c r="J8" s="20"/>
      <c r="K8" s="20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</row>
    <row r="9" spans="5:32" x14ac:dyDescent="0.2">
      <c r="E9" s="139"/>
      <c r="F9" s="139"/>
      <c r="G9" s="20"/>
      <c r="H9" s="20"/>
      <c r="I9" s="20"/>
      <c r="J9" s="20"/>
      <c r="K9" s="20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37"/>
      <c r="Z9" s="37"/>
      <c r="AA9" s="139"/>
      <c r="AB9" s="139"/>
      <c r="AC9" s="139"/>
      <c r="AD9" s="139"/>
      <c r="AE9" s="139"/>
      <c r="AF9" s="139"/>
    </row>
    <row r="10" spans="5:32" x14ac:dyDescent="0.2">
      <c r="E10" s="139"/>
      <c r="F10" s="139"/>
      <c r="G10" s="20"/>
      <c r="H10" s="20"/>
      <c r="I10" s="20"/>
      <c r="J10" s="20"/>
      <c r="K10" s="20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37"/>
      <c r="Z10" s="37"/>
      <c r="AA10" s="139"/>
      <c r="AB10" s="139"/>
      <c r="AC10" s="139"/>
      <c r="AD10" s="139"/>
      <c r="AE10" s="139"/>
      <c r="AF10" s="139"/>
    </row>
    <row r="11" spans="5:32" x14ac:dyDescent="0.2">
      <c r="E11" s="139"/>
      <c r="F11" s="139"/>
      <c r="G11" s="20"/>
      <c r="H11" s="20"/>
      <c r="I11" s="20"/>
      <c r="J11" s="20"/>
      <c r="K11" s="20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37"/>
      <c r="Z11" s="37"/>
      <c r="AA11" s="139"/>
      <c r="AB11" s="139"/>
      <c r="AC11" s="139"/>
      <c r="AD11" s="139"/>
      <c r="AE11" s="139"/>
      <c r="AF11" s="139"/>
    </row>
    <row r="12" spans="5:32" x14ac:dyDescent="0.2">
      <c r="E12" s="139"/>
      <c r="F12" s="139"/>
      <c r="G12" s="20"/>
      <c r="H12" s="20"/>
      <c r="I12" s="20"/>
      <c r="J12" s="20"/>
      <c r="K12" s="20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37"/>
      <c r="Z12" s="37"/>
      <c r="AA12" s="139"/>
      <c r="AB12" s="139"/>
      <c r="AC12" s="139"/>
      <c r="AD12" s="139"/>
      <c r="AE12" s="139"/>
      <c r="AF12" s="139"/>
    </row>
    <row r="13" spans="5:32" x14ac:dyDescent="0.2">
      <c r="E13" s="139"/>
      <c r="F13" s="139"/>
      <c r="G13" s="20"/>
      <c r="H13" s="20"/>
      <c r="I13" s="20"/>
      <c r="J13" s="20"/>
      <c r="K13" s="20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37"/>
      <c r="Z13" s="37"/>
      <c r="AA13" s="139"/>
      <c r="AB13" s="139"/>
      <c r="AC13" s="139"/>
      <c r="AD13" s="139"/>
      <c r="AE13" s="139"/>
      <c r="AF13" s="139"/>
    </row>
    <row r="14" spans="5:32" x14ac:dyDescent="0.2">
      <c r="E14" s="139"/>
      <c r="F14" s="139"/>
      <c r="G14" s="20"/>
      <c r="H14" s="20"/>
      <c r="I14" s="20"/>
      <c r="J14" s="20"/>
      <c r="K14" s="20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37"/>
      <c r="Z14" s="37"/>
      <c r="AA14" s="139"/>
      <c r="AB14" s="139"/>
      <c r="AC14" s="139"/>
      <c r="AD14" s="139"/>
      <c r="AE14" s="139"/>
      <c r="AF14" s="139"/>
    </row>
    <row r="15" spans="5:32" x14ac:dyDescent="0.2">
      <c r="G15" s="20"/>
      <c r="H15" s="20"/>
      <c r="I15" s="20"/>
      <c r="J15" s="20"/>
      <c r="K15" s="20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37"/>
      <c r="Z15" s="37"/>
      <c r="AA15" s="139"/>
      <c r="AB15" s="139"/>
      <c r="AC15" s="139"/>
      <c r="AD15" s="139"/>
      <c r="AE15" s="139"/>
      <c r="AF15" s="139"/>
    </row>
    <row r="16" spans="5:32" x14ac:dyDescent="0.2">
      <c r="G16" s="20"/>
      <c r="H16" s="20"/>
      <c r="I16" s="20"/>
      <c r="J16" s="20"/>
      <c r="K16" s="20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37"/>
      <c r="Z16" s="37"/>
      <c r="AA16" s="139"/>
      <c r="AB16" s="139"/>
      <c r="AC16" s="139"/>
      <c r="AD16" s="139"/>
      <c r="AE16" s="139"/>
      <c r="AF16" s="139"/>
    </row>
    <row r="17" spans="1:32" x14ac:dyDescent="0.2"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37"/>
      <c r="Z17" s="37"/>
      <c r="AA17" s="139"/>
      <c r="AB17" s="139"/>
      <c r="AC17" s="139"/>
      <c r="AD17" s="139"/>
      <c r="AE17" s="139"/>
      <c r="AF17" s="139"/>
    </row>
    <row r="18" spans="1:32" ht="19" x14ac:dyDescent="0.25">
      <c r="C18" s="27">
        <v>32846</v>
      </c>
      <c r="G18" s="228" t="s">
        <v>164</v>
      </c>
      <c r="H18" s="192"/>
      <c r="J18" s="231" t="s">
        <v>165</v>
      </c>
      <c r="K18" s="232"/>
      <c r="L18" s="245"/>
      <c r="M18" s="139"/>
      <c r="N18" s="230"/>
      <c r="O18" s="195"/>
      <c r="P18" s="139"/>
      <c r="Q18" s="139"/>
      <c r="R18" s="140"/>
      <c r="S18" s="139"/>
      <c r="T18" s="139"/>
      <c r="U18" s="139"/>
      <c r="V18" s="139"/>
      <c r="W18" s="139"/>
      <c r="X18" s="139"/>
      <c r="Y18" s="37"/>
      <c r="Z18" s="37"/>
      <c r="AA18" s="139"/>
      <c r="AB18" s="139"/>
      <c r="AC18" s="139"/>
      <c r="AD18" s="139"/>
      <c r="AE18" s="139"/>
      <c r="AF18" s="139"/>
    </row>
    <row r="19" spans="1:32" x14ac:dyDescent="0.2">
      <c r="G19" s="141" t="s">
        <v>7</v>
      </c>
      <c r="H19" s="141" t="s">
        <v>167</v>
      </c>
      <c r="J19" s="150" t="s">
        <v>7</v>
      </c>
      <c r="K19" s="142" t="s">
        <v>167</v>
      </c>
      <c r="L19" s="188" t="s">
        <v>168</v>
      </c>
      <c r="M19" s="139"/>
      <c r="N19" s="20"/>
      <c r="O19" s="20"/>
      <c r="P19" s="143"/>
      <c r="Q19" s="144"/>
      <c r="R19" s="145"/>
      <c r="S19" s="144"/>
      <c r="T19" s="139"/>
      <c r="U19" s="139"/>
      <c r="V19" s="139"/>
      <c r="W19" s="139"/>
      <c r="X19" s="139"/>
      <c r="Y19" s="37"/>
      <c r="Z19" s="37"/>
      <c r="AA19" s="139"/>
      <c r="AB19" s="139"/>
      <c r="AC19" s="139"/>
      <c r="AD19" s="139"/>
      <c r="AE19" s="139"/>
      <c r="AF19" s="139"/>
    </row>
    <row r="20" spans="1:32" x14ac:dyDescent="0.2">
      <c r="E20" s="27">
        <f t="shared" ref="E20:E30" si="0">+E3</f>
        <v>0</v>
      </c>
      <c r="F20" s="27" t="s">
        <v>29</v>
      </c>
      <c r="G20" s="146">
        <f>+'Bal ML FeT'!J20</f>
        <v>23698.763164</v>
      </c>
      <c r="H20" s="147">
        <f>+'Info Planta'!F18</f>
        <v>0.40327125984251999</v>
      </c>
      <c r="I20" s="18"/>
      <c r="J20" s="87">
        <f>'Bal ML FeT'!J20</f>
        <v>23698.763164</v>
      </c>
      <c r="K20" s="152">
        <f>IF(Utilidad!F$18&gt;1,Utilidad!F18/100,Utilidad!F18)</f>
        <v>0.41424761902000001</v>
      </c>
      <c r="L20" s="189">
        <f t="shared" ref="L20:L30" si="1">+J20*K20</f>
        <v>9817.1562144058826</v>
      </c>
      <c r="M20" s="18"/>
      <c r="N20" s="16"/>
      <c r="O20" s="17"/>
      <c r="P20" s="16"/>
      <c r="Q20" s="144"/>
      <c r="R20" s="148"/>
      <c r="S20" s="144"/>
      <c r="T20" s="139"/>
      <c r="U20" s="139"/>
      <c r="V20" s="139"/>
      <c r="W20" s="139"/>
      <c r="X20" s="139"/>
      <c r="Y20" s="37"/>
      <c r="Z20" s="37"/>
      <c r="AA20" s="139"/>
      <c r="AB20" s="139"/>
      <c r="AC20" s="139"/>
      <c r="AD20" s="139"/>
      <c r="AE20" s="139"/>
      <c r="AF20" s="139"/>
    </row>
    <row r="21" spans="1:32" ht="15.75" customHeight="1" x14ac:dyDescent="0.2">
      <c r="E21" s="27">
        <f t="shared" si="0"/>
        <v>0</v>
      </c>
      <c r="F21" s="27" t="s">
        <v>30</v>
      </c>
      <c r="G21" s="146">
        <f>+'Bal ML FeT'!J21</f>
        <v>8581.35</v>
      </c>
      <c r="H21" s="147">
        <f>+'Info Planta'!F19</f>
        <v>0.37383114137052997</v>
      </c>
      <c r="J21" s="87">
        <f>'Bal ML FeT'!J21</f>
        <v>8581.35</v>
      </c>
      <c r="K21" s="152">
        <f>IF(Utilidad!F$18&gt;1,Utilidad!F19/100,Utilidad!F19)</f>
        <v>0.37724650703000001</v>
      </c>
      <c r="L21" s="189">
        <f t="shared" si="1"/>
        <v>3237.2843131018908</v>
      </c>
      <c r="M21" s="139"/>
      <c r="N21" s="16"/>
      <c r="O21" s="17"/>
      <c r="P21" s="16"/>
      <c r="Q21" s="144"/>
      <c r="R21" s="148"/>
      <c r="S21" s="144"/>
      <c r="T21" s="139"/>
      <c r="U21" s="139"/>
      <c r="V21" s="139"/>
      <c r="W21" s="139"/>
      <c r="X21" s="139"/>
      <c r="Y21" s="37"/>
      <c r="Z21" s="37"/>
      <c r="AA21" s="139"/>
      <c r="AB21" s="139"/>
      <c r="AC21" s="139"/>
      <c r="AD21" s="139"/>
      <c r="AE21" s="139"/>
      <c r="AF21" s="139"/>
    </row>
    <row r="22" spans="1:32" ht="15.75" customHeight="1" x14ac:dyDescent="0.2">
      <c r="E22" s="27">
        <f t="shared" si="0"/>
        <v>0</v>
      </c>
      <c r="F22" s="27" t="s">
        <v>31</v>
      </c>
      <c r="G22" s="146">
        <f>+'Bal ML FeT'!J22</f>
        <v>19715.459997000002</v>
      </c>
      <c r="H22" s="147">
        <f>+IF(G22&lt;&gt;0,(G24*H24+A23*H23)/G22,0)</f>
        <v>0.43344795147058923</v>
      </c>
      <c r="J22" s="87">
        <f>'Bal ML FeT'!J22</f>
        <v>19715.459997000002</v>
      </c>
      <c r="K22" s="152">
        <f>IF(Utilidad!F$18&gt;1,Utilidad!F20/100,Utilidad!F20)</f>
        <v>0.42946199999999995</v>
      </c>
      <c r="L22" s="189">
        <f t="shared" si="1"/>
        <v>8467.0408812316145</v>
      </c>
      <c r="M22" s="139"/>
      <c r="N22" s="16"/>
      <c r="O22" s="17"/>
      <c r="P22" s="16"/>
      <c r="Q22" s="144"/>
      <c r="R22" s="148"/>
      <c r="S22" s="144"/>
      <c r="T22" s="139"/>
      <c r="U22" s="139"/>
      <c r="V22" s="139"/>
      <c r="W22" s="139"/>
      <c r="X22" s="139"/>
      <c r="Y22" s="37"/>
      <c r="Z22" s="37"/>
      <c r="AA22" s="139"/>
      <c r="AB22" s="139"/>
      <c r="AC22" s="139"/>
      <c r="AD22" s="139"/>
      <c r="AE22" s="139"/>
      <c r="AF22" s="139"/>
    </row>
    <row r="23" spans="1:32" ht="15.75" customHeight="1" x14ac:dyDescent="0.2">
      <c r="A23" s="37">
        <f>+'Calc Nodos'!F8</f>
        <v>-80</v>
      </c>
      <c r="D23" s="27">
        <f>+IF(A23&gt;0,1,IF(A23&lt;&gt;0,-1,0))</f>
        <v>-1</v>
      </c>
      <c r="E23" s="27">
        <f t="shared" si="0"/>
        <v>0</v>
      </c>
      <c r="F23" s="113" t="s">
        <v>32</v>
      </c>
      <c r="G23" s="146">
        <f>+'Bal ML FeT'!J23</f>
        <v>-64.000003277000005</v>
      </c>
      <c r="H23" s="147">
        <f>+H24</f>
        <v>0.43380000000000002</v>
      </c>
      <c r="J23" s="87">
        <f>'Bal ML FeT'!J23</f>
        <v>-64.000003277000005</v>
      </c>
      <c r="K23" s="152">
        <f>IF(Utilidad!F$18&gt;1,Utilidad!F21/100,Utilidad!F21)</f>
        <v>0.43381634067999997</v>
      </c>
      <c r="L23" s="189">
        <f t="shared" si="1"/>
        <v>-27.764247225136149</v>
      </c>
      <c r="M23" s="139"/>
      <c r="N23" s="16"/>
      <c r="O23" s="17"/>
      <c r="P23" s="16"/>
      <c r="Q23" s="144"/>
      <c r="R23" s="148"/>
      <c r="S23" s="144"/>
      <c r="T23" s="139"/>
      <c r="U23" s="139"/>
      <c r="V23" s="139"/>
      <c r="W23" s="139"/>
      <c r="X23" s="139"/>
      <c r="Y23" s="37"/>
      <c r="Z23" s="139"/>
      <c r="AA23" s="139"/>
      <c r="AB23" s="139"/>
      <c r="AC23" s="139"/>
      <c r="AD23" s="139"/>
      <c r="AE23" s="139"/>
      <c r="AF23" s="139"/>
    </row>
    <row r="24" spans="1:32" ht="15.75" customHeight="1" x14ac:dyDescent="0.2">
      <c r="A24" s="37"/>
      <c r="B24" s="37"/>
      <c r="C24" s="37"/>
      <c r="E24" s="27">
        <f t="shared" si="0"/>
        <v>0</v>
      </c>
      <c r="F24" s="27" t="s">
        <v>33</v>
      </c>
      <c r="G24" s="146">
        <f>+'Bal ML FeT'!J24</f>
        <v>19779.46</v>
      </c>
      <c r="H24" s="147">
        <f>+'Info Planta'!F24</f>
        <v>0.43380000000000002</v>
      </c>
      <c r="J24" s="87">
        <f>'Bal ML FeT'!J24</f>
        <v>19779.46</v>
      </c>
      <c r="K24" s="152">
        <f>IF(Utilidad!F$18&gt;1,Utilidad!F22/100,Utilidad!F22)</f>
        <v>0.42947608924999997</v>
      </c>
      <c r="L24" s="189">
        <f t="shared" si="1"/>
        <v>8494.8051282768047</v>
      </c>
      <c r="M24" s="139"/>
      <c r="N24" s="16"/>
      <c r="O24" s="17"/>
      <c r="P24" s="16"/>
      <c r="Q24" s="144"/>
      <c r="R24" s="148"/>
      <c r="S24" s="144"/>
      <c r="T24" s="139"/>
      <c r="U24" s="139"/>
      <c r="V24" s="139"/>
      <c r="W24" s="139"/>
      <c r="X24" s="139"/>
      <c r="Y24" s="37"/>
      <c r="Z24" s="139"/>
      <c r="AA24" s="139"/>
      <c r="AB24" s="139"/>
      <c r="AC24" s="139"/>
      <c r="AD24" s="139"/>
      <c r="AE24" s="139"/>
      <c r="AF24" s="139"/>
    </row>
    <row r="25" spans="1:32" ht="15.75" customHeight="1" x14ac:dyDescent="0.2">
      <c r="E25" s="27">
        <f t="shared" si="0"/>
        <v>0</v>
      </c>
      <c r="F25" s="27" t="s">
        <v>34</v>
      </c>
      <c r="G25" s="146">
        <f>+'Bal ML FeT'!J25</f>
        <v>9135.83</v>
      </c>
      <c r="H25" s="147">
        <f>+IF(G25&lt;&gt;0,(G27*H27+A26*H26)/G25,0)</f>
        <v>0.42122544519764488</v>
      </c>
      <c r="J25" s="87">
        <f>'Bal ML FeT'!J25</f>
        <v>9135.83</v>
      </c>
      <c r="K25" s="152">
        <f>IF(Utilidad!F$18&gt;1,Utilidad!F23/100,Utilidad!F23)</f>
        <v>0.42921153846999999</v>
      </c>
      <c r="L25" s="189">
        <f t="shared" si="1"/>
        <v>3921.2036495003799</v>
      </c>
      <c r="M25" s="139"/>
      <c r="N25" s="16"/>
      <c r="O25" s="17"/>
      <c r="P25" s="16"/>
      <c r="Q25" s="144"/>
      <c r="R25" s="148"/>
      <c r="S25" s="144"/>
      <c r="T25" s="139"/>
      <c r="U25" s="139"/>
      <c r="V25" s="139"/>
      <c r="W25" s="139"/>
      <c r="X25" s="139"/>
      <c r="Y25" s="37"/>
      <c r="Z25" s="139"/>
      <c r="AA25" s="139"/>
      <c r="AB25" s="139"/>
      <c r="AC25" s="139"/>
      <c r="AD25" s="139"/>
      <c r="AE25" s="139"/>
      <c r="AF25" s="139"/>
    </row>
    <row r="26" spans="1:32" ht="15.75" customHeight="1" x14ac:dyDescent="0.2">
      <c r="A26" s="37">
        <f>+'Calc Nodos'!F9</f>
        <v>1067</v>
      </c>
      <c r="D26" s="27">
        <f>+IF(A26&gt;0,1,IF(A26&lt;&gt;0,-1,0))</f>
        <v>1</v>
      </c>
      <c r="E26" s="27">
        <f t="shared" si="0"/>
        <v>0</v>
      </c>
      <c r="F26" s="113" t="s">
        <v>35</v>
      </c>
      <c r="G26" s="146">
        <f>+'Bal ML FeT'!J26</f>
        <v>1280.4000000000001</v>
      </c>
      <c r="H26" s="147">
        <f>+H27</f>
        <v>0.43130000000000002</v>
      </c>
      <c r="J26" s="87">
        <f>'Bal ML FeT'!J26</f>
        <v>1280.4000000000001</v>
      </c>
      <c r="K26" s="152">
        <f>IF(Utilidad!F$18&gt;1,Utilidad!F24/100,Utilidad!F24)</f>
        <v>0.43091433576999999</v>
      </c>
      <c r="L26" s="189">
        <f t="shared" si="1"/>
        <v>551.74271551990807</v>
      </c>
      <c r="M26" s="139"/>
      <c r="N26" s="16"/>
      <c r="O26" s="17"/>
      <c r="P26" s="16"/>
      <c r="Q26" s="144"/>
      <c r="R26" s="148"/>
      <c r="S26" s="144"/>
      <c r="T26" s="139"/>
      <c r="U26" s="139"/>
      <c r="V26" s="139"/>
      <c r="W26" s="139"/>
      <c r="X26" s="139"/>
      <c r="Y26" s="37"/>
      <c r="Z26" s="139"/>
      <c r="AA26" s="139"/>
      <c r="AB26" s="139"/>
      <c r="AC26" s="139"/>
      <c r="AD26" s="139"/>
      <c r="AE26" s="139"/>
      <c r="AF26" s="139"/>
    </row>
    <row r="27" spans="1:32" ht="15.75" customHeight="1" x14ac:dyDescent="0.2">
      <c r="E27" s="27">
        <f t="shared" si="0"/>
        <v>0</v>
      </c>
      <c r="F27" s="27" t="s">
        <v>36</v>
      </c>
      <c r="G27" s="146">
        <f>+'Bal ML FeT'!J27</f>
        <v>7855.43</v>
      </c>
      <c r="H27" s="147">
        <f>+'Info Planta'!F25</f>
        <v>0.43130000000000002</v>
      </c>
      <c r="J27" s="87">
        <f>'Bal ML FeT'!J27</f>
        <v>7855.43</v>
      </c>
      <c r="K27" s="152">
        <f>IF(Utilidad!F$18&gt;1,Utilidad!F25/100,Utilidad!F25)</f>
        <v>0.42893399011</v>
      </c>
      <c r="L27" s="189">
        <f t="shared" si="1"/>
        <v>3369.4609339297972</v>
      </c>
      <c r="M27" s="139"/>
      <c r="N27" s="16"/>
      <c r="O27" s="17"/>
      <c r="P27" s="16"/>
      <c r="Q27" s="144"/>
      <c r="R27" s="148"/>
      <c r="S27" s="144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</row>
    <row r="28" spans="1:32" ht="15.75" customHeight="1" x14ac:dyDescent="0.2">
      <c r="A28" s="37"/>
      <c r="B28" s="37"/>
      <c r="C28" s="37"/>
      <c r="E28" s="27">
        <f t="shared" si="0"/>
        <v>0</v>
      </c>
      <c r="F28" s="27" t="s">
        <v>37</v>
      </c>
      <c r="G28" s="146">
        <f>+'Bal ML FeT'!J28</f>
        <v>3428.8231669000002</v>
      </c>
      <c r="H28" s="147">
        <f>+IF(G28&lt;&gt;0,(G30*H30+A29*H29)/G28,0)</f>
        <v>0.46182296006784279</v>
      </c>
      <c r="J28" s="87">
        <f>'Bal ML FeT'!J28</f>
        <v>3428.8231669000002</v>
      </c>
      <c r="K28" s="152">
        <f>IF(Utilidad!F$18&gt;1,Utilidad!F26/100,Utilidad!F26)</f>
        <v>0.19429290000000002</v>
      </c>
      <c r="L28" s="189">
        <f t="shared" si="1"/>
        <v>666.19599668418505</v>
      </c>
      <c r="M28" s="139"/>
      <c r="N28" s="16"/>
      <c r="O28" s="17"/>
      <c r="P28" s="16"/>
      <c r="Q28" s="144"/>
      <c r="R28" s="148"/>
      <c r="S28" s="144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</row>
    <row r="29" spans="1:32" ht="15.75" customHeight="1" x14ac:dyDescent="0.2">
      <c r="A29" s="37">
        <f>+'Calc Nodos'!F10</f>
        <v>176</v>
      </c>
      <c r="D29" s="27">
        <f>+IF(A29&gt;0,1,IF(A29&lt;&gt;0,-1,0))</f>
        <v>1</v>
      </c>
      <c r="E29" s="27">
        <f t="shared" si="0"/>
        <v>0</v>
      </c>
      <c r="F29" s="113" t="s">
        <v>38</v>
      </c>
      <c r="G29" s="146">
        <f>+'Bal ML FeT'!J29</f>
        <v>-7697.1768331000003</v>
      </c>
      <c r="H29" s="147">
        <f>+H30</f>
        <v>0.14010876521739099</v>
      </c>
      <c r="J29" s="87">
        <f>'Bal ML FeT'!J29</f>
        <v>-7697.1768331000003</v>
      </c>
      <c r="K29" s="152">
        <f>IF(Utilidad!F$18&gt;1,Utilidad!F27/100,Utilidad!F27)</f>
        <v>0.12609809999999999</v>
      </c>
      <c r="L29" s="189">
        <f t="shared" si="1"/>
        <v>-970.59937401792706</v>
      </c>
      <c r="M29" s="139"/>
      <c r="N29" s="16"/>
      <c r="O29" s="17"/>
      <c r="P29" s="16"/>
      <c r="Q29" s="144"/>
      <c r="R29" s="148"/>
      <c r="S29" s="144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</row>
    <row r="30" spans="1:32" ht="15.75" customHeight="1" x14ac:dyDescent="0.2">
      <c r="E30" s="27">
        <f t="shared" si="0"/>
        <v>0</v>
      </c>
      <c r="F30" s="27" t="s">
        <v>39</v>
      </c>
      <c r="G30" s="146">
        <f>+'Bal ML FeT'!J30</f>
        <v>11126</v>
      </c>
      <c r="H30" s="147">
        <f>+'Info Planta'!F26</f>
        <v>0.14010876521739099</v>
      </c>
      <c r="J30" s="87">
        <f>'Bal ML FeT'!J30</f>
        <v>11126</v>
      </c>
      <c r="K30" s="152">
        <f>IF(Utilidad!F$18&gt;1,Utilidad!F28/100,Utilidad!F28)</f>
        <v>0.14711445000000001</v>
      </c>
      <c r="L30" s="189">
        <f t="shared" si="1"/>
        <v>1636.7953707000001</v>
      </c>
      <c r="M30" s="139"/>
      <c r="N30" s="16"/>
      <c r="O30" s="17"/>
      <c r="P30" s="16"/>
      <c r="Q30" s="144"/>
      <c r="R30" s="148"/>
      <c r="S30" s="144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</row>
    <row r="31" spans="1:32" ht="15.75" customHeight="1" x14ac:dyDescent="0.2"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</row>
    <row r="32" spans="1:32" ht="15.75" customHeight="1" x14ac:dyDescent="0.2">
      <c r="D32" s="139"/>
      <c r="E32" s="139"/>
      <c r="F32" s="135"/>
      <c r="G32" s="227"/>
      <c r="H32" s="195"/>
      <c r="I32" s="139"/>
      <c r="J32" s="227"/>
      <c r="K32" s="195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</row>
    <row r="33" spans="4:32" ht="15.75" customHeight="1" x14ac:dyDescent="0.2">
      <c r="D33" s="139"/>
      <c r="E33" s="139"/>
      <c r="F33" s="135"/>
      <c r="G33" s="20"/>
      <c r="H33" s="20"/>
      <c r="I33" s="139"/>
      <c r="J33" s="20"/>
      <c r="K33" s="20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</row>
    <row r="34" spans="4:32" ht="15.75" customHeight="1" x14ac:dyDescent="0.2">
      <c r="D34" s="139"/>
      <c r="E34" s="139"/>
      <c r="F34" s="139"/>
      <c r="G34" s="139"/>
      <c r="H34" s="139"/>
      <c r="I34" s="139"/>
      <c r="J34" s="37"/>
      <c r="K34" s="18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</row>
    <row r="35" spans="4:32" ht="15.75" customHeight="1" x14ac:dyDescent="0.2">
      <c r="D35" s="139"/>
      <c r="E35" s="139"/>
      <c r="F35" s="139"/>
      <c r="G35" s="139"/>
      <c r="H35" s="139"/>
      <c r="I35" s="139"/>
      <c r="J35" s="37"/>
      <c r="K35" s="18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</row>
    <row r="36" spans="4:32" ht="15.75" customHeight="1" x14ac:dyDescent="0.2">
      <c r="D36" s="139"/>
      <c r="E36" s="139"/>
      <c r="F36" s="139"/>
      <c r="G36" s="139"/>
      <c r="H36" s="139"/>
      <c r="I36" s="139"/>
      <c r="J36" s="37"/>
      <c r="K36" s="18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</row>
    <row r="37" spans="4:32" ht="15.75" customHeight="1" x14ac:dyDescent="0.2">
      <c r="D37" s="139"/>
      <c r="E37" s="139"/>
      <c r="F37" s="139"/>
      <c r="G37" s="139"/>
      <c r="H37" s="139"/>
      <c r="I37" s="139"/>
      <c r="J37" s="37"/>
      <c r="K37" s="18"/>
      <c r="L37" s="139"/>
    </row>
    <row r="38" spans="4:32" ht="15.75" customHeight="1" x14ac:dyDescent="0.2">
      <c r="D38" s="139"/>
      <c r="E38" s="139"/>
      <c r="F38" s="139"/>
      <c r="G38" s="139"/>
      <c r="H38" s="139"/>
      <c r="I38" s="139"/>
      <c r="J38" s="37"/>
      <c r="K38" s="18"/>
      <c r="L38" s="139"/>
    </row>
    <row r="39" spans="4:32" ht="15.75" customHeight="1" x14ac:dyDescent="0.2">
      <c r="D39" s="139"/>
      <c r="E39" s="139"/>
      <c r="F39" s="139"/>
      <c r="G39" s="139"/>
      <c r="H39" s="139"/>
      <c r="I39" s="139"/>
      <c r="J39" s="37"/>
      <c r="K39" s="18"/>
      <c r="L39" s="139"/>
    </row>
    <row r="40" spans="4:32" ht="15.75" customHeight="1" x14ac:dyDescent="0.2">
      <c r="D40" s="139"/>
      <c r="E40" s="139"/>
      <c r="F40" s="139"/>
      <c r="G40" s="139"/>
      <c r="H40" s="139"/>
      <c r="I40" s="139"/>
      <c r="J40" s="37"/>
      <c r="K40" s="18"/>
      <c r="L40" s="139"/>
    </row>
    <row r="41" spans="4:32" ht="15.75" customHeight="1" x14ac:dyDescent="0.2">
      <c r="D41" s="139"/>
      <c r="E41" s="139"/>
      <c r="F41" s="139"/>
      <c r="G41" s="139"/>
      <c r="H41" s="139"/>
      <c r="I41" s="139"/>
      <c r="J41" s="37"/>
      <c r="K41" s="18"/>
      <c r="L41" s="139"/>
    </row>
    <row r="42" spans="4:32" ht="15.75" customHeight="1" x14ac:dyDescent="0.2">
      <c r="D42" s="139"/>
      <c r="E42" s="139"/>
      <c r="F42" s="139"/>
      <c r="G42" s="139"/>
      <c r="H42" s="139"/>
      <c r="I42" s="139"/>
      <c r="J42" s="37"/>
      <c r="K42" s="18"/>
      <c r="L42" s="139"/>
    </row>
    <row r="43" spans="4:32" ht="15.75" customHeight="1" x14ac:dyDescent="0.2">
      <c r="D43" s="139"/>
      <c r="E43" s="139"/>
      <c r="F43" s="139"/>
      <c r="G43" s="139"/>
      <c r="H43" s="139"/>
      <c r="I43" s="139"/>
      <c r="J43" s="37"/>
      <c r="K43" s="18"/>
      <c r="L43" s="139"/>
    </row>
    <row r="44" spans="4:32" ht="15.75" customHeight="1" x14ac:dyDescent="0.2">
      <c r="D44" s="139"/>
      <c r="E44" s="139"/>
      <c r="F44" s="139"/>
      <c r="G44" s="139"/>
      <c r="H44" s="139"/>
      <c r="I44" s="139"/>
      <c r="J44" s="37"/>
      <c r="K44" s="18"/>
      <c r="L44" s="139"/>
    </row>
    <row r="45" spans="4:32" ht="15.75" customHeight="1" x14ac:dyDescent="0.2">
      <c r="D45" s="139"/>
      <c r="E45" s="139"/>
      <c r="F45" s="139"/>
      <c r="G45" s="139"/>
      <c r="H45" s="139"/>
      <c r="I45" s="139"/>
      <c r="J45" s="139"/>
      <c r="K45" s="139"/>
      <c r="L45" s="139"/>
    </row>
    <row r="46" spans="4:32" ht="15.75" customHeight="1" x14ac:dyDescent="0.2">
      <c r="D46" s="139"/>
      <c r="E46" s="139"/>
      <c r="F46" s="135"/>
      <c r="G46" s="227"/>
      <c r="H46" s="195"/>
      <c r="I46" s="139"/>
      <c r="J46" s="139"/>
      <c r="K46" s="139"/>
      <c r="L46" s="139"/>
    </row>
    <row r="47" spans="4:32" ht="15.75" customHeight="1" x14ac:dyDescent="0.2">
      <c r="D47" s="139"/>
      <c r="E47" s="139"/>
      <c r="F47" s="135"/>
      <c r="G47" s="20"/>
      <c r="H47" s="20"/>
      <c r="I47" s="139"/>
      <c r="J47" s="139"/>
      <c r="K47" s="139"/>
      <c r="L47" s="139"/>
    </row>
    <row r="48" spans="4:32" ht="15.75" customHeight="1" x14ac:dyDescent="0.2">
      <c r="D48" s="139"/>
      <c r="E48" s="139"/>
      <c r="F48" s="139"/>
      <c r="G48" s="139"/>
      <c r="H48" s="139"/>
      <c r="I48" s="139"/>
      <c r="J48" s="139"/>
      <c r="K48" s="139"/>
      <c r="L48" s="139"/>
    </row>
    <row r="49" spans="4:12" ht="15.75" customHeight="1" x14ac:dyDescent="0.2">
      <c r="D49" s="139"/>
      <c r="E49" s="139"/>
      <c r="F49" s="139"/>
      <c r="G49" s="139"/>
      <c r="H49" s="139"/>
      <c r="I49" s="139"/>
      <c r="J49" s="139"/>
      <c r="K49" s="139"/>
      <c r="L49" s="139"/>
    </row>
    <row r="50" spans="4:12" ht="15.75" customHeight="1" x14ac:dyDescent="0.2">
      <c r="D50" s="139"/>
      <c r="E50" s="139"/>
      <c r="F50" s="139"/>
      <c r="G50" s="139"/>
      <c r="H50" s="139"/>
      <c r="I50" s="139"/>
      <c r="J50" s="139"/>
      <c r="K50" s="139"/>
      <c r="L50" s="139"/>
    </row>
    <row r="51" spans="4:12" ht="15.75" customHeight="1" x14ac:dyDescent="0.2">
      <c r="D51" s="139"/>
      <c r="E51" s="139"/>
      <c r="F51" s="139"/>
      <c r="G51" s="139"/>
      <c r="H51" s="139"/>
      <c r="I51" s="139"/>
      <c r="J51" s="139"/>
      <c r="K51" s="139"/>
      <c r="L51" s="139"/>
    </row>
    <row r="52" spans="4:12" ht="15.75" customHeight="1" x14ac:dyDescent="0.2">
      <c r="D52" s="139"/>
      <c r="E52" s="139"/>
      <c r="F52" s="139"/>
      <c r="G52" s="139"/>
      <c r="H52" s="139"/>
      <c r="I52" s="139"/>
      <c r="J52" s="139"/>
      <c r="K52" s="139"/>
      <c r="L52" s="139"/>
    </row>
    <row r="53" spans="4:12" ht="15.75" customHeight="1" x14ac:dyDescent="0.2">
      <c r="D53" s="139"/>
      <c r="E53" s="139"/>
      <c r="F53" s="139"/>
      <c r="G53" s="139"/>
      <c r="H53" s="139"/>
      <c r="I53" s="139"/>
      <c r="J53" s="139"/>
      <c r="K53" s="139"/>
      <c r="L53" s="139"/>
    </row>
    <row r="54" spans="4:12" ht="15.75" customHeight="1" x14ac:dyDescent="0.2">
      <c r="D54" s="139"/>
      <c r="E54" s="139"/>
      <c r="F54" s="139"/>
      <c r="G54" s="139"/>
      <c r="H54" s="139"/>
      <c r="I54" s="139"/>
      <c r="J54" s="139"/>
      <c r="K54" s="139"/>
      <c r="L54" s="139"/>
    </row>
    <row r="55" spans="4:12" ht="15.75" customHeight="1" x14ac:dyDescent="0.2">
      <c r="D55" s="139"/>
      <c r="E55" s="139"/>
      <c r="F55" s="139"/>
      <c r="G55" s="139"/>
      <c r="H55" s="139"/>
      <c r="I55" s="139"/>
      <c r="J55" s="139"/>
      <c r="K55" s="139"/>
      <c r="L55" s="139"/>
    </row>
    <row r="56" spans="4:12" ht="15.75" customHeight="1" x14ac:dyDescent="0.2">
      <c r="D56" s="139"/>
      <c r="E56" s="139"/>
      <c r="F56" s="139"/>
      <c r="G56" s="139"/>
      <c r="H56" s="139"/>
      <c r="I56" s="139"/>
      <c r="J56" s="139"/>
      <c r="K56" s="139"/>
      <c r="L56" s="139"/>
    </row>
    <row r="57" spans="4:12" ht="15.75" customHeight="1" x14ac:dyDescent="0.2">
      <c r="D57" s="139"/>
      <c r="E57" s="139"/>
      <c r="F57" s="139"/>
      <c r="G57" s="139"/>
      <c r="H57" s="139"/>
      <c r="I57" s="139"/>
      <c r="J57" s="139"/>
      <c r="K57" s="139"/>
      <c r="L57" s="139"/>
    </row>
    <row r="58" spans="4:12" ht="15.75" customHeight="1" x14ac:dyDescent="0.2">
      <c r="D58" s="139"/>
      <c r="E58" s="139"/>
      <c r="F58" s="139"/>
      <c r="G58" s="139"/>
      <c r="H58" s="139"/>
      <c r="I58" s="139"/>
      <c r="J58" s="139"/>
      <c r="K58" s="139"/>
      <c r="L58" s="139"/>
    </row>
    <row r="59" spans="4:12" ht="15.75" customHeight="1" x14ac:dyDescent="0.2">
      <c r="D59" s="139"/>
      <c r="E59" s="139"/>
      <c r="F59" s="139"/>
      <c r="G59" s="139"/>
      <c r="H59" s="139"/>
      <c r="I59" s="139"/>
      <c r="J59" s="139"/>
      <c r="K59" s="139"/>
      <c r="L59" s="139"/>
    </row>
    <row r="60" spans="4:12" ht="15.75" customHeight="1" x14ac:dyDescent="0.2">
      <c r="D60" s="139"/>
      <c r="E60" s="139"/>
      <c r="F60" s="139"/>
      <c r="G60" s="139"/>
      <c r="H60" s="139"/>
      <c r="I60" s="139"/>
      <c r="J60" s="139"/>
      <c r="K60" s="139"/>
      <c r="L60" s="139"/>
    </row>
    <row r="61" spans="4:12" ht="15.75" customHeight="1" x14ac:dyDescent="0.2">
      <c r="D61" s="139"/>
      <c r="E61" s="139"/>
      <c r="F61" s="139"/>
      <c r="G61" s="139"/>
      <c r="H61" s="139"/>
      <c r="I61" s="139"/>
      <c r="J61" s="139"/>
      <c r="K61" s="139"/>
      <c r="L61" s="139"/>
    </row>
    <row r="62" spans="4:12" ht="15.75" customHeight="1" x14ac:dyDescent="0.2">
      <c r="D62" s="139"/>
      <c r="E62" s="139"/>
      <c r="F62" s="139"/>
      <c r="G62" s="139"/>
      <c r="H62" s="139"/>
      <c r="I62" s="139"/>
      <c r="J62" s="139"/>
      <c r="K62" s="139"/>
      <c r="L62" s="139"/>
    </row>
    <row r="63" spans="4:12" ht="15.75" customHeight="1" x14ac:dyDescent="0.2">
      <c r="D63" s="139"/>
      <c r="E63" s="139"/>
      <c r="F63" s="139"/>
      <c r="G63" s="139"/>
      <c r="H63" s="139"/>
      <c r="I63" s="139"/>
      <c r="J63" s="139"/>
      <c r="K63" s="139"/>
      <c r="L63" s="139"/>
    </row>
    <row r="64" spans="4:12" ht="15.75" customHeight="1" x14ac:dyDescent="0.2">
      <c r="D64" s="139"/>
      <c r="E64" s="139"/>
      <c r="F64" s="139"/>
      <c r="G64" s="139"/>
      <c r="H64" s="139"/>
      <c r="I64" s="139"/>
      <c r="J64" s="139"/>
      <c r="K64" s="139"/>
      <c r="L64" s="139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2" priority="1">
      <formula>ABS(N20)&gt;=10%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X1000"/>
  <sheetViews>
    <sheetView showGridLines="0" workbookViewId="0"/>
  </sheetViews>
  <sheetFormatPr baseColWidth="10" defaultColWidth="14.5" defaultRowHeight="15" customHeight="1" x14ac:dyDescent="0.2"/>
  <cols>
    <col min="1" max="2" width="11.5" customWidth="1"/>
    <col min="3" max="3" width="36.1640625" customWidth="1"/>
    <col min="4" max="7" width="11.5" customWidth="1"/>
    <col min="8" max="8" width="16.5" customWidth="1"/>
    <col min="9" max="12" width="11.5" customWidth="1"/>
    <col min="13" max="13" width="13" customWidth="1"/>
    <col min="14" max="15" width="11.5" customWidth="1"/>
    <col min="16" max="16" width="13" customWidth="1"/>
    <col min="17" max="17" width="15.6640625" customWidth="1"/>
    <col min="18" max="28" width="11.5" customWidth="1"/>
  </cols>
  <sheetData>
    <row r="1" spans="2:21" x14ac:dyDescent="0.2">
      <c r="D1" s="20"/>
      <c r="E1" s="20"/>
      <c r="F1" s="20"/>
    </row>
    <row r="2" spans="2:21" x14ac:dyDescent="0.2">
      <c r="B2" s="21"/>
      <c r="C2" s="22"/>
      <c r="D2" s="23"/>
      <c r="E2" s="23"/>
      <c r="F2" s="23"/>
      <c r="G2" s="24"/>
    </row>
    <row r="3" spans="2:21" x14ac:dyDescent="0.2">
      <c r="B3" s="25"/>
      <c r="D3" s="20"/>
      <c r="E3" s="20"/>
      <c r="F3" s="20"/>
      <c r="G3" s="26"/>
      <c r="M3" s="27" t="s">
        <v>40</v>
      </c>
    </row>
    <row r="4" spans="2:21" ht="16" x14ac:dyDescent="0.2">
      <c r="B4" s="25"/>
      <c r="C4" s="211" t="s">
        <v>41</v>
      </c>
      <c r="D4" s="212"/>
      <c r="E4" s="212"/>
      <c r="F4" s="213"/>
      <c r="G4" s="26"/>
      <c r="M4" s="28"/>
      <c r="N4" s="27"/>
      <c r="O4" s="27"/>
      <c r="P4" s="27"/>
      <c r="Q4" s="27"/>
      <c r="R4" s="27"/>
      <c r="S4" s="27"/>
      <c r="T4" s="27"/>
    </row>
    <row r="5" spans="2:21" x14ac:dyDescent="0.2">
      <c r="B5" s="25"/>
      <c r="D5" s="20"/>
      <c r="E5" s="20"/>
      <c r="F5" s="20"/>
      <c r="G5" s="26"/>
      <c r="M5" s="20" t="s">
        <v>42</v>
      </c>
      <c r="N5" s="20" t="s">
        <v>43</v>
      </c>
      <c r="O5" s="20" t="s">
        <v>44</v>
      </c>
      <c r="P5" s="20" t="s">
        <v>45</v>
      </c>
      <c r="Q5" s="20" t="s">
        <v>46</v>
      </c>
      <c r="R5" s="20" t="s">
        <v>47</v>
      </c>
      <c r="S5" s="20" t="s">
        <v>48</v>
      </c>
      <c r="T5" s="20" t="s">
        <v>49</v>
      </c>
      <c r="U5" s="20" t="s">
        <v>50</v>
      </c>
    </row>
    <row r="6" spans="2:21" x14ac:dyDescent="0.2">
      <c r="B6" s="25"/>
      <c r="C6" s="27" t="s">
        <v>42</v>
      </c>
      <c r="D6" s="214">
        <v>44865</v>
      </c>
      <c r="E6" s="195"/>
      <c r="F6" s="20"/>
      <c r="G6" s="26"/>
      <c r="M6" s="29">
        <v>44566</v>
      </c>
      <c r="N6" s="30">
        <v>51.7</v>
      </c>
      <c r="O6" s="30">
        <v>25.2</v>
      </c>
      <c r="P6" s="30">
        <v>23.1</v>
      </c>
      <c r="Q6" s="30"/>
      <c r="R6" s="30"/>
      <c r="S6" s="30"/>
      <c r="T6" s="30"/>
      <c r="U6" s="30"/>
    </row>
    <row r="7" spans="2:21" x14ac:dyDescent="0.2">
      <c r="B7" s="25"/>
      <c r="D7" s="20"/>
      <c r="E7" s="20"/>
      <c r="F7" s="20"/>
      <c r="G7" s="31"/>
      <c r="M7" s="29">
        <v>44571</v>
      </c>
      <c r="N7" s="30">
        <v>43.3</v>
      </c>
      <c r="O7" s="30">
        <v>22.6</v>
      </c>
      <c r="P7" s="30">
        <v>34</v>
      </c>
      <c r="Q7" s="30"/>
      <c r="R7" s="30"/>
      <c r="S7" s="30"/>
      <c r="T7" s="30"/>
      <c r="U7" s="30"/>
    </row>
    <row r="8" spans="2:21" x14ac:dyDescent="0.2">
      <c r="B8" s="25"/>
      <c r="C8" s="199" t="s">
        <v>51</v>
      </c>
      <c r="D8" s="197"/>
      <c r="E8" s="197"/>
      <c r="F8" s="198"/>
      <c r="G8" s="26"/>
      <c r="M8" s="29">
        <v>44574</v>
      </c>
      <c r="N8" s="30">
        <v>44.16</v>
      </c>
      <c r="O8" s="30">
        <v>23.87</v>
      </c>
      <c r="P8" s="30">
        <v>31.97</v>
      </c>
      <c r="Q8" s="30"/>
      <c r="R8" s="30"/>
      <c r="S8" s="30"/>
      <c r="T8" s="30"/>
      <c r="U8" s="30"/>
    </row>
    <row r="9" spans="2:21" ht="16" x14ac:dyDescent="0.2">
      <c r="B9" s="25"/>
      <c r="C9" s="32" t="s">
        <v>52</v>
      </c>
      <c r="D9" s="33" t="s">
        <v>53</v>
      </c>
      <c r="E9" s="33" t="s">
        <v>54</v>
      </c>
      <c r="F9" s="33" t="s">
        <v>55</v>
      </c>
      <c r="G9" s="26"/>
      <c r="M9" s="29">
        <v>37273</v>
      </c>
      <c r="N9" s="30">
        <v>45.56</v>
      </c>
      <c r="O9" s="30">
        <v>22.1</v>
      </c>
      <c r="P9" s="30">
        <v>32.340000000000003</v>
      </c>
      <c r="Q9" s="30"/>
      <c r="R9" s="30"/>
      <c r="S9" s="30"/>
      <c r="T9" s="30"/>
      <c r="U9" s="30"/>
    </row>
    <row r="10" spans="2:21" x14ac:dyDescent="0.2">
      <c r="B10" s="25"/>
      <c r="C10" s="34" t="s">
        <v>56</v>
      </c>
      <c r="D10" s="35">
        <f>+'Bal AL FeT'!J26+'Bal AL FeT'!J27+'Bal AL FeT'!J28</f>
        <v>78009.035105999996</v>
      </c>
      <c r="E10" s="36">
        <f>IF(D10=0, "0", ('Bal AL FeT'!J26*'Bal AL FeT'!K26+'Bal AL FeT'!J27*'Bal AL FeT'!K27+'Bal AL FeT'!J28*'Bal AL FeT'!K28)/'Reporte '!D10)</f>
        <v>0.5131108158462625</v>
      </c>
      <c r="F10" s="36">
        <f>IF(D10=0, "0",('Bal AL FeMag'!J26*'Bal AL FeMag'!K26+'Bal AL FeMag'!J27*'Bal AL FeMag'!K27+'Bal AL FeMag'!J28*'Bal AL FeMag'!K28)/'Reporte '!D10)</f>
        <v>0.47561583130841073</v>
      </c>
      <c r="G10" s="26"/>
      <c r="M10" s="29">
        <v>44585</v>
      </c>
      <c r="N10" s="30"/>
      <c r="O10" s="30"/>
      <c r="P10" s="30"/>
      <c r="Q10" s="30">
        <v>26.030560691746768</v>
      </c>
      <c r="R10" s="30">
        <v>24.127870543396419</v>
      </c>
      <c r="S10" s="30">
        <v>21.681077255402485</v>
      </c>
      <c r="T10" s="30">
        <v>28.160491509454332</v>
      </c>
      <c r="U10" s="30"/>
    </row>
    <row r="11" spans="2:21" x14ac:dyDescent="0.2">
      <c r="B11" s="25"/>
      <c r="C11" s="34" t="s">
        <v>57</v>
      </c>
      <c r="D11" s="35">
        <f>+'Bal ML FeT'!J20+'Bal ML FeT'!J21</f>
        <v>32280.113164000002</v>
      </c>
      <c r="E11" s="36">
        <f>IF(D11=0, "0", ('Bal ML FeT'!K20*'Bal ML FeT'!J20+'Bal ML FeT'!K21*'Bal ML FeT'!J21)/'Reporte '!D11)</f>
        <v>0.4365561361311403</v>
      </c>
      <c r="F11" s="36">
        <f>IF(D11=0,"0", ('Bal ML FeMag'!J20*'Bal ML FeMag'!K20+'Bal ML FeMag'!J21*'Bal ML FeMag'!K21)/'Reporte '!D11)</f>
        <v>0.40441123800230594</v>
      </c>
      <c r="G11" s="26"/>
      <c r="H11" s="36"/>
      <c r="M11" s="29">
        <v>44588</v>
      </c>
      <c r="N11" s="30"/>
      <c r="O11" s="30"/>
      <c r="P11" s="30"/>
      <c r="Q11" s="30">
        <v>26.94493734511574</v>
      </c>
      <c r="R11" s="30">
        <v>21.524750736682844</v>
      </c>
      <c r="S11" s="30">
        <v>21.895407811341272</v>
      </c>
      <c r="T11" s="30">
        <v>29.634904106860155</v>
      </c>
      <c r="U11" s="30"/>
    </row>
    <row r="12" spans="2:21" x14ac:dyDescent="0.2">
      <c r="B12" s="25"/>
      <c r="C12" s="34" t="s">
        <v>58</v>
      </c>
      <c r="D12" s="35">
        <f>+D10+D11</f>
        <v>110289.14827000001</v>
      </c>
      <c r="E12" s="36">
        <f>+(D10*E10+D11*E11)/D12</f>
        <v>0.49070431653784302</v>
      </c>
      <c r="F12" s="36">
        <f>+(D10*F10+D11*F11)/D12</f>
        <v>0.45477522853132973</v>
      </c>
      <c r="G12" s="26"/>
      <c r="I12" s="37"/>
      <c r="M12" s="29">
        <v>44599</v>
      </c>
      <c r="N12" s="30">
        <v>48.1</v>
      </c>
      <c r="O12" s="30">
        <v>19.8</v>
      </c>
      <c r="P12" s="30">
        <v>32.1</v>
      </c>
      <c r="Q12" s="30"/>
      <c r="R12" s="30"/>
      <c r="S12" s="30"/>
      <c r="T12" s="30"/>
      <c r="U12" s="30"/>
    </row>
    <row r="13" spans="2:21" ht="7.5" customHeight="1" x14ac:dyDescent="0.2">
      <c r="B13" s="25"/>
      <c r="C13" s="38"/>
      <c r="D13" s="39"/>
      <c r="E13" s="40"/>
      <c r="F13" s="40"/>
      <c r="G13" s="26"/>
      <c r="N13" s="30"/>
      <c r="O13" s="30"/>
      <c r="P13" s="30"/>
      <c r="Q13" s="30"/>
      <c r="R13" s="30"/>
      <c r="S13" s="30"/>
      <c r="T13" s="30"/>
      <c r="U13" s="30"/>
    </row>
    <row r="14" spans="2:21" x14ac:dyDescent="0.2">
      <c r="B14" s="25"/>
      <c r="C14" s="199" t="s">
        <v>59</v>
      </c>
      <c r="D14" s="197"/>
      <c r="E14" s="197"/>
      <c r="F14" s="198"/>
      <c r="G14" s="26"/>
      <c r="M14" s="29">
        <v>44608</v>
      </c>
      <c r="N14" s="30">
        <v>55.8</v>
      </c>
      <c r="O14" s="30">
        <v>24.2</v>
      </c>
      <c r="P14" s="30">
        <v>19.899999999999999</v>
      </c>
      <c r="Q14" s="30">
        <v>25.1</v>
      </c>
      <c r="R14" s="30">
        <v>21.3</v>
      </c>
      <c r="S14" s="30">
        <f>100-Q14-R14-T14</f>
        <v>28.300000000000008</v>
      </c>
      <c r="T14" s="30">
        <v>25.3</v>
      </c>
      <c r="U14" s="30"/>
    </row>
    <row r="15" spans="2:21" x14ac:dyDescent="0.2">
      <c r="B15" s="25"/>
      <c r="C15" s="196" t="s">
        <v>60</v>
      </c>
      <c r="D15" s="197"/>
      <c r="E15" s="197"/>
      <c r="F15" s="198"/>
      <c r="G15" s="26"/>
      <c r="H15" s="27" t="s">
        <v>61</v>
      </c>
      <c r="I15" s="27" t="s">
        <v>62</v>
      </c>
      <c r="M15" s="29">
        <v>44620</v>
      </c>
      <c r="N15" s="30">
        <v>52.770469684239551</v>
      </c>
      <c r="O15" s="30">
        <v>23.429146980192652</v>
      </c>
      <c r="P15" s="30">
        <v>23.800383335567783</v>
      </c>
      <c r="Q15" s="30">
        <v>31.820992677119964</v>
      </c>
      <c r="R15" s="30">
        <v>23.605751202300098</v>
      </c>
      <c r="S15" s="30">
        <v>18.352691205793604</v>
      </c>
      <c r="T15" s="30">
        <v>27.920221029251373</v>
      </c>
      <c r="U15" s="30"/>
    </row>
    <row r="16" spans="2:21" x14ac:dyDescent="0.2">
      <c r="B16" s="25"/>
      <c r="C16" s="34" t="s">
        <v>46</v>
      </c>
      <c r="D16" s="35">
        <f>+'Bal AL FeT'!J29</f>
        <v>23735.816956999999</v>
      </c>
      <c r="E16" s="36">
        <f>'Bal AL FeT'!K29</f>
        <v>0.60740306086999996</v>
      </c>
      <c r="F16" s="36">
        <f>+'Bal AL FeMag'!K29</f>
        <v>0.59605544544</v>
      </c>
      <c r="G16" s="26"/>
      <c r="H16" s="27">
        <f t="shared" ref="H16:H20" si="0">+D16/$D$10*100</f>
        <v>30.427010056908628</v>
      </c>
      <c r="I16" s="27">
        <f t="shared" ref="I16:I20" si="1">+H16*E16/$E$10</f>
        <v>36.018455411444613</v>
      </c>
      <c r="M16" s="29">
        <v>44628</v>
      </c>
      <c r="N16" s="30">
        <v>50.123788472073286</v>
      </c>
      <c r="O16" s="30">
        <v>28.031570771681903</v>
      </c>
      <c r="P16" s="30">
        <v>21.844640756244836</v>
      </c>
      <c r="Q16" s="30">
        <v>19.553648470753359</v>
      </c>
      <c r="R16" s="30">
        <v>17.268254076296866</v>
      </c>
      <c r="S16" s="30">
        <v>25.482289647286471</v>
      </c>
      <c r="T16" s="30">
        <v>37.695807805665197</v>
      </c>
      <c r="U16" s="30"/>
    </row>
    <row r="17" spans="2:21" x14ac:dyDescent="0.2">
      <c r="B17" s="25"/>
      <c r="C17" s="34" t="s">
        <v>47</v>
      </c>
      <c r="D17" s="35">
        <f>+'Bal AL FeT'!J33</f>
        <v>16482.693599999999</v>
      </c>
      <c r="E17" s="36">
        <f>+'Bal AL FeT'!K33</f>
        <v>0.60817756000000001</v>
      </c>
      <c r="F17" s="36">
        <f>+'Bal AL FeMag'!K33</f>
        <v>0.58912350328000007</v>
      </c>
      <c r="G17" s="26"/>
      <c r="H17" s="27">
        <f t="shared" si="0"/>
        <v>21.129210965887523</v>
      </c>
      <c r="I17" s="27">
        <f t="shared" si="1"/>
        <v>25.043931199861724</v>
      </c>
      <c r="M17" s="29">
        <v>44634</v>
      </c>
      <c r="N17" s="30">
        <v>42.020691003790162</v>
      </c>
      <c r="O17" s="30">
        <v>23.863622240954417</v>
      </c>
      <c r="P17" s="30">
        <v>34.115686755255432</v>
      </c>
      <c r="Q17" s="30"/>
      <c r="R17" s="30"/>
      <c r="S17" s="30"/>
      <c r="T17" s="30"/>
      <c r="U17" s="30"/>
    </row>
    <row r="18" spans="2:21" hidden="1" x14ac:dyDescent="0.2">
      <c r="B18" s="25"/>
      <c r="C18" s="34" t="s">
        <v>50</v>
      </c>
      <c r="D18" s="35">
        <f>+D20+D19</f>
        <v>37790.524549199996</v>
      </c>
      <c r="E18" s="36">
        <f>IFERROR((E19*D19+E20*D20)/D18, 0)</f>
        <v>0.41242262442181277</v>
      </c>
      <c r="F18" s="36">
        <f>IFERROR((D19*F19+D20*F20)/D18, 0)</f>
        <v>0.35046158488816304</v>
      </c>
      <c r="G18" s="26"/>
      <c r="H18" s="27">
        <f t="shared" si="0"/>
        <v>48.443778977460227</v>
      </c>
      <c r="I18" s="27">
        <f t="shared" si="1"/>
        <v>38.937613173955313</v>
      </c>
      <c r="M18" s="29"/>
      <c r="N18" s="30"/>
      <c r="O18" s="30"/>
      <c r="P18" s="30"/>
      <c r="Q18" s="30"/>
      <c r="R18" s="30"/>
      <c r="S18" s="30"/>
      <c r="T18" s="30"/>
      <c r="U18" s="30"/>
    </row>
    <row r="19" spans="2:21" x14ac:dyDescent="0.2">
      <c r="B19" s="25"/>
      <c r="C19" s="34" t="s">
        <v>63</v>
      </c>
      <c r="D19" s="35">
        <f>+'Bal AL FeT'!J37</f>
        <v>4229.7245661999996</v>
      </c>
      <c r="E19" s="36">
        <f>+'Bal AL FeT'!K37</f>
        <v>0.35880705339999996</v>
      </c>
      <c r="F19" s="36">
        <f>+'Bal AL FeMag'!K37</f>
        <v>0.32209955213000002</v>
      </c>
      <c r="G19" s="26"/>
      <c r="H19" s="27">
        <f t="shared" si="0"/>
        <v>5.4220957360292674</v>
      </c>
      <c r="I19" s="27">
        <f t="shared" si="1"/>
        <v>3.791551715955777</v>
      </c>
      <c r="M19" s="29">
        <v>44640</v>
      </c>
      <c r="N19" s="30">
        <v>40.930034488224514</v>
      </c>
      <c r="O19" s="30">
        <v>22.732547535537993</v>
      </c>
      <c r="P19" s="30">
        <v>36.337417976237504</v>
      </c>
      <c r="Q19" s="30"/>
      <c r="R19" s="30"/>
      <c r="S19" s="30"/>
      <c r="T19" s="30"/>
      <c r="U19" s="30"/>
    </row>
    <row r="20" spans="2:21" x14ac:dyDescent="0.2">
      <c r="B20" s="25"/>
      <c r="C20" s="34" t="s">
        <v>64</v>
      </c>
      <c r="D20" s="35">
        <f>+'Bal AL FeT'!J40</f>
        <v>33560.799982999997</v>
      </c>
      <c r="E20" s="36">
        <f>+'Bal AL FeT'!K40</f>
        <v>0.41917988581000004</v>
      </c>
      <c r="F20" s="36">
        <f>+'Bal AL FeMag'!K40</f>
        <v>0.35403610000000002</v>
      </c>
      <c r="G20" s="26"/>
      <c r="H20" s="27">
        <f t="shared" si="0"/>
        <v>43.021683241430964</v>
      </c>
      <c r="I20" s="27">
        <f t="shared" si="1"/>
        <v>35.146061457999537</v>
      </c>
      <c r="M20" s="29">
        <v>44651</v>
      </c>
      <c r="N20" s="30">
        <v>45.522044621819717</v>
      </c>
      <c r="O20" s="30">
        <v>22.565223189681692</v>
      </c>
      <c r="P20" s="30">
        <v>31.912732188498559</v>
      </c>
      <c r="Q20" s="30">
        <v>22.764828734766127</v>
      </c>
      <c r="R20" s="30">
        <v>18.853508874218125</v>
      </c>
      <c r="S20" s="30">
        <v>27.944074145335744</v>
      </c>
      <c r="T20" s="30">
        <v>30.437588245680004</v>
      </c>
      <c r="U20" s="30"/>
    </row>
    <row r="21" spans="2:21" ht="15.75" customHeight="1" x14ac:dyDescent="0.2">
      <c r="B21" s="25"/>
      <c r="C21" s="196" t="s">
        <v>65</v>
      </c>
      <c r="D21" s="197"/>
      <c r="E21" s="197"/>
      <c r="F21" s="198"/>
      <c r="G21" s="26"/>
      <c r="H21" s="41" t="s">
        <v>66</v>
      </c>
      <c r="M21" s="29">
        <v>44661</v>
      </c>
      <c r="N21" s="30">
        <v>48.1</v>
      </c>
      <c r="O21" s="30">
        <v>25.5</v>
      </c>
      <c r="P21" s="30">
        <v>26.4</v>
      </c>
      <c r="Q21" s="30">
        <v>21.1</v>
      </c>
      <c r="R21" s="30">
        <v>19.5</v>
      </c>
      <c r="S21" s="30">
        <v>10.9</v>
      </c>
      <c r="T21" s="30">
        <v>48.4</v>
      </c>
      <c r="U21" s="30"/>
    </row>
    <row r="22" spans="2:21" ht="15.75" customHeight="1" x14ac:dyDescent="0.2">
      <c r="B22" s="25"/>
      <c r="C22" s="34" t="str">
        <f>+C16</f>
        <v>Granzas</v>
      </c>
      <c r="D22" s="35"/>
      <c r="E22" s="42"/>
      <c r="F22" s="42"/>
      <c r="G22" s="26"/>
      <c r="H22" s="43">
        <f>+D20+D31+D32</f>
        <v>62412.089980000004</v>
      </c>
      <c r="J22" s="37"/>
      <c r="K22" s="37">
        <f>+D20+D31+D32</f>
        <v>62412.089980000004</v>
      </c>
      <c r="M22" s="29">
        <v>44669</v>
      </c>
      <c r="N22" s="30">
        <v>48.36</v>
      </c>
      <c r="O22" s="30">
        <v>25.32</v>
      </c>
      <c r="P22" s="30">
        <v>26.31</v>
      </c>
      <c r="Q22" s="30"/>
      <c r="R22" s="30"/>
      <c r="S22" s="30"/>
      <c r="T22" s="30"/>
      <c r="U22" s="30"/>
    </row>
    <row r="23" spans="2:21" ht="15.75" customHeight="1" x14ac:dyDescent="0.2">
      <c r="B23" s="25"/>
      <c r="C23" s="34" t="s">
        <v>47</v>
      </c>
      <c r="D23" s="35"/>
      <c r="E23" s="42"/>
      <c r="F23" s="42"/>
      <c r="G23" s="26"/>
      <c r="H23" s="37">
        <f>+D40+D41+D42</f>
        <v>54511.360000000001</v>
      </c>
      <c r="K23" s="37">
        <f>+D40+D41+D42</f>
        <v>54511.360000000001</v>
      </c>
      <c r="M23" s="29">
        <v>44671</v>
      </c>
      <c r="N23" s="30">
        <v>48.112824867806346</v>
      </c>
      <c r="O23" s="30">
        <v>25.194419254708961</v>
      </c>
      <c r="P23" s="30">
        <v>26.692755877484696</v>
      </c>
      <c r="Q23" s="30">
        <v>29.71560235071976</v>
      </c>
      <c r="R23" s="30">
        <v>16.850572775793239</v>
      </c>
      <c r="S23" s="30">
        <v>19.093989182387393</v>
      </c>
      <c r="T23" s="30">
        <v>34.339835691098095</v>
      </c>
      <c r="U23" s="30"/>
    </row>
    <row r="24" spans="2:21" ht="15.75" customHeight="1" x14ac:dyDescent="0.2">
      <c r="B24" s="25"/>
      <c r="C24" s="34" t="s">
        <v>63</v>
      </c>
      <c r="D24" s="35"/>
      <c r="E24" s="42"/>
      <c r="F24" s="42"/>
      <c r="G24" s="26"/>
      <c r="H24" s="37">
        <f>+H23-H22</f>
        <v>-7900.7299800000037</v>
      </c>
      <c r="K24" s="37">
        <f>+K22-K23</f>
        <v>7900.7299800000037</v>
      </c>
      <c r="M24" s="29">
        <v>44675</v>
      </c>
      <c r="N24" s="30">
        <v>48.171989182455867</v>
      </c>
      <c r="O24" s="30">
        <v>24.394485494376305</v>
      </c>
      <c r="P24" s="30">
        <v>27.433525323167817</v>
      </c>
      <c r="Q24" s="30">
        <v>24.503351381736433</v>
      </c>
      <c r="R24" s="30">
        <v>20.475598157245081</v>
      </c>
      <c r="S24" s="30">
        <v>19.970313401727605</v>
      </c>
      <c r="T24" s="30">
        <v>35.050737059444067</v>
      </c>
      <c r="U24" s="30"/>
    </row>
    <row r="25" spans="2:21" ht="15.75" customHeight="1" x14ac:dyDescent="0.2">
      <c r="B25" s="25"/>
      <c r="C25" s="34" t="str">
        <f>+C20</f>
        <v>Prec Mixto 2</v>
      </c>
      <c r="D25" s="35"/>
      <c r="E25" s="42"/>
      <c r="F25" s="42"/>
      <c r="G25" s="26"/>
      <c r="M25" s="29">
        <v>44681</v>
      </c>
      <c r="N25" s="30">
        <v>48.719831704506205</v>
      </c>
      <c r="O25" s="30">
        <v>24.600454531790859</v>
      </c>
      <c r="P25" s="30">
        <v>26.679713763702946</v>
      </c>
      <c r="Q25" s="30">
        <v>24.283004591258678</v>
      </c>
      <c r="R25" s="30">
        <v>20.649736965871345</v>
      </c>
      <c r="T25" s="30"/>
      <c r="U25" s="30">
        <v>55.067258442869971</v>
      </c>
    </row>
    <row r="26" spans="2:21" ht="15.75" hidden="1" customHeight="1" x14ac:dyDescent="0.2">
      <c r="B26" s="25"/>
      <c r="C26" s="196" t="s">
        <v>67</v>
      </c>
      <c r="D26" s="197"/>
      <c r="E26" s="197"/>
      <c r="F26" s="198"/>
      <c r="G26" s="26"/>
      <c r="N26" s="30"/>
      <c r="O26" s="30"/>
      <c r="P26" s="30"/>
      <c r="Q26" s="30"/>
      <c r="R26" s="30"/>
      <c r="S26" s="30"/>
      <c r="T26" s="30"/>
      <c r="U26" s="30"/>
    </row>
    <row r="27" spans="2:21" ht="15.75" hidden="1" customHeight="1" x14ac:dyDescent="0.2">
      <c r="B27" s="25"/>
      <c r="C27" s="34" t="s">
        <v>68</v>
      </c>
      <c r="D27" s="35"/>
      <c r="E27" s="42"/>
      <c r="F27" s="42"/>
      <c r="G27" s="26"/>
      <c r="N27" s="30"/>
      <c r="O27" s="30"/>
      <c r="P27" s="30"/>
      <c r="Q27" s="30"/>
      <c r="R27" s="30"/>
      <c r="S27" s="30"/>
      <c r="T27" s="30"/>
      <c r="U27" s="30"/>
    </row>
    <row r="28" spans="2:21" ht="15.75" hidden="1" customHeight="1" x14ac:dyDescent="0.2">
      <c r="B28" s="25"/>
      <c r="C28" s="34" t="s">
        <v>47</v>
      </c>
      <c r="D28" s="35"/>
      <c r="E28" s="42"/>
      <c r="F28" s="42"/>
      <c r="G28" s="26"/>
      <c r="N28" s="30"/>
      <c r="O28" s="30"/>
      <c r="P28" s="30"/>
      <c r="Q28" s="30"/>
      <c r="R28" s="30"/>
      <c r="S28" s="30"/>
      <c r="T28" s="30"/>
      <c r="U28" s="30"/>
    </row>
    <row r="29" spans="2:21" ht="15.75" hidden="1" customHeight="1" x14ac:dyDescent="0.2">
      <c r="B29" s="25"/>
      <c r="C29" s="34" t="s">
        <v>45</v>
      </c>
      <c r="D29" s="35"/>
      <c r="E29" s="42"/>
      <c r="F29" s="42"/>
      <c r="G29" s="26"/>
      <c r="N29" s="30"/>
      <c r="O29" s="30"/>
      <c r="P29" s="30"/>
      <c r="Q29" s="30"/>
      <c r="R29" s="30"/>
      <c r="S29" s="30"/>
      <c r="T29" s="30"/>
      <c r="U29" s="30"/>
    </row>
    <row r="30" spans="2:21" ht="15.75" customHeight="1" x14ac:dyDescent="0.2">
      <c r="B30" s="25"/>
      <c r="C30" s="196" t="s">
        <v>69</v>
      </c>
      <c r="D30" s="197"/>
      <c r="E30" s="197"/>
      <c r="F30" s="198"/>
      <c r="G30" s="26"/>
      <c r="H30" s="27" t="s">
        <v>61</v>
      </c>
      <c r="M30" s="29">
        <v>44690</v>
      </c>
      <c r="N30" s="30">
        <v>44.899464237158625</v>
      </c>
      <c r="O30" s="30">
        <v>21.855867730827036</v>
      </c>
      <c r="P30" s="30">
        <v>33.244668032014324</v>
      </c>
      <c r="Q30" s="30"/>
      <c r="R30" s="30"/>
      <c r="S30" s="30"/>
      <c r="T30" s="30"/>
      <c r="U30" s="30"/>
    </row>
    <row r="31" spans="2:21" ht="15.75" customHeight="1" x14ac:dyDescent="0.2">
      <c r="B31" s="25"/>
      <c r="C31" s="34" t="str">
        <f>+C27</f>
        <v>Prec. Granzas</v>
      </c>
      <c r="D31" s="35">
        <f>+'Bal ML FeT'!J22</f>
        <v>19715.459997000002</v>
      </c>
      <c r="E31" s="36">
        <f>+'Bal ML FeT'!K22</f>
        <v>0.46260921894000001</v>
      </c>
      <c r="F31" s="36">
        <f>+'Bal ML FeMag'!K22</f>
        <v>0.42946199999999995</v>
      </c>
      <c r="G31" s="26"/>
      <c r="H31" s="27">
        <f t="shared" ref="H31:H33" si="2">+D31/$D$11*100</f>
        <v>61.076179927979389</v>
      </c>
      <c r="I31" s="37">
        <f t="shared" ref="I31:I33" si="3">+E31*H31/$E$11</f>
        <v>64.721124166798802</v>
      </c>
      <c r="M31" s="29">
        <v>44692</v>
      </c>
      <c r="N31" s="30">
        <v>46.640092870449045</v>
      </c>
      <c r="O31" s="30">
        <v>22.447490579301839</v>
      </c>
      <c r="P31" s="30">
        <v>30.912416550249088</v>
      </c>
      <c r="Q31" s="30"/>
      <c r="R31" s="30"/>
      <c r="S31" s="30"/>
      <c r="T31" s="30"/>
      <c r="U31" s="30"/>
    </row>
    <row r="32" spans="2:21" ht="15.75" customHeight="1" x14ac:dyDescent="0.2">
      <c r="B32" s="25"/>
      <c r="C32" s="34" t="s">
        <v>70</v>
      </c>
      <c r="D32" s="35">
        <f>+'Bal ML FeT'!J25</f>
        <v>9135.83</v>
      </c>
      <c r="E32" s="36">
        <f>+'Bal ML FeT'!K25</f>
        <v>0.4712818346</v>
      </c>
      <c r="F32" s="36">
        <f>+'Bal ML FeMag'!K25</f>
        <v>0.42921153846999999</v>
      </c>
      <c r="G32" s="26"/>
      <c r="H32" s="27">
        <f t="shared" si="2"/>
        <v>28.301728539751903</v>
      </c>
      <c r="I32" s="37">
        <f t="shared" si="3"/>
        <v>30.552979203936165</v>
      </c>
      <c r="M32" s="29">
        <v>44696</v>
      </c>
      <c r="N32" s="30">
        <v>50.487428837127567</v>
      </c>
      <c r="O32" s="30">
        <v>25.420469946560392</v>
      </c>
      <c r="P32" s="30">
        <v>24.092101216312031</v>
      </c>
      <c r="Q32" s="30"/>
      <c r="R32" s="30"/>
      <c r="S32" s="30"/>
      <c r="T32" s="30"/>
      <c r="U32" s="30"/>
    </row>
    <row r="33" spans="2:24" ht="15.75" customHeight="1" x14ac:dyDescent="0.2">
      <c r="B33" s="25"/>
      <c r="C33" s="34" t="s">
        <v>45</v>
      </c>
      <c r="D33" s="35">
        <f>+'Bal ML FeT'!J28</f>
        <v>3428.8231669000002</v>
      </c>
      <c r="E33" s="36">
        <f>+'Bal ML FeT'!K28</f>
        <v>0.19422908999999999</v>
      </c>
      <c r="F33" s="36">
        <f>+'Bal ML FeMag'!K28</f>
        <v>0.19429290000000002</v>
      </c>
      <c r="G33" s="26"/>
      <c r="H33" s="27">
        <f t="shared" si="2"/>
        <v>10.622091531958917</v>
      </c>
      <c r="I33" s="37">
        <f t="shared" si="3"/>
        <v>4.7258966290862787</v>
      </c>
      <c r="M33" s="29">
        <v>44712</v>
      </c>
      <c r="N33" s="30">
        <v>45.901815259599424</v>
      </c>
      <c r="O33" s="30">
        <v>22.233155757739134</v>
      </c>
      <c r="P33" s="30">
        <v>31.865028982661443</v>
      </c>
      <c r="Q33" s="30">
        <v>20.828047696343617</v>
      </c>
      <c r="R33" s="30">
        <v>19.171440066485598</v>
      </c>
      <c r="S33" s="30">
        <v>28.103542694633916</v>
      </c>
      <c r="T33" s="30">
        <v>31.896969542537022</v>
      </c>
      <c r="U33" s="30"/>
    </row>
    <row r="34" spans="2:24" ht="15.75" customHeight="1" x14ac:dyDescent="0.2">
      <c r="B34" s="25"/>
      <c r="C34" s="196" t="s">
        <v>71</v>
      </c>
      <c r="D34" s="197"/>
      <c r="E34" s="197"/>
      <c r="F34" s="198"/>
      <c r="G34" s="26"/>
      <c r="H34" s="21" t="s">
        <v>72</v>
      </c>
      <c r="I34" s="44" t="s">
        <v>73</v>
      </c>
      <c r="J34" s="45" t="s">
        <v>74</v>
      </c>
      <c r="M34" s="29">
        <v>44725</v>
      </c>
      <c r="N34" s="30">
        <v>56.202944073361074</v>
      </c>
      <c r="O34" s="30">
        <v>24.491211128444316</v>
      </c>
      <c r="P34" s="30">
        <v>19.305844798194578</v>
      </c>
      <c r="Q34" s="30">
        <v>23.202422604974736</v>
      </c>
      <c r="R34" s="30">
        <v>20.104294645468617</v>
      </c>
      <c r="S34" s="30">
        <v>39.286693016779921</v>
      </c>
      <c r="T34" s="30">
        <v>17.406589732776727</v>
      </c>
      <c r="U34" s="30"/>
    </row>
    <row r="35" spans="2:24" ht="15.75" customHeight="1" x14ac:dyDescent="0.2">
      <c r="B35" s="25"/>
      <c r="C35" s="34" t="str">
        <f t="shared" ref="C35:C37" si="4">+C31</f>
        <v>Prec. Granzas</v>
      </c>
      <c r="D35" s="35"/>
      <c r="E35" s="42"/>
      <c r="F35" s="42"/>
      <c r="G35" s="26"/>
      <c r="H35" s="46">
        <f>+D16+D17+D20+D31+D32</f>
        <v>102630.60053700001</v>
      </c>
      <c r="I35" s="47">
        <f>+(D16*E16+D17*E17+D20*E20+D31*E31+D32*E32)/H35*100</f>
        <v>50.604525895664686</v>
      </c>
      <c r="J35" s="48">
        <f>+(D16*F16+D17*F17+D20*F20+D31*F31+D32*F32)/H35*100</f>
        <v>46.89457546197653</v>
      </c>
      <c r="M35" s="29">
        <v>44731</v>
      </c>
      <c r="N35" s="30">
        <v>54.583475517839517</v>
      </c>
      <c r="O35" s="30">
        <v>24.686504836078285</v>
      </c>
      <c r="P35" s="30">
        <v>20.730019646082219</v>
      </c>
      <c r="Q35" s="30">
        <v>28.95605755460387</v>
      </c>
      <c r="R35" s="30">
        <v>21.04173421720925</v>
      </c>
      <c r="S35" s="30">
        <v>29.119544357890508</v>
      </c>
      <c r="T35" s="30">
        <v>20.882663870296327</v>
      </c>
      <c r="U35" s="30"/>
    </row>
    <row r="36" spans="2:24" ht="15.75" customHeight="1" x14ac:dyDescent="0.2">
      <c r="B36" s="25"/>
      <c r="C36" s="34" t="str">
        <f t="shared" si="4"/>
        <v>Pre. Finos</v>
      </c>
      <c r="D36" s="35"/>
      <c r="E36" s="42"/>
      <c r="F36" s="42"/>
      <c r="G36" s="26"/>
      <c r="H36" s="49" t="s">
        <v>75</v>
      </c>
      <c r="I36" s="44" t="s">
        <v>73</v>
      </c>
      <c r="J36" s="45" t="s">
        <v>74</v>
      </c>
      <c r="M36" s="29">
        <v>44742</v>
      </c>
      <c r="N36" s="30">
        <v>47.863399193392517</v>
      </c>
      <c r="O36" s="30">
        <v>23.581032690000239</v>
      </c>
      <c r="P36" s="30">
        <v>28.555568116607251</v>
      </c>
      <c r="Q36" s="30">
        <v>31.81119552601232</v>
      </c>
      <c r="R36" s="30">
        <v>21.278001336779703</v>
      </c>
      <c r="S36" s="30">
        <v>23.994582043443607</v>
      </c>
      <c r="T36" s="30">
        <v>22.916221093765852</v>
      </c>
      <c r="W36" s="27" t="s">
        <v>42</v>
      </c>
      <c r="X36" s="27" t="s">
        <v>76</v>
      </c>
    </row>
    <row r="37" spans="2:24" ht="15.75" customHeight="1" x14ac:dyDescent="0.2">
      <c r="B37" s="25"/>
      <c r="C37" s="34" t="str">
        <f t="shared" si="4"/>
        <v>Rechazo</v>
      </c>
      <c r="D37" s="35"/>
      <c r="E37" s="42"/>
      <c r="F37" s="42"/>
      <c r="G37" s="26"/>
      <c r="H37" s="46">
        <f>+D19+D33</f>
        <v>7658.5477331000002</v>
      </c>
      <c r="I37" s="50">
        <f>(D19*E19+D33*E33)/H37</f>
        <v>0.2851235361937004</v>
      </c>
      <c r="J37" s="51">
        <f>+(D19*F19+D33*F33)/H37</f>
        <v>0.26487898956651651</v>
      </c>
      <c r="M37" s="29">
        <v>44753</v>
      </c>
      <c r="N37" s="52">
        <v>48.823627076342021</v>
      </c>
      <c r="O37" s="52">
        <v>23.802861417600223</v>
      </c>
      <c r="P37" s="52">
        <v>27.373511506057756</v>
      </c>
      <c r="W37" s="29">
        <v>44725</v>
      </c>
      <c r="X37" s="30">
        <v>23.202422604974736</v>
      </c>
    </row>
    <row r="38" spans="2:24" ht="7.5" customHeight="1" x14ac:dyDescent="0.2">
      <c r="B38" s="25"/>
      <c r="C38" s="38"/>
      <c r="D38" s="39"/>
      <c r="E38" s="40"/>
      <c r="F38" s="40"/>
      <c r="G38" s="26"/>
      <c r="W38" s="29">
        <v>44731</v>
      </c>
      <c r="X38" s="30">
        <v>28.95605755460387</v>
      </c>
    </row>
    <row r="39" spans="2:24" ht="15.75" customHeight="1" x14ac:dyDescent="0.2">
      <c r="B39" s="25"/>
      <c r="C39" s="199" t="s">
        <v>77</v>
      </c>
      <c r="D39" s="197"/>
      <c r="E39" s="197"/>
      <c r="F39" s="198"/>
      <c r="G39" s="26"/>
      <c r="H39" s="37"/>
      <c r="M39" s="29">
        <v>44755</v>
      </c>
      <c r="N39" s="52"/>
      <c r="O39" s="52"/>
      <c r="P39" s="52"/>
      <c r="Q39" s="52">
        <v>33.090909090909086</v>
      </c>
      <c r="R39" s="52">
        <v>25.892045454545453</v>
      </c>
      <c r="S39" s="52">
        <v>18.171681028372376</v>
      </c>
      <c r="T39" s="52">
        <v>22.84536442617307</v>
      </c>
      <c r="W39" s="29">
        <v>44742</v>
      </c>
      <c r="X39" s="30">
        <v>31.81119552601232</v>
      </c>
    </row>
    <row r="40" spans="2:24" ht="15.75" customHeight="1" x14ac:dyDescent="0.2">
      <c r="B40" s="25"/>
      <c r="C40" s="34" t="s">
        <v>78</v>
      </c>
      <c r="D40" s="35">
        <f>+'Bal ML FeT'!J24</f>
        <v>19779.46</v>
      </c>
      <c r="E40" s="36">
        <f>+'Bal ML FeT'!K22</f>
        <v>0.46260921894000001</v>
      </c>
      <c r="F40" s="36">
        <f>+'Bal ML FeMag'!K24</f>
        <v>0.42947608924999997</v>
      </c>
      <c r="G40" s="26"/>
      <c r="H40" s="37"/>
      <c r="M40" s="29">
        <v>44773</v>
      </c>
      <c r="N40" s="52">
        <v>62.561747486232697</v>
      </c>
      <c r="O40" s="52">
        <v>25.462690705596358</v>
      </c>
      <c r="P40" s="52">
        <v>11.975561808170958</v>
      </c>
      <c r="Q40" s="52">
        <v>29.311530250289223</v>
      </c>
      <c r="R40" s="52">
        <v>21.753158379361658</v>
      </c>
      <c r="S40" s="52">
        <v>31.001434641248675</v>
      </c>
      <c r="T40" s="52">
        <v>17.933876729127149</v>
      </c>
      <c r="W40" s="29">
        <v>44755</v>
      </c>
      <c r="X40" s="27">
        <v>33.090909090909086</v>
      </c>
    </row>
    <row r="41" spans="2:24" ht="15.75" customHeight="1" x14ac:dyDescent="0.2">
      <c r="B41" s="25"/>
      <c r="C41" s="34" t="s">
        <v>79</v>
      </c>
      <c r="D41" s="35">
        <f>+'Bal ML FeT'!J27</f>
        <v>7855.43</v>
      </c>
      <c r="E41" s="36">
        <f>+'Bal ML FeT'!K25</f>
        <v>0.4712818346</v>
      </c>
      <c r="F41" s="36">
        <f>+'Bal ML FeMag'!K27</f>
        <v>0.42893399011</v>
      </c>
      <c r="G41" s="26"/>
      <c r="J41" s="37"/>
      <c r="K41" s="37"/>
      <c r="M41" s="29">
        <v>44781</v>
      </c>
      <c r="N41" s="52">
        <v>58.241579747493567</v>
      </c>
      <c r="O41" s="52">
        <v>22.013043380088575</v>
      </c>
      <c r="P41" s="52">
        <v>19.745376872417875</v>
      </c>
      <c r="Q41" s="52"/>
      <c r="R41" s="52"/>
      <c r="S41" s="52"/>
      <c r="T41" s="52"/>
      <c r="W41" s="29">
        <v>44773</v>
      </c>
      <c r="X41" s="27">
        <v>29.311530250289223</v>
      </c>
    </row>
    <row r="42" spans="2:24" ht="15.75" customHeight="1" x14ac:dyDescent="0.2">
      <c r="B42" s="25"/>
      <c r="C42" s="34" t="s">
        <v>80</v>
      </c>
      <c r="D42" s="35">
        <f>+'Bal AL FeT'!J42</f>
        <v>26876.47</v>
      </c>
      <c r="E42" s="36">
        <f>+'Bal AL FeMag'!K42</f>
        <v>0.35719999999999996</v>
      </c>
      <c r="F42" s="36">
        <f>+'Bal AL FeMag'!K42</f>
        <v>0.35719999999999996</v>
      </c>
      <c r="G42" s="26"/>
      <c r="H42" s="37"/>
      <c r="J42" s="37"/>
      <c r="K42" s="37"/>
      <c r="M42" s="29">
        <v>44789</v>
      </c>
      <c r="N42" s="52">
        <v>56.753881655541797</v>
      </c>
      <c r="O42" s="52">
        <v>23.689882919758013</v>
      </c>
      <c r="P42" s="52">
        <v>19.556235424700194</v>
      </c>
      <c r="Q42" s="52">
        <v>36.897265505739803</v>
      </c>
      <c r="R42" s="52">
        <v>22.699249753099583</v>
      </c>
      <c r="S42" s="52">
        <v>13.15723401017976</v>
      </c>
      <c r="T42" s="52">
        <v>27.24625073098148</v>
      </c>
      <c r="W42" s="29">
        <v>44789</v>
      </c>
      <c r="X42" s="27">
        <v>36.897265505739803</v>
      </c>
    </row>
    <row r="43" spans="2:24" ht="15.75" hidden="1" customHeight="1" x14ac:dyDescent="0.2">
      <c r="B43" s="25"/>
      <c r="C43" s="34" t="s">
        <v>81</v>
      </c>
      <c r="D43" s="35"/>
      <c r="E43" s="36"/>
      <c r="F43" s="36"/>
      <c r="G43" s="26"/>
      <c r="J43" s="37"/>
      <c r="N43" s="52"/>
      <c r="O43" s="52"/>
      <c r="P43" s="52"/>
      <c r="Q43" s="52"/>
      <c r="R43" s="52"/>
      <c r="S43" s="52"/>
      <c r="T43" s="52"/>
    </row>
    <row r="44" spans="2:24" ht="15.75" customHeight="1" x14ac:dyDescent="0.2">
      <c r="B44" s="25"/>
      <c r="C44" s="34" t="s">
        <v>82</v>
      </c>
      <c r="D44" s="35">
        <f>+'Bal AL FeT'!J32</f>
        <v>20879.29</v>
      </c>
      <c r="E44" s="36">
        <f>+'Bal AL FeT'!K32</f>
        <v>0.60716147348000005</v>
      </c>
      <c r="F44" s="36">
        <f>+'Bal AL FeMag'!K32</f>
        <v>0.59650525031000001</v>
      </c>
      <c r="G44" s="26"/>
      <c r="H44" s="53">
        <f t="shared" ref="H44:H45" si="5">+D16-D44</f>
        <v>2856.5269569999982</v>
      </c>
      <c r="M44" s="29">
        <v>44795</v>
      </c>
      <c r="N44" s="52"/>
      <c r="O44" s="52"/>
      <c r="P44" s="52"/>
      <c r="Q44" s="52">
        <v>32.239297525750516</v>
      </c>
      <c r="R44" s="52">
        <v>21.597812987342195</v>
      </c>
      <c r="S44" s="52">
        <v>13.703436539043839</v>
      </c>
      <c r="T44" s="52">
        <v>32.459452947864442</v>
      </c>
    </row>
    <row r="45" spans="2:24" ht="15.75" customHeight="1" x14ac:dyDescent="0.2">
      <c r="B45" s="25"/>
      <c r="C45" s="34" t="s">
        <v>83</v>
      </c>
      <c r="D45" s="35">
        <f>+'Bal AL FeT'!J36</f>
        <v>16230.67</v>
      </c>
      <c r="E45" s="36">
        <f>+'Bal AL FeT'!K36</f>
        <v>0.60829337602</v>
      </c>
      <c r="F45" s="36">
        <f>+'Bal AL FeMag'!K36</f>
        <v>0.58916733340000005</v>
      </c>
      <c r="G45" s="26"/>
      <c r="H45" s="53">
        <f t="shared" si="5"/>
        <v>252.02359999999862</v>
      </c>
      <c r="M45" s="29">
        <v>44804</v>
      </c>
      <c r="N45" s="52">
        <v>52.056233099948081</v>
      </c>
      <c r="O45" s="52">
        <v>21.506125485549973</v>
      </c>
      <c r="P45" s="52">
        <v>26.437641414501933</v>
      </c>
      <c r="Q45" s="52">
        <v>30.795335284818577</v>
      </c>
      <c r="R45" s="52">
        <v>20.351867137406852</v>
      </c>
      <c r="S45" s="52">
        <v>19.4051274711689</v>
      </c>
      <c r="T45" s="52">
        <v>29.447670106606289</v>
      </c>
    </row>
    <row r="46" spans="2:24" ht="6" customHeight="1" x14ac:dyDescent="0.2">
      <c r="B46" s="25"/>
      <c r="C46" s="38"/>
      <c r="D46" s="39"/>
      <c r="E46" s="54"/>
      <c r="F46" s="40"/>
      <c r="G46" s="26"/>
      <c r="N46" s="52"/>
      <c r="O46" s="52"/>
      <c r="P46" s="52"/>
      <c r="Q46" s="52"/>
      <c r="R46" s="52"/>
      <c r="S46" s="52"/>
      <c r="T46" s="52"/>
    </row>
    <row r="47" spans="2:24" ht="15.75" customHeight="1" x14ac:dyDescent="0.2">
      <c r="B47" s="25"/>
      <c r="C47" s="199" t="s">
        <v>84</v>
      </c>
      <c r="D47" s="197"/>
      <c r="E47" s="197"/>
      <c r="F47" s="198"/>
      <c r="G47" s="26"/>
      <c r="M47" s="29">
        <v>44810</v>
      </c>
      <c r="N47" s="52">
        <v>46.380945200220367</v>
      </c>
      <c r="O47" s="52">
        <v>23.886311709324655</v>
      </c>
      <c r="P47" s="52">
        <v>29.732743090454957</v>
      </c>
      <c r="Q47" s="52"/>
      <c r="R47" s="52"/>
      <c r="S47" s="52"/>
      <c r="T47" s="52"/>
    </row>
    <row r="48" spans="2:24" ht="15.75" customHeight="1" x14ac:dyDescent="0.2">
      <c r="B48" s="25"/>
      <c r="C48" s="34" t="s">
        <v>85</v>
      </c>
      <c r="D48" s="35">
        <f>'Datos Extra'!B1</f>
        <v>0</v>
      </c>
      <c r="E48" s="36">
        <f>'Datos Extra'!C1</f>
        <v>0</v>
      </c>
      <c r="F48" s="36">
        <f>'Datos Extra'!D1</f>
        <v>0</v>
      </c>
      <c r="G48" s="26"/>
      <c r="H48" s="37"/>
      <c r="M48" s="29">
        <v>44823</v>
      </c>
      <c r="N48" s="52">
        <v>48.980428141243905</v>
      </c>
      <c r="O48" s="52">
        <v>26.328297139623551</v>
      </c>
      <c r="P48" s="52">
        <v>24.691274719132572</v>
      </c>
      <c r="Q48" s="52"/>
      <c r="R48" s="52"/>
      <c r="S48" s="52"/>
      <c r="T48" s="52"/>
    </row>
    <row r="49" spans="2:20" ht="15.75" customHeight="1" x14ac:dyDescent="0.2">
      <c r="B49" s="25"/>
      <c r="C49" s="34" t="s">
        <v>86</v>
      </c>
      <c r="D49" s="35">
        <f>'Datos Extra'!B2</f>
        <v>35808.82</v>
      </c>
      <c r="E49" s="36">
        <f>'Datos Extra'!C2</f>
        <v>0.43715787190254973</v>
      </c>
      <c r="F49" s="36">
        <f>'Datos Extra'!D2</f>
        <v>0.37625654376818263</v>
      </c>
      <c r="G49" s="26"/>
      <c r="M49" s="29">
        <v>44829</v>
      </c>
      <c r="N49" s="52">
        <v>48.724888884392726</v>
      </c>
      <c r="O49" s="52">
        <v>26.312031384906486</v>
      </c>
      <c r="P49" s="52">
        <v>24.963079730700787</v>
      </c>
      <c r="Q49" s="52">
        <v>30.335485825220704</v>
      </c>
      <c r="R49" s="52">
        <v>20.915121984478585</v>
      </c>
      <c r="S49" s="52">
        <v>20.009096731631807</v>
      </c>
      <c r="T49" s="52">
        <v>28.740295458668442</v>
      </c>
    </row>
    <row r="50" spans="2:20" ht="15.75" customHeight="1" x14ac:dyDescent="0.2">
      <c r="B50" s="25"/>
      <c r="D50" s="55"/>
      <c r="E50" s="56"/>
      <c r="F50" s="56"/>
      <c r="G50" s="26"/>
      <c r="M50" s="29">
        <v>44834</v>
      </c>
      <c r="N50" s="52">
        <v>48.765604052665623</v>
      </c>
      <c r="O50" s="52">
        <v>24.372185256327871</v>
      </c>
      <c r="P50" s="52">
        <v>26.862210691006499</v>
      </c>
      <c r="Q50" s="52">
        <v>27.254216363694994</v>
      </c>
      <c r="R50" s="52">
        <v>22.992879622148887</v>
      </c>
      <c r="S50" s="52">
        <v>11.813463046976659</v>
      </c>
      <c r="T50" s="52">
        <v>37.939440967180204</v>
      </c>
    </row>
    <row r="51" spans="2:20" ht="15.75" customHeight="1" x14ac:dyDescent="0.2">
      <c r="B51" s="25"/>
      <c r="C51" s="200" t="s">
        <v>87</v>
      </c>
      <c r="D51" s="201"/>
      <c r="E51" s="201"/>
      <c r="F51" s="202"/>
      <c r="G51" s="26"/>
      <c r="M51" s="29">
        <v>44846</v>
      </c>
      <c r="N51" s="52">
        <v>57.413628230462834</v>
      </c>
      <c r="O51" s="52">
        <v>20.735217744194188</v>
      </c>
      <c r="P51" s="52">
        <v>21.851154025342982</v>
      </c>
      <c r="Q51" s="52">
        <v>41.815922440231375</v>
      </c>
      <c r="R51" s="52">
        <v>24.429551609113346</v>
      </c>
      <c r="S51" s="52">
        <v>3.6936490621524811</v>
      </c>
      <c r="T51" s="27">
        <v>30.060876888527389</v>
      </c>
    </row>
    <row r="52" spans="2:20" ht="15" customHeight="1" x14ac:dyDescent="0.2">
      <c r="B52" s="25"/>
      <c r="C52" s="203" t="s">
        <v>88</v>
      </c>
      <c r="D52" s="204"/>
      <c r="E52" s="204"/>
      <c r="F52" s="205"/>
      <c r="G52" s="26"/>
      <c r="M52" s="29">
        <v>44851</v>
      </c>
      <c r="N52" s="52">
        <v>54.667164328291996</v>
      </c>
      <c r="O52" s="52">
        <v>21.989040320303811</v>
      </c>
      <c r="P52" s="52">
        <v>23.343795351404218</v>
      </c>
    </row>
    <row r="53" spans="2:20" ht="15.75" customHeight="1" x14ac:dyDescent="0.2">
      <c r="B53" s="25"/>
      <c r="C53" s="57"/>
      <c r="D53" s="20"/>
      <c r="E53" s="20"/>
      <c r="F53" s="58"/>
      <c r="G53" s="26"/>
      <c r="I53" s="194"/>
      <c r="J53" s="195"/>
      <c r="M53" s="29">
        <v>44860</v>
      </c>
      <c r="Q53" s="52">
        <v>35.5980166619538</v>
      </c>
      <c r="R53" s="52">
        <v>23.560473996263315</v>
      </c>
      <c r="S53" s="52">
        <v>5.0254420131225688</v>
      </c>
      <c r="T53" s="52">
        <v>35.816067328606785</v>
      </c>
    </row>
    <row r="54" spans="2:20" ht="15.75" customHeight="1" x14ac:dyDescent="0.2">
      <c r="B54" s="25"/>
      <c r="C54" s="60" t="s">
        <v>89</v>
      </c>
      <c r="D54" s="61" t="s">
        <v>61</v>
      </c>
      <c r="E54" s="61" t="s">
        <v>62</v>
      </c>
      <c r="F54" s="58"/>
      <c r="G54" s="26"/>
      <c r="I54" s="194"/>
      <c r="J54" s="195"/>
      <c r="M54" s="29">
        <v>44865</v>
      </c>
    </row>
    <row r="55" spans="2:20" ht="15.75" customHeight="1" x14ac:dyDescent="0.2">
      <c r="B55" s="25"/>
      <c r="C55" s="62" t="str">
        <f t="shared" ref="C55:C56" si="6">+C16</f>
        <v>Granzas</v>
      </c>
      <c r="D55" s="63">
        <f t="shared" ref="D55:E55" si="7">IFERROR(H16, 0)</f>
        <v>30.427010056908628</v>
      </c>
      <c r="E55" s="63">
        <f t="shared" si="7"/>
        <v>36.018455411444613</v>
      </c>
      <c r="F55" s="58"/>
      <c r="G55" s="26"/>
      <c r="I55" s="59"/>
      <c r="J55" s="59"/>
    </row>
    <row r="56" spans="2:20" ht="15.75" customHeight="1" x14ac:dyDescent="0.2">
      <c r="B56" s="25"/>
      <c r="C56" s="62" t="str">
        <f t="shared" si="6"/>
        <v>Finos</v>
      </c>
      <c r="D56" s="63">
        <f t="shared" ref="D56:E56" si="8">IFERROR(H17, 0)</f>
        <v>21.129210965887523</v>
      </c>
      <c r="E56" s="63">
        <f t="shared" si="8"/>
        <v>25.043931199861724</v>
      </c>
      <c r="F56" s="58"/>
      <c r="G56" s="26"/>
      <c r="I56" s="59"/>
      <c r="J56" s="59"/>
    </row>
    <row r="57" spans="2:20" ht="15.75" customHeight="1" x14ac:dyDescent="0.2">
      <c r="B57" s="25"/>
      <c r="C57" s="62" t="str">
        <f t="shared" ref="C57:C58" si="9">+C19</f>
        <v>Prec Mixto 1</v>
      </c>
      <c r="D57" s="63">
        <f t="shared" ref="D57:E57" si="10">IFERROR(H19, 0)</f>
        <v>5.4220957360292674</v>
      </c>
      <c r="E57" s="63">
        <f t="shared" si="10"/>
        <v>3.791551715955777</v>
      </c>
      <c r="F57" s="58"/>
      <c r="G57" s="26"/>
      <c r="I57" s="59"/>
      <c r="J57" s="59"/>
    </row>
    <row r="58" spans="2:20" ht="15.75" customHeight="1" x14ac:dyDescent="0.2">
      <c r="B58" s="25"/>
      <c r="C58" s="62" t="str">
        <f t="shared" si="9"/>
        <v>Prec Mixto 2</v>
      </c>
      <c r="D58" s="63">
        <f t="shared" ref="D58:E58" si="11">IFERROR(H20, 0)</f>
        <v>43.021683241430964</v>
      </c>
      <c r="E58" s="63">
        <f t="shared" si="11"/>
        <v>35.146061457999537</v>
      </c>
      <c r="F58" s="58"/>
      <c r="G58" s="26"/>
      <c r="I58" s="59"/>
      <c r="J58" s="59"/>
    </row>
    <row r="59" spans="2:20" ht="15.75" customHeight="1" x14ac:dyDescent="0.2">
      <c r="B59" s="25"/>
      <c r="C59" s="62" t="str">
        <f t="shared" ref="C59:C61" si="12">+C31</f>
        <v>Prec. Granzas</v>
      </c>
      <c r="D59" s="63">
        <f t="shared" ref="D59:E59" si="13">+H31</f>
        <v>61.076179927979389</v>
      </c>
      <c r="E59" s="63">
        <f t="shared" si="13"/>
        <v>64.721124166798802</v>
      </c>
      <c r="F59" s="58"/>
      <c r="G59" s="26"/>
      <c r="I59" s="59"/>
      <c r="J59" s="59"/>
      <c r="O59" s="61" t="s">
        <v>90</v>
      </c>
      <c r="P59" s="61" t="s">
        <v>91</v>
      </c>
      <c r="Q59" s="61" t="s">
        <v>92</v>
      </c>
    </row>
    <row r="60" spans="2:20" ht="15.75" customHeight="1" x14ac:dyDescent="0.2">
      <c r="B60" s="25"/>
      <c r="C60" s="62" t="str">
        <f t="shared" si="12"/>
        <v>Pre. Finos</v>
      </c>
      <c r="D60" s="63">
        <f t="shared" ref="D60:E60" si="14">+H32</f>
        <v>28.301728539751903</v>
      </c>
      <c r="E60" s="63">
        <f t="shared" si="14"/>
        <v>30.552979203936165</v>
      </c>
      <c r="F60" s="58"/>
      <c r="G60" s="26"/>
      <c r="I60" s="59"/>
      <c r="J60" s="59"/>
      <c r="O60" s="64" t="s">
        <v>46</v>
      </c>
      <c r="P60" s="64">
        <v>25.3</v>
      </c>
      <c r="Q60" s="64">
        <v>30</v>
      </c>
    </row>
    <row r="61" spans="2:20" ht="15.75" customHeight="1" x14ac:dyDescent="0.2">
      <c r="B61" s="25"/>
      <c r="C61" s="62" t="str">
        <f t="shared" si="12"/>
        <v>Rechazo</v>
      </c>
      <c r="D61" s="63">
        <f t="shared" ref="D61:E61" si="15">+H33</f>
        <v>10.622091531958917</v>
      </c>
      <c r="E61" s="63">
        <f t="shared" si="15"/>
        <v>4.7258966290862787</v>
      </c>
      <c r="F61" s="58"/>
      <c r="G61" s="26"/>
      <c r="I61" s="59"/>
      <c r="J61" s="59"/>
      <c r="O61" s="64" t="s">
        <v>47</v>
      </c>
      <c r="P61" s="64">
        <v>23.1</v>
      </c>
      <c r="Q61" s="64">
        <v>23</v>
      </c>
    </row>
    <row r="62" spans="2:20" ht="15.75" customHeight="1" x14ac:dyDescent="0.2">
      <c r="B62" s="25"/>
      <c r="C62" s="57"/>
      <c r="D62" s="20"/>
      <c r="E62" s="20"/>
      <c r="F62" s="58"/>
      <c r="G62" s="26"/>
      <c r="I62" s="59"/>
      <c r="J62" s="59"/>
      <c r="O62" s="64" t="s">
        <v>48</v>
      </c>
      <c r="P62" s="64">
        <v>14.2</v>
      </c>
      <c r="Q62" s="64">
        <f>100-Q60-Q61-Q63</f>
        <v>18</v>
      </c>
    </row>
    <row r="63" spans="2:20" ht="30.75" customHeight="1" x14ac:dyDescent="0.2">
      <c r="B63" s="25"/>
      <c r="C63" s="206" t="s">
        <v>93</v>
      </c>
      <c r="D63" s="195"/>
      <c r="E63" s="195"/>
      <c r="F63" s="207"/>
      <c r="G63" s="26"/>
      <c r="I63" s="59"/>
      <c r="J63" s="59"/>
      <c r="O63" s="64" t="s">
        <v>49</v>
      </c>
      <c r="P63" s="64">
        <v>37.4</v>
      </c>
      <c r="Q63" s="64">
        <v>29</v>
      </c>
    </row>
    <row r="64" spans="2:20" ht="45" customHeight="1" x14ac:dyDescent="0.2">
      <c r="B64" s="25"/>
      <c r="C64" s="208"/>
      <c r="D64" s="209"/>
      <c r="E64" s="209"/>
      <c r="F64" s="210"/>
      <c r="G64" s="26"/>
      <c r="I64" s="194"/>
      <c r="J64" s="195"/>
    </row>
    <row r="65" spans="2:9" ht="15.75" customHeight="1" x14ac:dyDescent="0.2">
      <c r="B65" s="25"/>
      <c r="D65" s="20"/>
      <c r="E65" s="20"/>
      <c r="F65" s="20"/>
      <c r="G65" s="26"/>
    </row>
    <row r="66" spans="2:9" ht="15.75" customHeight="1" x14ac:dyDescent="0.2">
      <c r="B66" s="65"/>
      <c r="C66" s="47"/>
      <c r="D66" s="66"/>
      <c r="E66" s="66"/>
      <c r="F66" s="66"/>
      <c r="G66" s="48"/>
    </row>
    <row r="67" spans="2:9" ht="15.75" customHeight="1" x14ac:dyDescent="0.2">
      <c r="D67" s="20"/>
      <c r="E67" s="20"/>
      <c r="F67" s="20"/>
    </row>
    <row r="68" spans="2:9" ht="15.75" customHeight="1" x14ac:dyDescent="0.2">
      <c r="C68" s="27" t="s">
        <v>94</v>
      </c>
      <c r="D68" s="20">
        <v>47087</v>
      </c>
      <c r="E68" s="20">
        <v>20539</v>
      </c>
      <c r="F68" s="20"/>
    </row>
    <row r="69" spans="2:9" ht="15.75" customHeight="1" x14ac:dyDescent="0.2">
      <c r="C69" s="27" t="s">
        <v>95</v>
      </c>
      <c r="D69" s="20">
        <v>74332</v>
      </c>
      <c r="E69" s="20">
        <v>57215</v>
      </c>
      <c r="F69" s="20">
        <v>59695</v>
      </c>
      <c r="G69" s="20">
        <v>118094</v>
      </c>
      <c r="H69" s="20">
        <v>21736</v>
      </c>
      <c r="I69" s="20">
        <v>38418</v>
      </c>
    </row>
    <row r="70" spans="2:9" ht="15.75" customHeight="1" x14ac:dyDescent="0.2">
      <c r="C70" s="27" t="s">
        <v>96</v>
      </c>
      <c r="D70" s="20" t="s">
        <v>97</v>
      </c>
      <c r="E70" s="20" t="s">
        <v>98</v>
      </c>
      <c r="F70" s="67">
        <v>44880</v>
      </c>
      <c r="G70" s="68">
        <v>44895</v>
      </c>
      <c r="H70" s="68">
        <v>44910</v>
      </c>
      <c r="I70" s="68">
        <v>44925</v>
      </c>
    </row>
    <row r="71" spans="2:9" ht="15.75" customHeight="1" x14ac:dyDescent="0.2">
      <c r="C71" s="27" t="s">
        <v>99</v>
      </c>
      <c r="D71" s="30">
        <f>12859/D68*100</f>
        <v>27.309023722046426</v>
      </c>
      <c r="E71" s="30">
        <f>5640/E68*100</f>
        <v>27.459954233409611</v>
      </c>
      <c r="F71" s="30"/>
      <c r="G71" s="30"/>
      <c r="H71" s="30"/>
    </row>
    <row r="72" spans="2:9" ht="15.75" customHeight="1" x14ac:dyDescent="0.2">
      <c r="C72" s="27" t="s">
        <v>100</v>
      </c>
      <c r="D72" s="30">
        <f>11814/D68*100</f>
        <v>25.089727525644022</v>
      </c>
      <c r="E72" s="30">
        <f>3967/E68*100</f>
        <v>19.314474901407081</v>
      </c>
      <c r="F72" s="30"/>
      <c r="G72" s="30"/>
      <c r="H72" s="30"/>
    </row>
    <row r="73" spans="2:9" ht="15.75" customHeight="1" x14ac:dyDescent="0.2">
      <c r="C73" s="27" t="s">
        <v>101</v>
      </c>
      <c r="D73" s="30">
        <f>6355/D68*100</f>
        <v>13.496294093911271</v>
      </c>
      <c r="E73" s="30">
        <f>(2509)/E68*100</f>
        <v>12.215784604897999</v>
      </c>
      <c r="F73" s="30"/>
      <c r="G73" s="30"/>
      <c r="H73" s="30"/>
    </row>
    <row r="74" spans="2:9" ht="15.75" customHeight="1" x14ac:dyDescent="0.2">
      <c r="C74" s="27" t="s">
        <v>102</v>
      </c>
      <c r="D74" s="30">
        <f>16059/D68*100</f>
        <v>34.104954658398285</v>
      </c>
      <c r="E74" s="30">
        <f>8422/E68*100</f>
        <v>41.004917474073714</v>
      </c>
      <c r="F74" s="30"/>
      <c r="G74" s="30"/>
      <c r="H74" s="30"/>
    </row>
    <row r="75" spans="2:9" ht="15.75" customHeight="1" x14ac:dyDescent="0.2">
      <c r="C75" s="27" t="s">
        <v>103</v>
      </c>
      <c r="D75" s="30">
        <f>34786/D69*100</f>
        <v>46.798148845719204</v>
      </c>
      <c r="E75" s="30">
        <f>+(7598+14018+984)/E69*100</f>
        <v>39.50013108450581</v>
      </c>
      <c r="F75" s="30">
        <f>24307/F69*100</f>
        <v>40.718653153530447</v>
      </c>
      <c r="G75" s="30">
        <v>41.73</v>
      </c>
      <c r="H75" s="30">
        <v>49.6</v>
      </c>
      <c r="I75" s="27">
        <v>36</v>
      </c>
    </row>
    <row r="76" spans="2:9" ht="15.75" customHeight="1" x14ac:dyDescent="0.2">
      <c r="C76" s="27" t="s">
        <v>104</v>
      </c>
      <c r="D76" s="30">
        <f>13243/D69*100</f>
        <v>17.816014637033849</v>
      </c>
      <c r="E76" s="30">
        <f>+(8088+2573+2431)/E69*100</f>
        <v>22.882111334440268</v>
      </c>
      <c r="F76" s="30">
        <f>12514/F69*100</f>
        <v>20.963229751235446</v>
      </c>
      <c r="G76" s="30">
        <v>19.88</v>
      </c>
      <c r="H76" s="30">
        <v>24.4</v>
      </c>
      <c r="I76" s="27">
        <v>23.1</v>
      </c>
    </row>
    <row r="77" spans="2:9" ht="15.75" customHeight="1" x14ac:dyDescent="0.2">
      <c r="C77" s="27" t="s">
        <v>105</v>
      </c>
      <c r="D77" s="30">
        <f>26302/D69*100</f>
        <v>35.384491201635903</v>
      </c>
      <c r="E77" s="30">
        <f>+(5683+10477+5362)/E69*100</f>
        <v>37.616009787643101</v>
      </c>
      <c r="F77" s="30">
        <f>22874/F69*100</f>
        <v>38.318117095234108</v>
      </c>
      <c r="G77" s="30">
        <v>38.39</v>
      </c>
      <c r="H77" s="30">
        <v>26</v>
      </c>
      <c r="I77" s="27">
        <v>40.799999999999997</v>
      </c>
    </row>
    <row r="78" spans="2:9" ht="15.75" customHeight="1" x14ac:dyDescent="0.2">
      <c r="D78" s="20"/>
      <c r="E78" s="20"/>
      <c r="F78" s="20"/>
    </row>
    <row r="79" spans="2:9" ht="15.75" customHeight="1" x14ac:dyDescent="0.2">
      <c r="D79" s="20"/>
      <c r="E79" s="20"/>
      <c r="F79" s="20"/>
    </row>
    <row r="80" spans="2:9" ht="15.75" customHeight="1" x14ac:dyDescent="0.2">
      <c r="D80" s="20"/>
      <c r="E80" s="20"/>
      <c r="F80" s="20"/>
    </row>
    <row r="81" spans="4:6" ht="15.75" customHeight="1" x14ac:dyDescent="0.2">
      <c r="D81" s="20"/>
      <c r="E81" s="20"/>
      <c r="F81" s="20"/>
    </row>
    <row r="82" spans="4:6" ht="15.75" customHeight="1" x14ac:dyDescent="0.2">
      <c r="D82" s="20"/>
      <c r="E82" s="20"/>
      <c r="F82" s="20"/>
    </row>
    <row r="83" spans="4:6" ht="15.75" customHeight="1" x14ac:dyDescent="0.2">
      <c r="D83" s="20"/>
      <c r="E83" s="20"/>
      <c r="F83" s="20"/>
    </row>
    <row r="84" spans="4:6" ht="15.75" customHeight="1" x14ac:dyDescent="0.2">
      <c r="D84" s="20"/>
      <c r="E84" s="20"/>
      <c r="F84" s="20"/>
    </row>
    <row r="85" spans="4:6" ht="15.75" customHeight="1" x14ac:dyDescent="0.2">
      <c r="D85" s="20"/>
      <c r="E85" s="20"/>
      <c r="F85" s="20"/>
    </row>
    <row r="86" spans="4:6" ht="15.75" customHeight="1" x14ac:dyDescent="0.2">
      <c r="D86" s="20"/>
      <c r="E86" s="20"/>
      <c r="F86" s="20"/>
    </row>
    <row r="87" spans="4:6" ht="15.75" customHeight="1" x14ac:dyDescent="0.2">
      <c r="D87" s="20"/>
      <c r="E87" s="20"/>
      <c r="F87" s="20"/>
    </row>
    <row r="88" spans="4:6" ht="15.75" customHeight="1" x14ac:dyDescent="0.2">
      <c r="D88" s="20"/>
      <c r="E88" s="20"/>
      <c r="F88" s="20"/>
    </row>
    <row r="89" spans="4:6" ht="15.75" customHeight="1" x14ac:dyDescent="0.2">
      <c r="D89" s="20"/>
      <c r="E89" s="20"/>
      <c r="F89" s="20"/>
    </row>
    <row r="90" spans="4:6" ht="15.75" customHeight="1" x14ac:dyDescent="0.2">
      <c r="D90" s="20"/>
      <c r="E90" s="20"/>
      <c r="F90" s="20"/>
    </row>
    <row r="91" spans="4:6" ht="15.75" customHeight="1" x14ac:dyDescent="0.2">
      <c r="D91" s="20"/>
      <c r="E91" s="20"/>
      <c r="F91" s="20"/>
    </row>
    <row r="92" spans="4:6" ht="15.75" customHeight="1" x14ac:dyDescent="0.2">
      <c r="D92" s="20"/>
      <c r="E92" s="20"/>
      <c r="F92" s="20"/>
    </row>
    <row r="93" spans="4:6" ht="15.75" customHeight="1" x14ac:dyDescent="0.2">
      <c r="D93" s="20"/>
      <c r="E93" s="20"/>
      <c r="F93" s="20"/>
    </row>
    <row r="94" spans="4:6" ht="15.75" customHeight="1" x14ac:dyDescent="0.2">
      <c r="D94" s="20"/>
      <c r="E94" s="20"/>
      <c r="F94" s="20"/>
    </row>
    <row r="95" spans="4:6" ht="15.75" customHeight="1" x14ac:dyDescent="0.2">
      <c r="D95" s="20"/>
      <c r="E95" s="20"/>
      <c r="F95" s="20"/>
    </row>
    <row r="96" spans="4:6" ht="15.75" customHeight="1" x14ac:dyDescent="0.2">
      <c r="D96" s="20"/>
      <c r="E96" s="20"/>
      <c r="F96" s="20"/>
    </row>
    <row r="97" spans="4:6" ht="15.75" customHeight="1" x14ac:dyDescent="0.2">
      <c r="D97" s="20"/>
      <c r="E97" s="20"/>
      <c r="F97" s="20"/>
    </row>
    <row r="98" spans="4:6" ht="15.75" customHeight="1" x14ac:dyDescent="0.2">
      <c r="D98" s="20"/>
      <c r="E98" s="20"/>
      <c r="F98" s="20"/>
    </row>
    <row r="99" spans="4:6" ht="15.75" customHeight="1" x14ac:dyDescent="0.2">
      <c r="D99" s="20"/>
      <c r="E99" s="20"/>
      <c r="F99" s="20"/>
    </row>
    <row r="100" spans="4:6" ht="15.75" customHeight="1" x14ac:dyDescent="0.2">
      <c r="D100" s="20"/>
      <c r="E100" s="20"/>
      <c r="F100" s="20"/>
    </row>
    <row r="101" spans="4:6" ht="15.75" customHeight="1" x14ac:dyDescent="0.2">
      <c r="D101" s="20"/>
      <c r="E101" s="20"/>
      <c r="F101" s="20"/>
    </row>
    <row r="102" spans="4:6" ht="15.75" customHeight="1" x14ac:dyDescent="0.2">
      <c r="D102" s="20"/>
      <c r="E102" s="20"/>
      <c r="F102" s="20"/>
    </row>
    <row r="103" spans="4:6" ht="15.75" customHeight="1" x14ac:dyDescent="0.2">
      <c r="D103" s="20"/>
      <c r="E103" s="20"/>
      <c r="F103" s="20"/>
    </row>
    <row r="104" spans="4:6" ht="15.75" customHeight="1" x14ac:dyDescent="0.2">
      <c r="D104" s="20"/>
      <c r="E104" s="20"/>
      <c r="F104" s="20"/>
    </row>
    <row r="105" spans="4:6" ht="15.75" customHeight="1" x14ac:dyDescent="0.2">
      <c r="D105" s="20"/>
      <c r="E105" s="20"/>
      <c r="F105" s="20"/>
    </row>
    <row r="106" spans="4:6" ht="15.75" customHeight="1" x14ac:dyDescent="0.2">
      <c r="D106" s="20"/>
      <c r="E106" s="20"/>
      <c r="F106" s="20"/>
    </row>
    <row r="107" spans="4:6" ht="15.75" customHeight="1" x14ac:dyDescent="0.2">
      <c r="D107" s="20"/>
      <c r="E107" s="20"/>
      <c r="F107" s="20"/>
    </row>
    <row r="108" spans="4:6" ht="15.75" customHeight="1" x14ac:dyDescent="0.2">
      <c r="D108" s="20"/>
      <c r="E108" s="20"/>
      <c r="F108" s="20"/>
    </row>
    <row r="109" spans="4:6" ht="15.75" customHeight="1" x14ac:dyDescent="0.2">
      <c r="D109" s="20"/>
      <c r="E109" s="20"/>
      <c r="F109" s="20"/>
    </row>
    <row r="110" spans="4:6" ht="15.75" customHeight="1" x14ac:dyDescent="0.2">
      <c r="D110" s="20"/>
      <c r="E110" s="20"/>
      <c r="F110" s="20"/>
    </row>
    <row r="111" spans="4:6" ht="15.75" customHeight="1" x14ac:dyDescent="0.2">
      <c r="D111" s="20"/>
      <c r="E111" s="20"/>
      <c r="F111" s="20"/>
    </row>
    <row r="112" spans="4:6" ht="15.75" customHeight="1" x14ac:dyDescent="0.2">
      <c r="D112" s="20"/>
      <c r="E112" s="20"/>
      <c r="F112" s="20"/>
    </row>
    <row r="113" spans="4:6" ht="15.75" customHeight="1" x14ac:dyDescent="0.2">
      <c r="D113" s="20"/>
      <c r="E113" s="20"/>
      <c r="F113" s="20"/>
    </row>
    <row r="114" spans="4:6" ht="15.75" customHeight="1" x14ac:dyDescent="0.2">
      <c r="D114" s="20"/>
      <c r="E114" s="20"/>
      <c r="F114" s="20"/>
    </row>
    <row r="115" spans="4:6" ht="15.75" customHeight="1" x14ac:dyDescent="0.2">
      <c r="D115" s="20"/>
      <c r="E115" s="20"/>
      <c r="F115" s="20"/>
    </row>
    <row r="116" spans="4:6" ht="15.75" customHeight="1" x14ac:dyDescent="0.2">
      <c r="D116" s="20"/>
      <c r="E116" s="20"/>
      <c r="F116" s="20"/>
    </row>
    <row r="117" spans="4:6" ht="15.75" customHeight="1" x14ac:dyDescent="0.2">
      <c r="D117" s="20"/>
      <c r="E117" s="20"/>
      <c r="F117" s="20"/>
    </row>
    <row r="118" spans="4:6" ht="15.75" customHeight="1" x14ac:dyDescent="0.2">
      <c r="D118" s="20"/>
      <c r="E118" s="20"/>
      <c r="F118" s="20"/>
    </row>
    <row r="119" spans="4:6" ht="15.75" customHeight="1" x14ac:dyDescent="0.2">
      <c r="D119" s="20"/>
      <c r="E119" s="20"/>
      <c r="F119" s="20"/>
    </row>
    <row r="120" spans="4:6" ht="15.75" customHeight="1" x14ac:dyDescent="0.2">
      <c r="D120" s="20"/>
      <c r="E120" s="20"/>
      <c r="F120" s="20"/>
    </row>
    <row r="121" spans="4:6" ht="15.75" customHeight="1" x14ac:dyDescent="0.2">
      <c r="D121" s="20"/>
      <c r="E121" s="20"/>
      <c r="F121" s="20"/>
    </row>
    <row r="122" spans="4:6" ht="15.75" customHeight="1" x14ac:dyDescent="0.2">
      <c r="D122" s="20"/>
      <c r="E122" s="20"/>
      <c r="F122" s="20"/>
    </row>
    <row r="123" spans="4:6" ht="15.75" customHeight="1" x14ac:dyDescent="0.2">
      <c r="D123" s="20"/>
      <c r="E123" s="20"/>
      <c r="F123" s="20"/>
    </row>
    <row r="124" spans="4:6" ht="15.75" customHeight="1" x14ac:dyDescent="0.2">
      <c r="D124" s="20"/>
      <c r="E124" s="20"/>
      <c r="F124" s="20"/>
    </row>
    <row r="125" spans="4:6" ht="15.75" customHeight="1" x14ac:dyDescent="0.2">
      <c r="D125" s="20"/>
      <c r="E125" s="20"/>
      <c r="F125" s="20"/>
    </row>
    <row r="126" spans="4:6" ht="15.75" customHeight="1" x14ac:dyDescent="0.2">
      <c r="D126" s="20"/>
      <c r="E126" s="20"/>
      <c r="F126" s="20"/>
    </row>
    <row r="127" spans="4:6" ht="15.75" customHeight="1" x14ac:dyDescent="0.2">
      <c r="D127" s="20"/>
      <c r="E127" s="20"/>
      <c r="F127" s="20"/>
    </row>
    <row r="128" spans="4:6" ht="15.75" customHeight="1" x14ac:dyDescent="0.2">
      <c r="D128" s="20"/>
      <c r="E128" s="20"/>
      <c r="F128" s="20"/>
    </row>
    <row r="129" spans="4:6" ht="15.75" customHeight="1" x14ac:dyDescent="0.2">
      <c r="D129" s="20"/>
      <c r="E129" s="20"/>
      <c r="F129" s="20"/>
    </row>
    <row r="130" spans="4:6" ht="15.75" customHeight="1" x14ac:dyDescent="0.2">
      <c r="D130" s="20"/>
      <c r="E130" s="20"/>
      <c r="F130" s="20"/>
    </row>
    <row r="131" spans="4:6" ht="15.75" customHeight="1" x14ac:dyDescent="0.2">
      <c r="D131" s="20"/>
      <c r="E131" s="20"/>
      <c r="F131" s="20"/>
    </row>
    <row r="132" spans="4:6" ht="15.75" customHeight="1" x14ac:dyDescent="0.2">
      <c r="D132" s="20"/>
      <c r="E132" s="20"/>
      <c r="F132" s="20"/>
    </row>
    <row r="133" spans="4:6" ht="15.75" customHeight="1" x14ac:dyDescent="0.2">
      <c r="D133" s="20"/>
      <c r="E133" s="20"/>
      <c r="F133" s="20"/>
    </row>
    <row r="134" spans="4:6" ht="15.75" customHeight="1" x14ac:dyDescent="0.2">
      <c r="D134" s="20"/>
      <c r="E134" s="20"/>
      <c r="F134" s="20"/>
    </row>
    <row r="135" spans="4:6" ht="15.75" customHeight="1" x14ac:dyDescent="0.2">
      <c r="D135" s="20"/>
      <c r="E135" s="20"/>
      <c r="F135" s="20"/>
    </row>
    <row r="136" spans="4:6" ht="15.75" customHeight="1" x14ac:dyDescent="0.2">
      <c r="D136" s="20"/>
      <c r="E136" s="20"/>
      <c r="F136" s="20"/>
    </row>
    <row r="137" spans="4:6" ht="15.75" customHeight="1" x14ac:dyDescent="0.2">
      <c r="D137" s="20"/>
      <c r="E137" s="20"/>
      <c r="F137" s="20"/>
    </row>
    <row r="138" spans="4:6" ht="15.75" customHeight="1" x14ac:dyDescent="0.2">
      <c r="D138" s="20"/>
      <c r="E138" s="20"/>
      <c r="F138" s="20"/>
    </row>
    <row r="139" spans="4:6" ht="15.75" customHeight="1" x14ac:dyDescent="0.2">
      <c r="D139" s="20"/>
      <c r="E139" s="20"/>
      <c r="F139" s="20"/>
    </row>
    <row r="140" spans="4:6" ht="15.75" customHeight="1" x14ac:dyDescent="0.2">
      <c r="D140" s="20"/>
      <c r="E140" s="20"/>
      <c r="F140" s="20"/>
    </row>
    <row r="141" spans="4:6" ht="15.75" customHeight="1" x14ac:dyDescent="0.2">
      <c r="D141" s="20"/>
      <c r="E141" s="20"/>
      <c r="F141" s="20"/>
    </row>
    <row r="142" spans="4:6" ht="15.75" customHeight="1" x14ac:dyDescent="0.2">
      <c r="D142" s="20"/>
      <c r="E142" s="20"/>
      <c r="F142" s="20"/>
    </row>
    <row r="143" spans="4:6" ht="15.75" customHeight="1" x14ac:dyDescent="0.2">
      <c r="D143" s="20"/>
      <c r="E143" s="20"/>
      <c r="F143" s="20"/>
    </row>
    <row r="144" spans="4:6" ht="15.75" customHeight="1" x14ac:dyDescent="0.2">
      <c r="D144" s="20"/>
      <c r="E144" s="20"/>
      <c r="F144" s="20"/>
    </row>
    <row r="145" spans="4:6" ht="15.75" customHeight="1" x14ac:dyDescent="0.2">
      <c r="D145" s="20"/>
      <c r="E145" s="20"/>
      <c r="F145" s="20"/>
    </row>
    <row r="146" spans="4:6" ht="15.75" customHeight="1" x14ac:dyDescent="0.2">
      <c r="D146" s="20"/>
      <c r="E146" s="20"/>
      <c r="F146" s="20"/>
    </row>
    <row r="147" spans="4:6" ht="15.75" customHeight="1" x14ac:dyDescent="0.2">
      <c r="D147" s="20"/>
      <c r="E147" s="20"/>
      <c r="F147" s="20"/>
    </row>
    <row r="148" spans="4:6" ht="15.75" customHeight="1" x14ac:dyDescent="0.2">
      <c r="D148" s="20"/>
      <c r="E148" s="20"/>
      <c r="F148" s="20"/>
    </row>
    <row r="149" spans="4:6" ht="15.75" customHeight="1" x14ac:dyDescent="0.2">
      <c r="D149" s="20"/>
      <c r="E149" s="20"/>
      <c r="F149" s="20"/>
    </row>
    <row r="150" spans="4:6" ht="15.75" customHeight="1" x14ac:dyDescent="0.2">
      <c r="D150" s="20"/>
      <c r="E150" s="20"/>
      <c r="F150" s="20"/>
    </row>
    <row r="151" spans="4:6" ht="15.75" customHeight="1" x14ac:dyDescent="0.2">
      <c r="D151" s="20"/>
      <c r="E151" s="20"/>
      <c r="F151" s="20"/>
    </row>
    <row r="152" spans="4:6" ht="15.75" customHeight="1" x14ac:dyDescent="0.2">
      <c r="D152" s="20"/>
      <c r="E152" s="20"/>
      <c r="F152" s="20"/>
    </row>
    <row r="153" spans="4:6" ht="15.75" customHeight="1" x14ac:dyDescent="0.2">
      <c r="D153" s="20"/>
      <c r="E153" s="20"/>
      <c r="F153" s="20"/>
    </row>
    <row r="154" spans="4:6" ht="15.75" customHeight="1" x14ac:dyDescent="0.2">
      <c r="D154" s="20"/>
      <c r="E154" s="20"/>
      <c r="F154" s="20"/>
    </row>
    <row r="155" spans="4:6" ht="15.75" customHeight="1" x14ac:dyDescent="0.2">
      <c r="D155" s="20"/>
      <c r="E155" s="20"/>
      <c r="F155" s="20"/>
    </row>
    <row r="156" spans="4:6" ht="15.75" customHeight="1" x14ac:dyDescent="0.2">
      <c r="D156" s="20"/>
      <c r="E156" s="20"/>
      <c r="F156" s="20"/>
    </row>
    <row r="157" spans="4:6" ht="15.75" customHeight="1" x14ac:dyDescent="0.2">
      <c r="D157" s="20"/>
      <c r="E157" s="20"/>
      <c r="F157" s="20"/>
    </row>
    <row r="158" spans="4:6" ht="15.75" customHeight="1" x14ac:dyDescent="0.2">
      <c r="D158" s="20"/>
      <c r="E158" s="20"/>
      <c r="F158" s="20"/>
    </row>
    <row r="159" spans="4:6" ht="15.75" customHeight="1" x14ac:dyDescent="0.2">
      <c r="D159" s="20"/>
      <c r="E159" s="20"/>
      <c r="F159" s="20"/>
    </row>
    <row r="160" spans="4:6" ht="15.75" customHeight="1" x14ac:dyDescent="0.2">
      <c r="D160" s="20"/>
      <c r="E160" s="20"/>
      <c r="F160" s="20"/>
    </row>
    <row r="161" spans="4:6" ht="15.75" customHeight="1" x14ac:dyDescent="0.2">
      <c r="D161" s="20"/>
      <c r="E161" s="20"/>
      <c r="F161" s="20"/>
    </row>
    <row r="162" spans="4:6" ht="15.75" customHeight="1" x14ac:dyDescent="0.2">
      <c r="D162" s="20"/>
      <c r="E162" s="20"/>
      <c r="F162" s="20"/>
    </row>
    <row r="163" spans="4:6" ht="15.75" customHeight="1" x14ac:dyDescent="0.2">
      <c r="D163" s="20"/>
      <c r="E163" s="20"/>
      <c r="F163" s="20"/>
    </row>
    <row r="164" spans="4:6" ht="15.75" customHeight="1" x14ac:dyDescent="0.2">
      <c r="D164" s="20"/>
      <c r="E164" s="20"/>
      <c r="F164" s="20"/>
    </row>
    <row r="165" spans="4:6" ht="15.75" customHeight="1" x14ac:dyDescent="0.2">
      <c r="D165" s="20"/>
      <c r="E165" s="20"/>
      <c r="F165" s="20"/>
    </row>
    <row r="166" spans="4:6" ht="15.75" customHeight="1" x14ac:dyDescent="0.2">
      <c r="D166" s="20"/>
      <c r="E166" s="20"/>
      <c r="F166" s="20"/>
    </row>
    <row r="167" spans="4:6" ht="15.75" customHeight="1" x14ac:dyDescent="0.2">
      <c r="D167" s="20"/>
      <c r="E167" s="20"/>
      <c r="F167" s="20"/>
    </row>
    <row r="168" spans="4:6" ht="15.75" customHeight="1" x14ac:dyDescent="0.2">
      <c r="D168" s="20"/>
      <c r="E168" s="20"/>
      <c r="F168" s="20"/>
    </row>
    <row r="169" spans="4:6" ht="15.75" customHeight="1" x14ac:dyDescent="0.2">
      <c r="D169" s="20"/>
      <c r="E169" s="20"/>
      <c r="F169" s="20"/>
    </row>
    <row r="170" spans="4:6" ht="15.75" customHeight="1" x14ac:dyDescent="0.2">
      <c r="D170" s="20"/>
      <c r="E170" s="20"/>
      <c r="F170" s="20"/>
    </row>
    <row r="171" spans="4:6" ht="15.75" customHeight="1" x14ac:dyDescent="0.2">
      <c r="D171" s="20"/>
      <c r="E171" s="20"/>
      <c r="F171" s="20"/>
    </row>
    <row r="172" spans="4:6" ht="15.75" customHeight="1" x14ac:dyDescent="0.2">
      <c r="D172" s="20"/>
      <c r="E172" s="20"/>
      <c r="F172" s="20"/>
    </row>
    <row r="173" spans="4:6" ht="15.75" customHeight="1" x14ac:dyDescent="0.2">
      <c r="D173" s="20"/>
      <c r="E173" s="20"/>
      <c r="F173" s="20"/>
    </row>
    <row r="174" spans="4:6" ht="15.75" customHeight="1" x14ac:dyDescent="0.2">
      <c r="D174" s="20"/>
      <c r="E174" s="20"/>
      <c r="F174" s="20"/>
    </row>
    <row r="175" spans="4:6" ht="15.75" customHeight="1" x14ac:dyDescent="0.2">
      <c r="D175" s="20"/>
      <c r="E175" s="20"/>
      <c r="F175" s="20"/>
    </row>
    <row r="176" spans="4:6" ht="15.75" customHeight="1" x14ac:dyDescent="0.2">
      <c r="D176" s="20"/>
      <c r="E176" s="20"/>
      <c r="F176" s="20"/>
    </row>
    <row r="177" spans="4:6" ht="15.75" customHeight="1" x14ac:dyDescent="0.2">
      <c r="D177" s="20"/>
      <c r="E177" s="20"/>
      <c r="F177" s="20"/>
    </row>
    <row r="178" spans="4:6" ht="15.75" customHeight="1" x14ac:dyDescent="0.2">
      <c r="D178" s="20"/>
      <c r="E178" s="20"/>
      <c r="F178" s="20"/>
    </row>
    <row r="179" spans="4:6" ht="15.75" customHeight="1" x14ac:dyDescent="0.2">
      <c r="D179" s="20"/>
      <c r="E179" s="20"/>
      <c r="F179" s="20"/>
    </row>
    <row r="180" spans="4:6" ht="15.75" customHeight="1" x14ac:dyDescent="0.2">
      <c r="D180" s="20"/>
      <c r="E180" s="20"/>
      <c r="F180" s="20"/>
    </row>
    <row r="181" spans="4:6" ht="15.75" customHeight="1" x14ac:dyDescent="0.2">
      <c r="D181" s="20"/>
      <c r="E181" s="20"/>
      <c r="F181" s="20"/>
    </row>
    <row r="182" spans="4:6" ht="15.75" customHeight="1" x14ac:dyDescent="0.2">
      <c r="D182" s="20"/>
      <c r="E182" s="20"/>
      <c r="F182" s="20"/>
    </row>
    <row r="183" spans="4:6" ht="15.75" customHeight="1" x14ac:dyDescent="0.2">
      <c r="D183" s="20"/>
      <c r="E183" s="20"/>
      <c r="F183" s="20"/>
    </row>
    <row r="184" spans="4:6" ht="15.75" customHeight="1" x14ac:dyDescent="0.2">
      <c r="D184" s="20"/>
      <c r="E184" s="20"/>
      <c r="F184" s="20"/>
    </row>
    <row r="185" spans="4:6" ht="15.75" customHeight="1" x14ac:dyDescent="0.2">
      <c r="D185" s="20"/>
      <c r="E185" s="20"/>
      <c r="F185" s="20"/>
    </row>
    <row r="186" spans="4:6" ht="15.75" customHeight="1" x14ac:dyDescent="0.2">
      <c r="D186" s="20"/>
      <c r="E186" s="20"/>
      <c r="F186" s="20"/>
    </row>
    <row r="187" spans="4:6" ht="15.75" customHeight="1" x14ac:dyDescent="0.2">
      <c r="D187" s="20"/>
      <c r="E187" s="20"/>
      <c r="F187" s="20"/>
    </row>
    <row r="188" spans="4:6" ht="15.75" customHeight="1" x14ac:dyDescent="0.2">
      <c r="D188" s="20"/>
      <c r="E188" s="20"/>
      <c r="F188" s="20"/>
    </row>
    <row r="189" spans="4:6" ht="15.75" customHeight="1" x14ac:dyDescent="0.2">
      <c r="D189" s="20"/>
      <c r="E189" s="20"/>
      <c r="F189" s="20"/>
    </row>
    <row r="190" spans="4:6" ht="15.75" customHeight="1" x14ac:dyDescent="0.2">
      <c r="D190" s="20"/>
      <c r="E190" s="20"/>
      <c r="F190" s="20"/>
    </row>
    <row r="191" spans="4:6" ht="15.75" customHeight="1" x14ac:dyDescent="0.2">
      <c r="D191" s="20"/>
      <c r="E191" s="20"/>
      <c r="F191" s="20"/>
    </row>
    <row r="192" spans="4:6" ht="15.75" customHeight="1" x14ac:dyDescent="0.2">
      <c r="D192" s="20"/>
      <c r="E192" s="20"/>
      <c r="F192" s="20"/>
    </row>
    <row r="193" spans="4:6" ht="15.75" customHeight="1" x14ac:dyDescent="0.2">
      <c r="D193" s="20"/>
      <c r="E193" s="20"/>
      <c r="F193" s="20"/>
    </row>
    <row r="194" spans="4:6" ht="15.75" customHeight="1" x14ac:dyDescent="0.2">
      <c r="D194" s="20"/>
      <c r="E194" s="20"/>
      <c r="F194" s="20"/>
    </row>
    <row r="195" spans="4:6" ht="15.75" customHeight="1" x14ac:dyDescent="0.2">
      <c r="D195" s="20"/>
      <c r="E195" s="20"/>
      <c r="F195" s="20"/>
    </row>
    <row r="196" spans="4:6" ht="15.75" customHeight="1" x14ac:dyDescent="0.2">
      <c r="D196" s="20"/>
      <c r="E196" s="20"/>
      <c r="F196" s="20"/>
    </row>
    <row r="197" spans="4:6" ht="15.75" customHeight="1" x14ac:dyDescent="0.2">
      <c r="D197" s="20"/>
      <c r="E197" s="20"/>
      <c r="F197" s="20"/>
    </row>
    <row r="198" spans="4:6" ht="15.75" customHeight="1" x14ac:dyDescent="0.2">
      <c r="D198" s="20"/>
      <c r="E198" s="20"/>
      <c r="F198" s="20"/>
    </row>
    <row r="199" spans="4:6" ht="15.75" customHeight="1" x14ac:dyDescent="0.2">
      <c r="D199" s="20"/>
      <c r="E199" s="20"/>
      <c r="F199" s="20"/>
    </row>
    <row r="200" spans="4:6" ht="15.75" customHeight="1" x14ac:dyDescent="0.2">
      <c r="D200" s="20"/>
      <c r="E200" s="20"/>
      <c r="F200" s="20"/>
    </row>
    <row r="201" spans="4:6" ht="15.75" customHeight="1" x14ac:dyDescent="0.2">
      <c r="D201" s="20"/>
      <c r="E201" s="20"/>
      <c r="F201" s="20"/>
    </row>
    <row r="202" spans="4:6" ht="15.75" customHeight="1" x14ac:dyDescent="0.2">
      <c r="D202" s="20"/>
      <c r="E202" s="20"/>
      <c r="F202" s="20"/>
    </row>
    <row r="203" spans="4:6" ht="15.75" customHeight="1" x14ac:dyDescent="0.2">
      <c r="D203" s="20"/>
      <c r="E203" s="20"/>
      <c r="F203" s="20"/>
    </row>
    <row r="204" spans="4:6" ht="15.75" customHeight="1" x14ac:dyDescent="0.2">
      <c r="D204" s="20"/>
      <c r="E204" s="20"/>
      <c r="F204" s="20"/>
    </row>
    <row r="205" spans="4:6" ht="15.75" customHeight="1" x14ac:dyDescent="0.2">
      <c r="D205" s="20"/>
      <c r="E205" s="20"/>
      <c r="F205" s="20"/>
    </row>
    <row r="206" spans="4:6" ht="15.75" customHeight="1" x14ac:dyDescent="0.2">
      <c r="D206" s="20"/>
      <c r="E206" s="20"/>
      <c r="F206" s="20"/>
    </row>
    <row r="207" spans="4:6" ht="15.75" customHeight="1" x14ac:dyDescent="0.2">
      <c r="D207" s="20"/>
      <c r="E207" s="20"/>
      <c r="F207" s="20"/>
    </row>
    <row r="208" spans="4:6" ht="15.75" customHeight="1" x14ac:dyDescent="0.2">
      <c r="D208" s="20"/>
      <c r="E208" s="20"/>
      <c r="F208" s="20"/>
    </row>
    <row r="209" spans="4:6" ht="15.75" customHeight="1" x14ac:dyDescent="0.2">
      <c r="D209" s="20"/>
      <c r="E209" s="20"/>
      <c r="F209" s="20"/>
    </row>
    <row r="210" spans="4:6" ht="15.75" customHeight="1" x14ac:dyDescent="0.2">
      <c r="D210" s="20"/>
      <c r="E210" s="20"/>
      <c r="F210" s="20"/>
    </row>
    <row r="211" spans="4:6" ht="15.75" customHeight="1" x14ac:dyDescent="0.2">
      <c r="D211" s="20"/>
      <c r="E211" s="20"/>
      <c r="F211" s="20"/>
    </row>
    <row r="212" spans="4:6" ht="15.75" customHeight="1" x14ac:dyDescent="0.2">
      <c r="D212" s="20"/>
      <c r="E212" s="20"/>
      <c r="F212" s="20"/>
    </row>
    <row r="213" spans="4:6" ht="15.75" customHeight="1" x14ac:dyDescent="0.2">
      <c r="D213" s="20"/>
      <c r="E213" s="20"/>
      <c r="F213" s="20"/>
    </row>
    <row r="214" spans="4:6" ht="15.75" customHeight="1" x14ac:dyDescent="0.2">
      <c r="D214" s="20"/>
      <c r="E214" s="20"/>
      <c r="F214" s="20"/>
    </row>
    <row r="215" spans="4:6" ht="15.75" customHeight="1" x14ac:dyDescent="0.2">
      <c r="D215" s="20"/>
      <c r="E215" s="20"/>
      <c r="F215" s="20"/>
    </row>
    <row r="216" spans="4:6" ht="15.75" customHeight="1" x14ac:dyDescent="0.2">
      <c r="D216" s="20"/>
      <c r="E216" s="20"/>
      <c r="F216" s="20"/>
    </row>
    <row r="217" spans="4:6" ht="15.75" customHeight="1" x14ac:dyDescent="0.2">
      <c r="D217" s="20"/>
      <c r="E217" s="20"/>
      <c r="F217" s="20"/>
    </row>
    <row r="218" spans="4:6" ht="15.75" customHeight="1" x14ac:dyDescent="0.2">
      <c r="D218" s="20"/>
      <c r="E218" s="20"/>
      <c r="F218" s="20"/>
    </row>
    <row r="219" spans="4:6" ht="15.75" customHeight="1" x14ac:dyDescent="0.2">
      <c r="D219" s="20"/>
      <c r="E219" s="20"/>
      <c r="F219" s="20"/>
    </row>
    <row r="220" spans="4:6" ht="15.75" customHeight="1" x14ac:dyDescent="0.2">
      <c r="D220" s="20"/>
      <c r="E220" s="20"/>
      <c r="F220" s="20"/>
    </row>
    <row r="221" spans="4:6" ht="15.75" customHeight="1" x14ac:dyDescent="0.2">
      <c r="D221" s="20"/>
      <c r="E221" s="20"/>
      <c r="F221" s="20"/>
    </row>
    <row r="222" spans="4:6" ht="15.75" customHeight="1" x14ac:dyDescent="0.2">
      <c r="D222" s="20"/>
      <c r="E222" s="20"/>
      <c r="F222" s="20"/>
    </row>
    <row r="223" spans="4:6" ht="15.75" customHeight="1" x14ac:dyDescent="0.2">
      <c r="D223" s="20"/>
      <c r="E223" s="20"/>
      <c r="F223" s="20"/>
    </row>
    <row r="224" spans="4:6" ht="15.75" customHeight="1" x14ac:dyDescent="0.2">
      <c r="D224" s="20"/>
      <c r="E224" s="20"/>
      <c r="F224" s="20"/>
    </row>
    <row r="225" spans="4:6" ht="15.75" customHeight="1" x14ac:dyDescent="0.2">
      <c r="D225" s="20"/>
      <c r="E225" s="20"/>
      <c r="F225" s="20"/>
    </row>
    <row r="226" spans="4:6" ht="15.75" customHeight="1" x14ac:dyDescent="0.2">
      <c r="D226" s="20"/>
      <c r="E226" s="20"/>
      <c r="F226" s="20"/>
    </row>
    <row r="227" spans="4:6" ht="15.75" customHeight="1" x14ac:dyDescent="0.2">
      <c r="D227" s="20"/>
      <c r="E227" s="20"/>
      <c r="F227" s="20"/>
    </row>
    <row r="228" spans="4:6" ht="15.75" customHeight="1" x14ac:dyDescent="0.2">
      <c r="D228" s="20"/>
      <c r="E228" s="20"/>
      <c r="F228" s="20"/>
    </row>
    <row r="229" spans="4:6" ht="15.75" customHeight="1" x14ac:dyDescent="0.2">
      <c r="D229" s="20"/>
      <c r="E229" s="20"/>
      <c r="F229" s="20"/>
    </row>
    <row r="230" spans="4:6" ht="15.75" customHeight="1" x14ac:dyDescent="0.2">
      <c r="D230" s="20"/>
      <c r="E230" s="20"/>
      <c r="F230" s="20"/>
    </row>
    <row r="231" spans="4:6" ht="15.75" customHeight="1" x14ac:dyDescent="0.2">
      <c r="D231" s="20"/>
      <c r="E231" s="20"/>
      <c r="F231" s="20"/>
    </row>
    <row r="232" spans="4:6" ht="15.75" customHeight="1" x14ac:dyDescent="0.2">
      <c r="D232" s="20"/>
      <c r="E232" s="20"/>
      <c r="F232" s="20"/>
    </row>
    <row r="233" spans="4:6" ht="15.75" customHeight="1" x14ac:dyDescent="0.2">
      <c r="D233" s="20"/>
      <c r="E233" s="20"/>
      <c r="F233" s="20"/>
    </row>
    <row r="234" spans="4:6" ht="15.75" customHeight="1" x14ac:dyDescent="0.2">
      <c r="D234" s="20"/>
      <c r="E234" s="20"/>
      <c r="F234" s="20"/>
    </row>
    <row r="235" spans="4:6" ht="15.75" customHeight="1" x14ac:dyDescent="0.2">
      <c r="D235" s="20"/>
      <c r="E235" s="20"/>
      <c r="F235" s="20"/>
    </row>
    <row r="236" spans="4:6" ht="15.75" customHeight="1" x14ac:dyDescent="0.2">
      <c r="D236" s="20"/>
      <c r="E236" s="20"/>
      <c r="F236" s="20"/>
    </row>
    <row r="237" spans="4:6" ht="15.75" customHeight="1" x14ac:dyDescent="0.2">
      <c r="D237" s="20"/>
      <c r="E237" s="20"/>
      <c r="F237" s="20"/>
    </row>
    <row r="238" spans="4:6" ht="15.75" customHeight="1" x14ac:dyDescent="0.2">
      <c r="D238" s="20"/>
      <c r="E238" s="20"/>
      <c r="F238" s="20"/>
    </row>
    <row r="239" spans="4:6" ht="15.75" customHeight="1" x14ac:dyDescent="0.2">
      <c r="D239" s="20"/>
      <c r="E239" s="20"/>
      <c r="F239" s="20"/>
    </row>
    <row r="240" spans="4:6" ht="15.75" customHeight="1" x14ac:dyDescent="0.2">
      <c r="D240" s="20"/>
      <c r="E240" s="20"/>
      <c r="F240" s="20"/>
    </row>
    <row r="241" spans="4:6" ht="15.75" customHeight="1" x14ac:dyDescent="0.2">
      <c r="D241" s="20"/>
      <c r="E241" s="20"/>
      <c r="F241" s="20"/>
    </row>
    <row r="242" spans="4:6" ht="15.75" customHeight="1" x14ac:dyDescent="0.2">
      <c r="D242" s="20"/>
      <c r="E242" s="20"/>
      <c r="F242" s="20"/>
    </row>
    <row r="243" spans="4:6" ht="15.75" customHeight="1" x14ac:dyDescent="0.2">
      <c r="D243" s="20"/>
      <c r="E243" s="20"/>
      <c r="F243" s="20"/>
    </row>
    <row r="244" spans="4:6" ht="15.75" customHeight="1" x14ac:dyDescent="0.2">
      <c r="D244" s="20"/>
      <c r="E244" s="20"/>
      <c r="F244" s="20"/>
    </row>
    <row r="245" spans="4:6" ht="15.75" customHeight="1" x14ac:dyDescent="0.2">
      <c r="D245" s="20"/>
      <c r="E245" s="20"/>
      <c r="F245" s="20"/>
    </row>
    <row r="246" spans="4:6" ht="15.75" customHeight="1" x14ac:dyDescent="0.2">
      <c r="D246" s="20"/>
      <c r="E246" s="20"/>
      <c r="F246" s="20"/>
    </row>
    <row r="247" spans="4:6" ht="15.75" customHeight="1" x14ac:dyDescent="0.2">
      <c r="D247" s="20"/>
      <c r="E247" s="20"/>
      <c r="F247" s="20"/>
    </row>
    <row r="248" spans="4:6" ht="15.75" customHeight="1" x14ac:dyDescent="0.2">
      <c r="D248" s="20"/>
      <c r="E248" s="20"/>
      <c r="F248" s="20"/>
    </row>
    <row r="249" spans="4:6" ht="15.75" customHeight="1" x14ac:dyDescent="0.2">
      <c r="D249" s="20"/>
      <c r="E249" s="20"/>
      <c r="F249" s="20"/>
    </row>
    <row r="250" spans="4:6" ht="15.75" customHeight="1" x14ac:dyDescent="0.2">
      <c r="D250" s="20"/>
      <c r="E250" s="20"/>
      <c r="F250" s="20"/>
    </row>
    <row r="251" spans="4:6" ht="15.75" customHeight="1" x14ac:dyDescent="0.2">
      <c r="D251" s="20"/>
      <c r="E251" s="20"/>
      <c r="F251" s="20"/>
    </row>
    <row r="252" spans="4:6" ht="15.75" customHeight="1" x14ac:dyDescent="0.2">
      <c r="D252" s="20"/>
      <c r="E252" s="20"/>
      <c r="F252" s="20"/>
    </row>
    <row r="253" spans="4:6" ht="15.75" customHeight="1" x14ac:dyDescent="0.2">
      <c r="D253" s="20"/>
      <c r="E253" s="20"/>
      <c r="F253" s="20"/>
    </row>
    <row r="254" spans="4:6" ht="15.75" customHeight="1" x14ac:dyDescent="0.2">
      <c r="D254" s="20"/>
      <c r="E254" s="20"/>
      <c r="F254" s="20"/>
    </row>
    <row r="255" spans="4:6" ht="15.75" customHeight="1" x14ac:dyDescent="0.2">
      <c r="D255" s="20"/>
      <c r="E255" s="20"/>
      <c r="F255" s="20"/>
    </row>
    <row r="256" spans="4:6" ht="15.75" customHeight="1" x14ac:dyDescent="0.2">
      <c r="D256" s="20"/>
      <c r="E256" s="20"/>
      <c r="F256" s="20"/>
    </row>
    <row r="257" spans="4:6" ht="15.75" customHeight="1" x14ac:dyDescent="0.2">
      <c r="D257" s="20"/>
      <c r="E257" s="20"/>
      <c r="F257" s="20"/>
    </row>
    <row r="258" spans="4:6" ht="15.75" customHeight="1" x14ac:dyDescent="0.2">
      <c r="D258" s="20"/>
      <c r="E258" s="20"/>
      <c r="F258" s="20"/>
    </row>
    <row r="259" spans="4:6" ht="15.75" customHeight="1" x14ac:dyDescent="0.2">
      <c r="D259" s="20"/>
      <c r="E259" s="20"/>
      <c r="F259" s="20"/>
    </row>
    <row r="260" spans="4:6" ht="15.75" customHeight="1" x14ac:dyDescent="0.2">
      <c r="D260" s="20"/>
      <c r="E260" s="20"/>
      <c r="F260" s="20"/>
    </row>
    <row r="261" spans="4:6" ht="15.75" customHeight="1" x14ac:dyDescent="0.2">
      <c r="D261" s="20"/>
      <c r="E261" s="20"/>
      <c r="F261" s="20"/>
    </row>
    <row r="262" spans="4:6" ht="15.75" customHeight="1" x14ac:dyDescent="0.2">
      <c r="D262" s="20"/>
      <c r="E262" s="20"/>
      <c r="F262" s="20"/>
    </row>
    <row r="263" spans="4:6" ht="15.75" customHeight="1" x14ac:dyDescent="0.2">
      <c r="D263" s="20"/>
      <c r="E263" s="20"/>
      <c r="F263" s="20"/>
    </row>
    <row r="264" spans="4:6" ht="15.75" customHeight="1" x14ac:dyDescent="0.2">
      <c r="D264" s="20"/>
      <c r="E264" s="20"/>
      <c r="F264" s="20"/>
    </row>
    <row r="265" spans="4:6" ht="15.75" customHeight="1" x14ac:dyDescent="0.2">
      <c r="D265" s="20"/>
      <c r="E265" s="20"/>
      <c r="F265" s="20"/>
    </row>
    <row r="266" spans="4:6" ht="15.75" customHeight="1" x14ac:dyDescent="0.2">
      <c r="D266" s="20"/>
      <c r="E266" s="20"/>
      <c r="F266" s="20"/>
    </row>
    <row r="267" spans="4:6" ht="15.75" customHeight="1" x14ac:dyDescent="0.2">
      <c r="D267" s="20"/>
      <c r="E267" s="20"/>
      <c r="F267" s="20"/>
    </row>
    <row r="268" spans="4:6" ht="15.75" customHeight="1" x14ac:dyDescent="0.2">
      <c r="D268" s="20"/>
      <c r="E268" s="20"/>
      <c r="F268" s="20"/>
    </row>
    <row r="269" spans="4:6" ht="15.75" customHeight="1" x14ac:dyDescent="0.2">
      <c r="D269" s="20"/>
      <c r="E269" s="20"/>
      <c r="F269" s="20"/>
    </row>
    <row r="270" spans="4:6" ht="15.75" customHeight="1" x14ac:dyDescent="0.2">
      <c r="D270" s="20"/>
      <c r="E270" s="20"/>
      <c r="F270" s="20"/>
    </row>
    <row r="271" spans="4:6" ht="15.75" customHeight="1" x14ac:dyDescent="0.2">
      <c r="D271" s="20"/>
      <c r="E271" s="20"/>
      <c r="F271" s="20"/>
    </row>
    <row r="272" spans="4:6" ht="15.75" customHeight="1" x14ac:dyDescent="0.2">
      <c r="D272" s="20"/>
      <c r="E272" s="20"/>
      <c r="F272" s="20"/>
    </row>
    <row r="273" spans="4:6" ht="15.75" customHeight="1" x14ac:dyDescent="0.2">
      <c r="D273" s="20"/>
      <c r="E273" s="20"/>
      <c r="F273" s="20"/>
    </row>
    <row r="274" spans="4:6" ht="15.75" customHeight="1" x14ac:dyDescent="0.2">
      <c r="D274" s="20"/>
      <c r="E274" s="20"/>
      <c r="F274" s="20"/>
    </row>
    <row r="275" spans="4:6" ht="15.75" customHeight="1" x14ac:dyDescent="0.2">
      <c r="D275" s="20"/>
      <c r="E275" s="20"/>
      <c r="F275" s="20"/>
    </row>
    <row r="276" spans="4:6" ht="15.75" customHeight="1" x14ac:dyDescent="0.2">
      <c r="D276" s="20"/>
      <c r="E276" s="20"/>
      <c r="F276" s="20"/>
    </row>
    <row r="277" spans="4:6" ht="15.75" customHeight="1" x14ac:dyDescent="0.2">
      <c r="D277" s="20"/>
      <c r="E277" s="20"/>
      <c r="F277" s="20"/>
    </row>
    <row r="278" spans="4:6" ht="15.75" customHeight="1" x14ac:dyDescent="0.2">
      <c r="D278" s="20"/>
      <c r="E278" s="20"/>
      <c r="F278" s="20"/>
    </row>
    <row r="279" spans="4:6" ht="15.75" customHeight="1" x14ac:dyDescent="0.2">
      <c r="D279" s="20"/>
      <c r="E279" s="20"/>
      <c r="F279" s="20"/>
    </row>
    <row r="280" spans="4:6" ht="15.75" customHeight="1" x14ac:dyDescent="0.2">
      <c r="D280" s="20"/>
      <c r="E280" s="20"/>
      <c r="F280" s="20"/>
    </row>
    <row r="281" spans="4:6" ht="15.75" customHeight="1" x14ac:dyDescent="0.2">
      <c r="D281" s="20"/>
      <c r="E281" s="20"/>
      <c r="F281" s="20"/>
    </row>
    <row r="282" spans="4:6" ht="15.75" customHeight="1" x14ac:dyDescent="0.2">
      <c r="D282" s="20"/>
      <c r="E282" s="20"/>
      <c r="F282" s="20"/>
    </row>
    <row r="283" spans="4:6" ht="15.75" customHeight="1" x14ac:dyDescent="0.2">
      <c r="D283" s="20"/>
      <c r="E283" s="20"/>
      <c r="F283" s="20"/>
    </row>
    <row r="284" spans="4:6" ht="15.75" customHeight="1" x14ac:dyDescent="0.2">
      <c r="D284" s="20"/>
      <c r="E284" s="20"/>
      <c r="F284" s="20"/>
    </row>
    <row r="285" spans="4:6" ht="15.75" customHeight="1" x14ac:dyDescent="0.2">
      <c r="D285" s="20"/>
      <c r="E285" s="20"/>
      <c r="F285" s="20"/>
    </row>
    <row r="286" spans="4:6" ht="15.75" customHeight="1" x14ac:dyDescent="0.2">
      <c r="D286" s="20"/>
      <c r="E286" s="20"/>
      <c r="F286" s="20"/>
    </row>
    <row r="287" spans="4:6" ht="15.75" customHeight="1" x14ac:dyDescent="0.2">
      <c r="D287" s="20"/>
      <c r="E287" s="20"/>
      <c r="F287" s="20"/>
    </row>
    <row r="288" spans="4:6" ht="15.75" customHeight="1" x14ac:dyDescent="0.2">
      <c r="D288" s="20"/>
      <c r="E288" s="20"/>
      <c r="F288" s="20"/>
    </row>
    <row r="289" spans="4:6" ht="15.75" customHeight="1" x14ac:dyDescent="0.2">
      <c r="D289" s="20"/>
      <c r="E289" s="20"/>
      <c r="F289" s="20"/>
    </row>
    <row r="290" spans="4:6" ht="15.75" customHeight="1" x14ac:dyDescent="0.2">
      <c r="D290" s="20"/>
      <c r="E290" s="20"/>
      <c r="F290" s="20"/>
    </row>
    <row r="291" spans="4:6" ht="15.75" customHeight="1" x14ac:dyDescent="0.2">
      <c r="D291" s="20"/>
      <c r="E291" s="20"/>
      <c r="F291" s="20"/>
    </row>
    <row r="292" spans="4:6" ht="15.75" customHeight="1" x14ac:dyDescent="0.2">
      <c r="D292" s="20"/>
      <c r="E292" s="20"/>
      <c r="F292" s="20"/>
    </row>
    <row r="293" spans="4:6" ht="15.75" customHeight="1" x14ac:dyDescent="0.2">
      <c r="D293" s="20"/>
      <c r="E293" s="20"/>
      <c r="F293" s="20"/>
    </row>
    <row r="294" spans="4:6" ht="15.75" customHeight="1" x14ac:dyDescent="0.2">
      <c r="D294" s="20"/>
      <c r="E294" s="20"/>
      <c r="F294" s="20"/>
    </row>
    <row r="295" spans="4:6" ht="15.75" customHeight="1" x14ac:dyDescent="0.2">
      <c r="D295" s="20"/>
      <c r="E295" s="20"/>
      <c r="F295" s="20"/>
    </row>
    <row r="296" spans="4:6" ht="15.75" customHeight="1" x14ac:dyDescent="0.2">
      <c r="D296" s="20"/>
      <c r="E296" s="20"/>
      <c r="F296" s="20"/>
    </row>
    <row r="297" spans="4:6" ht="15.75" customHeight="1" x14ac:dyDescent="0.2">
      <c r="D297" s="20"/>
      <c r="E297" s="20"/>
      <c r="F297" s="20"/>
    </row>
    <row r="298" spans="4:6" ht="15.75" customHeight="1" x14ac:dyDescent="0.2">
      <c r="D298" s="20"/>
      <c r="E298" s="20"/>
      <c r="F298" s="20"/>
    </row>
    <row r="299" spans="4:6" ht="15.75" customHeight="1" x14ac:dyDescent="0.2">
      <c r="D299" s="20"/>
      <c r="E299" s="20"/>
      <c r="F299" s="20"/>
    </row>
    <row r="300" spans="4:6" ht="15.75" customHeight="1" x14ac:dyDescent="0.2">
      <c r="D300" s="20"/>
      <c r="E300" s="20"/>
      <c r="F300" s="20"/>
    </row>
    <row r="301" spans="4:6" ht="15.75" customHeight="1" x14ac:dyDescent="0.2">
      <c r="D301" s="20"/>
      <c r="E301" s="20"/>
      <c r="F301" s="20"/>
    </row>
    <row r="302" spans="4:6" ht="15.75" customHeight="1" x14ac:dyDescent="0.2">
      <c r="D302" s="20"/>
      <c r="E302" s="20"/>
      <c r="F302" s="20"/>
    </row>
    <row r="303" spans="4:6" ht="15.75" customHeight="1" x14ac:dyDescent="0.2">
      <c r="D303" s="20"/>
      <c r="E303" s="20"/>
      <c r="F303" s="20"/>
    </row>
    <row r="304" spans="4:6" ht="15.75" customHeight="1" x14ac:dyDescent="0.2">
      <c r="D304" s="20"/>
      <c r="E304" s="20"/>
      <c r="F304" s="20"/>
    </row>
    <row r="305" spans="4:6" ht="15.75" customHeight="1" x14ac:dyDescent="0.2">
      <c r="D305" s="20"/>
      <c r="E305" s="20"/>
      <c r="F305" s="20"/>
    </row>
    <row r="306" spans="4:6" ht="15.75" customHeight="1" x14ac:dyDescent="0.2">
      <c r="D306" s="20"/>
      <c r="E306" s="20"/>
      <c r="F306" s="20"/>
    </row>
    <row r="307" spans="4:6" ht="15.75" customHeight="1" x14ac:dyDescent="0.2">
      <c r="D307" s="20"/>
      <c r="E307" s="20"/>
      <c r="F307" s="20"/>
    </row>
    <row r="308" spans="4:6" ht="15.75" customHeight="1" x14ac:dyDescent="0.2">
      <c r="D308" s="20"/>
      <c r="E308" s="20"/>
      <c r="F308" s="20"/>
    </row>
    <row r="309" spans="4:6" ht="15.75" customHeight="1" x14ac:dyDescent="0.2">
      <c r="D309" s="20"/>
      <c r="E309" s="20"/>
      <c r="F309" s="20"/>
    </row>
    <row r="310" spans="4:6" ht="15.75" customHeight="1" x14ac:dyDescent="0.2">
      <c r="D310" s="20"/>
      <c r="E310" s="20"/>
      <c r="F310" s="20"/>
    </row>
    <row r="311" spans="4:6" ht="15.75" customHeight="1" x14ac:dyDescent="0.2">
      <c r="D311" s="20"/>
      <c r="E311" s="20"/>
      <c r="F311" s="20"/>
    </row>
    <row r="312" spans="4:6" ht="15.75" customHeight="1" x14ac:dyDescent="0.2">
      <c r="D312" s="20"/>
      <c r="E312" s="20"/>
      <c r="F312" s="20"/>
    </row>
    <row r="313" spans="4:6" ht="15.75" customHeight="1" x14ac:dyDescent="0.2">
      <c r="D313" s="20"/>
      <c r="E313" s="20"/>
      <c r="F313" s="20"/>
    </row>
    <row r="314" spans="4:6" ht="15.75" customHeight="1" x14ac:dyDescent="0.2">
      <c r="D314" s="20"/>
      <c r="E314" s="20"/>
      <c r="F314" s="20"/>
    </row>
    <row r="315" spans="4:6" ht="15.75" customHeight="1" x14ac:dyDescent="0.2">
      <c r="D315" s="20"/>
      <c r="E315" s="20"/>
      <c r="F315" s="20"/>
    </row>
    <row r="316" spans="4:6" ht="15.75" customHeight="1" x14ac:dyDescent="0.2">
      <c r="D316" s="20"/>
      <c r="E316" s="20"/>
      <c r="F316" s="20"/>
    </row>
    <row r="317" spans="4:6" ht="15.75" customHeight="1" x14ac:dyDescent="0.2">
      <c r="D317" s="20"/>
      <c r="E317" s="20"/>
      <c r="F317" s="20"/>
    </row>
    <row r="318" spans="4:6" ht="15.75" customHeight="1" x14ac:dyDescent="0.2">
      <c r="D318" s="20"/>
      <c r="E318" s="20"/>
      <c r="F318" s="20"/>
    </row>
    <row r="319" spans="4:6" ht="15.75" customHeight="1" x14ac:dyDescent="0.2">
      <c r="D319" s="20"/>
      <c r="E319" s="20"/>
      <c r="F319" s="20"/>
    </row>
    <row r="320" spans="4:6" ht="15.75" customHeight="1" x14ac:dyDescent="0.2">
      <c r="D320" s="20"/>
      <c r="E320" s="20"/>
      <c r="F320" s="20"/>
    </row>
    <row r="321" spans="4:6" ht="15.75" customHeight="1" x14ac:dyDescent="0.2">
      <c r="D321" s="20"/>
      <c r="E321" s="20"/>
      <c r="F321" s="20"/>
    </row>
    <row r="322" spans="4:6" ht="15.75" customHeight="1" x14ac:dyDescent="0.2">
      <c r="D322" s="20"/>
      <c r="E322" s="20"/>
      <c r="F322" s="20"/>
    </row>
    <row r="323" spans="4:6" ht="15.75" customHeight="1" x14ac:dyDescent="0.2">
      <c r="D323" s="20"/>
      <c r="E323" s="20"/>
      <c r="F323" s="20"/>
    </row>
    <row r="324" spans="4:6" ht="15.75" customHeight="1" x14ac:dyDescent="0.2">
      <c r="D324" s="20"/>
      <c r="E324" s="20"/>
      <c r="F324" s="20"/>
    </row>
    <row r="325" spans="4:6" ht="15.75" customHeight="1" x14ac:dyDescent="0.2">
      <c r="D325" s="20"/>
      <c r="E325" s="20"/>
      <c r="F325" s="20"/>
    </row>
    <row r="326" spans="4:6" ht="15.75" customHeight="1" x14ac:dyDescent="0.2">
      <c r="D326" s="20"/>
      <c r="E326" s="20"/>
      <c r="F326" s="20"/>
    </row>
    <row r="327" spans="4:6" ht="15.75" customHeight="1" x14ac:dyDescent="0.2">
      <c r="D327" s="20"/>
      <c r="E327" s="20"/>
      <c r="F327" s="20"/>
    </row>
    <row r="328" spans="4:6" ht="15.75" customHeight="1" x14ac:dyDescent="0.2">
      <c r="D328" s="20"/>
      <c r="E328" s="20"/>
      <c r="F328" s="20"/>
    </row>
    <row r="329" spans="4:6" ht="15.75" customHeight="1" x14ac:dyDescent="0.2">
      <c r="D329" s="20"/>
      <c r="E329" s="20"/>
      <c r="F329" s="20"/>
    </row>
    <row r="330" spans="4:6" ht="15.75" customHeight="1" x14ac:dyDescent="0.2">
      <c r="D330" s="20"/>
      <c r="E330" s="20"/>
      <c r="F330" s="20"/>
    </row>
    <row r="331" spans="4:6" ht="15.75" customHeight="1" x14ac:dyDescent="0.2">
      <c r="D331" s="20"/>
      <c r="E331" s="20"/>
      <c r="F331" s="20"/>
    </row>
    <row r="332" spans="4:6" ht="15.75" customHeight="1" x14ac:dyDescent="0.2">
      <c r="D332" s="20"/>
      <c r="E332" s="20"/>
      <c r="F332" s="20"/>
    </row>
    <row r="333" spans="4:6" ht="15.75" customHeight="1" x14ac:dyDescent="0.2">
      <c r="D333" s="20"/>
      <c r="E333" s="20"/>
      <c r="F333" s="20"/>
    </row>
    <row r="334" spans="4:6" ht="15.75" customHeight="1" x14ac:dyDescent="0.2">
      <c r="D334" s="20"/>
      <c r="E334" s="20"/>
      <c r="F334" s="20"/>
    </row>
    <row r="335" spans="4:6" ht="15.75" customHeight="1" x14ac:dyDescent="0.2">
      <c r="D335" s="20"/>
      <c r="E335" s="20"/>
      <c r="F335" s="20"/>
    </row>
    <row r="336" spans="4:6" ht="15.75" customHeight="1" x14ac:dyDescent="0.2">
      <c r="D336" s="20"/>
      <c r="E336" s="20"/>
      <c r="F336" s="20"/>
    </row>
    <row r="337" spans="4:6" ht="15.75" customHeight="1" x14ac:dyDescent="0.2">
      <c r="D337" s="20"/>
      <c r="E337" s="20"/>
      <c r="F337" s="20"/>
    </row>
    <row r="338" spans="4:6" ht="15.75" customHeight="1" x14ac:dyDescent="0.2">
      <c r="D338" s="20"/>
      <c r="E338" s="20"/>
      <c r="F338" s="20"/>
    </row>
    <row r="339" spans="4:6" ht="15.75" customHeight="1" x14ac:dyDescent="0.2">
      <c r="D339" s="20"/>
      <c r="E339" s="20"/>
      <c r="F339" s="20"/>
    </row>
    <row r="340" spans="4:6" ht="15.75" customHeight="1" x14ac:dyDescent="0.2">
      <c r="D340" s="20"/>
      <c r="E340" s="20"/>
      <c r="F340" s="20"/>
    </row>
    <row r="341" spans="4:6" ht="15.75" customHeight="1" x14ac:dyDescent="0.2">
      <c r="D341" s="20"/>
      <c r="E341" s="20"/>
      <c r="F341" s="20"/>
    </row>
    <row r="342" spans="4:6" ht="15.75" customHeight="1" x14ac:dyDescent="0.2">
      <c r="D342" s="20"/>
      <c r="E342" s="20"/>
      <c r="F342" s="20"/>
    </row>
    <row r="343" spans="4:6" ht="15.75" customHeight="1" x14ac:dyDescent="0.2">
      <c r="D343" s="20"/>
      <c r="E343" s="20"/>
      <c r="F343" s="20"/>
    </row>
    <row r="344" spans="4:6" ht="15.75" customHeight="1" x14ac:dyDescent="0.2">
      <c r="D344" s="20"/>
      <c r="E344" s="20"/>
      <c r="F344" s="20"/>
    </row>
    <row r="345" spans="4:6" ht="15.75" customHeight="1" x14ac:dyDescent="0.2">
      <c r="D345" s="20"/>
      <c r="E345" s="20"/>
      <c r="F345" s="20"/>
    </row>
    <row r="346" spans="4:6" ht="15.75" customHeight="1" x14ac:dyDescent="0.2">
      <c r="D346" s="20"/>
      <c r="E346" s="20"/>
      <c r="F346" s="20"/>
    </row>
    <row r="347" spans="4:6" ht="15.75" customHeight="1" x14ac:dyDescent="0.2">
      <c r="D347" s="20"/>
      <c r="E347" s="20"/>
      <c r="F347" s="20"/>
    </row>
    <row r="348" spans="4:6" ht="15.75" customHeight="1" x14ac:dyDescent="0.2">
      <c r="D348" s="20"/>
      <c r="E348" s="20"/>
      <c r="F348" s="20"/>
    </row>
    <row r="349" spans="4:6" ht="15.75" customHeight="1" x14ac:dyDescent="0.2">
      <c r="D349" s="20"/>
      <c r="E349" s="20"/>
      <c r="F349" s="20"/>
    </row>
    <row r="350" spans="4:6" ht="15.75" customHeight="1" x14ac:dyDescent="0.2">
      <c r="D350" s="20"/>
      <c r="E350" s="20"/>
      <c r="F350" s="20"/>
    </row>
    <row r="351" spans="4:6" ht="15.75" customHeight="1" x14ac:dyDescent="0.2">
      <c r="D351" s="20"/>
      <c r="E351" s="20"/>
      <c r="F351" s="20"/>
    </row>
    <row r="352" spans="4:6" ht="15.75" customHeight="1" x14ac:dyDescent="0.2">
      <c r="D352" s="20"/>
      <c r="E352" s="20"/>
      <c r="F352" s="20"/>
    </row>
    <row r="353" spans="4:6" ht="15.75" customHeight="1" x14ac:dyDescent="0.2">
      <c r="D353" s="20"/>
      <c r="E353" s="20"/>
      <c r="F353" s="20"/>
    </row>
    <row r="354" spans="4:6" ht="15.75" customHeight="1" x14ac:dyDescent="0.2">
      <c r="D354" s="20"/>
      <c r="E354" s="20"/>
      <c r="F354" s="20"/>
    </row>
    <row r="355" spans="4:6" ht="15.75" customHeight="1" x14ac:dyDescent="0.2">
      <c r="D355" s="20"/>
      <c r="E355" s="20"/>
      <c r="F355" s="20"/>
    </row>
    <row r="356" spans="4:6" ht="15.75" customHeight="1" x14ac:dyDescent="0.2">
      <c r="D356" s="20"/>
      <c r="E356" s="20"/>
      <c r="F356" s="20"/>
    </row>
    <row r="357" spans="4:6" ht="15.75" customHeight="1" x14ac:dyDescent="0.2">
      <c r="D357" s="20"/>
      <c r="E357" s="20"/>
      <c r="F357" s="20"/>
    </row>
    <row r="358" spans="4:6" ht="15.75" customHeight="1" x14ac:dyDescent="0.2">
      <c r="D358" s="20"/>
      <c r="E358" s="20"/>
      <c r="F358" s="20"/>
    </row>
    <row r="359" spans="4:6" ht="15.75" customHeight="1" x14ac:dyDescent="0.2">
      <c r="D359" s="20"/>
      <c r="E359" s="20"/>
      <c r="F359" s="20"/>
    </row>
    <row r="360" spans="4:6" ht="15.75" customHeight="1" x14ac:dyDescent="0.2">
      <c r="D360" s="20"/>
      <c r="E360" s="20"/>
      <c r="F360" s="20"/>
    </row>
    <row r="361" spans="4:6" ht="15.75" customHeight="1" x14ac:dyDescent="0.2">
      <c r="D361" s="20"/>
      <c r="E361" s="20"/>
      <c r="F361" s="20"/>
    </row>
    <row r="362" spans="4:6" ht="15.75" customHeight="1" x14ac:dyDescent="0.2">
      <c r="D362" s="20"/>
      <c r="E362" s="20"/>
      <c r="F362" s="20"/>
    </row>
    <row r="363" spans="4:6" ht="15.75" customHeight="1" x14ac:dyDescent="0.2">
      <c r="D363" s="20"/>
      <c r="E363" s="20"/>
      <c r="F363" s="20"/>
    </row>
    <row r="364" spans="4:6" ht="15.75" customHeight="1" x14ac:dyDescent="0.2">
      <c r="D364" s="20"/>
      <c r="E364" s="20"/>
      <c r="F364" s="20"/>
    </row>
    <row r="365" spans="4:6" ht="15.75" customHeight="1" x14ac:dyDescent="0.2">
      <c r="D365" s="20"/>
      <c r="E365" s="20"/>
      <c r="F365" s="20"/>
    </row>
    <row r="366" spans="4:6" ht="15.75" customHeight="1" x14ac:dyDescent="0.2">
      <c r="D366" s="20"/>
      <c r="E366" s="20"/>
      <c r="F366" s="20"/>
    </row>
    <row r="367" spans="4:6" ht="15.75" customHeight="1" x14ac:dyDescent="0.2">
      <c r="D367" s="20"/>
      <c r="E367" s="20"/>
      <c r="F367" s="20"/>
    </row>
    <row r="368" spans="4:6" ht="15.75" customHeight="1" x14ac:dyDescent="0.2">
      <c r="D368" s="20"/>
      <c r="E368" s="20"/>
      <c r="F368" s="20"/>
    </row>
    <row r="369" spans="4:6" ht="15.75" customHeight="1" x14ac:dyDescent="0.2">
      <c r="D369" s="20"/>
      <c r="E369" s="20"/>
      <c r="F369" s="20"/>
    </row>
    <row r="370" spans="4:6" ht="15.75" customHeight="1" x14ac:dyDescent="0.2">
      <c r="D370" s="20"/>
      <c r="E370" s="20"/>
      <c r="F370" s="20"/>
    </row>
    <row r="371" spans="4:6" ht="15.75" customHeight="1" x14ac:dyDescent="0.2">
      <c r="D371" s="20"/>
      <c r="E371" s="20"/>
      <c r="F371" s="20"/>
    </row>
    <row r="372" spans="4:6" ht="15.75" customHeight="1" x14ac:dyDescent="0.2">
      <c r="D372" s="20"/>
      <c r="E372" s="20"/>
      <c r="F372" s="20"/>
    </row>
    <row r="373" spans="4:6" ht="15.75" customHeight="1" x14ac:dyDescent="0.2">
      <c r="D373" s="20"/>
      <c r="E373" s="20"/>
      <c r="F373" s="20"/>
    </row>
    <row r="374" spans="4:6" ht="15.75" customHeight="1" x14ac:dyDescent="0.2">
      <c r="D374" s="20"/>
      <c r="E374" s="20"/>
      <c r="F374" s="20"/>
    </row>
    <row r="375" spans="4:6" ht="15.75" customHeight="1" x14ac:dyDescent="0.2">
      <c r="D375" s="20"/>
      <c r="E375" s="20"/>
      <c r="F375" s="20"/>
    </row>
    <row r="376" spans="4:6" ht="15.75" customHeight="1" x14ac:dyDescent="0.2">
      <c r="D376" s="20"/>
      <c r="E376" s="20"/>
      <c r="F376" s="20"/>
    </row>
    <row r="377" spans="4:6" ht="15.75" customHeight="1" x14ac:dyDescent="0.2">
      <c r="D377" s="20"/>
      <c r="E377" s="20"/>
      <c r="F377" s="20"/>
    </row>
    <row r="378" spans="4:6" ht="15.75" customHeight="1" x14ac:dyDescent="0.2">
      <c r="D378" s="20"/>
      <c r="E378" s="20"/>
      <c r="F378" s="20"/>
    </row>
    <row r="379" spans="4:6" ht="15.75" customHeight="1" x14ac:dyDescent="0.2">
      <c r="D379" s="20"/>
      <c r="E379" s="20"/>
      <c r="F379" s="20"/>
    </row>
    <row r="380" spans="4:6" ht="15.75" customHeight="1" x14ac:dyDescent="0.2">
      <c r="D380" s="20"/>
      <c r="E380" s="20"/>
      <c r="F380" s="20"/>
    </row>
    <row r="381" spans="4:6" ht="15.75" customHeight="1" x14ac:dyDescent="0.2">
      <c r="D381" s="20"/>
      <c r="E381" s="20"/>
      <c r="F381" s="20"/>
    </row>
    <row r="382" spans="4:6" ht="15.75" customHeight="1" x14ac:dyDescent="0.2">
      <c r="D382" s="20"/>
      <c r="E382" s="20"/>
      <c r="F382" s="20"/>
    </row>
    <row r="383" spans="4:6" ht="15.75" customHeight="1" x14ac:dyDescent="0.2">
      <c r="D383" s="20"/>
      <c r="E383" s="20"/>
      <c r="F383" s="20"/>
    </row>
    <row r="384" spans="4:6" ht="15.75" customHeight="1" x14ac:dyDescent="0.2">
      <c r="D384" s="20"/>
      <c r="E384" s="20"/>
      <c r="F384" s="20"/>
    </row>
    <row r="385" spans="4:6" ht="15.75" customHeight="1" x14ac:dyDescent="0.2">
      <c r="D385" s="20"/>
      <c r="E385" s="20"/>
      <c r="F385" s="20"/>
    </row>
    <row r="386" spans="4:6" ht="15.75" customHeight="1" x14ac:dyDescent="0.2">
      <c r="D386" s="20"/>
      <c r="E386" s="20"/>
      <c r="F386" s="20"/>
    </row>
    <row r="387" spans="4:6" ht="15.75" customHeight="1" x14ac:dyDescent="0.2">
      <c r="D387" s="20"/>
      <c r="E387" s="20"/>
      <c r="F387" s="20"/>
    </row>
    <row r="388" spans="4:6" ht="15.75" customHeight="1" x14ac:dyDescent="0.2">
      <c r="D388" s="20"/>
      <c r="E388" s="20"/>
      <c r="F388" s="20"/>
    </row>
    <row r="389" spans="4:6" ht="15.75" customHeight="1" x14ac:dyDescent="0.2">
      <c r="D389" s="20"/>
      <c r="E389" s="20"/>
      <c r="F389" s="20"/>
    </row>
    <row r="390" spans="4:6" ht="15.75" customHeight="1" x14ac:dyDescent="0.2">
      <c r="D390" s="20"/>
      <c r="E390" s="20"/>
      <c r="F390" s="20"/>
    </row>
    <row r="391" spans="4:6" ht="15.75" customHeight="1" x14ac:dyDescent="0.2">
      <c r="D391" s="20"/>
      <c r="E391" s="20"/>
      <c r="F391" s="20"/>
    </row>
    <row r="392" spans="4:6" ht="15.75" customHeight="1" x14ac:dyDescent="0.2">
      <c r="D392" s="20"/>
      <c r="E392" s="20"/>
      <c r="F392" s="20"/>
    </row>
    <row r="393" spans="4:6" ht="15.75" customHeight="1" x14ac:dyDescent="0.2">
      <c r="D393" s="20"/>
      <c r="E393" s="20"/>
      <c r="F393" s="20"/>
    </row>
    <row r="394" spans="4:6" ht="15.75" customHeight="1" x14ac:dyDescent="0.2">
      <c r="D394" s="20"/>
      <c r="E394" s="20"/>
      <c r="F394" s="20"/>
    </row>
    <row r="395" spans="4:6" ht="15.75" customHeight="1" x14ac:dyDescent="0.2">
      <c r="D395" s="20"/>
      <c r="E395" s="20"/>
      <c r="F395" s="20"/>
    </row>
    <row r="396" spans="4:6" ht="15.75" customHeight="1" x14ac:dyDescent="0.2">
      <c r="D396" s="20"/>
      <c r="E396" s="20"/>
      <c r="F396" s="20"/>
    </row>
    <row r="397" spans="4:6" ht="15.75" customHeight="1" x14ac:dyDescent="0.2">
      <c r="D397" s="20"/>
      <c r="E397" s="20"/>
      <c r="F397" s="20"/>
    </row>
    <row r="398" spans="4:6" ht="15.75" customHeight="1" x14ac:dyDescent="0.2">
      <c r="D398" s="20"/>
      <c r="E398" s="20"/>
      <c r="F398" s="20"/>
    </row>
    <row r="399" spans="4:6" ht="15.75" customHeight="1" x14ac:dyDescent="0.2">
      <c r="D399" s="20"/>
      <c r="E399" s="20"/>
      <c r="F399" s="20"/>
    </row>
    <row r="400" spans="4:6" ht="15.75" customHeight="1" x14ac:dyDescent="0.2">
      <c r="D400" s="20"/>
      <c r="E400" s="20"/>
      <c r="F400" s="20"/>
    </row>
    <row r="401" spans="4:6" ht="15.75" customHeight="1" x14ac:dyDescent="0.2">
      <c r="D401" s="20"/>
      <c r="E401" s="20"/>
      <c r="F401" s="20"/>
    </row>
    <row r="402" spans="4:6" ht="15.75" customHeight="1" x14ac:dyDescent="0.2">
      <c r="D402" s="20"/>
      <c r="E402" s="20"/>
      <c r="F402" s="20"/>
    </row>
    <row r="403" spans="4:6" ht="15.75" customHeight="1" x14ac:dyDescent="0.2">
      <c r="D403" s="20"/>
      <c r="E403" s="20"/>
      <c r="F403" s="20"/>
    </row>
    <row r="404" spans="4:6" ht="15.75" customHeight="1" x14ac:dyDescent="0.2">
      <c r="D404" s="20"/>
      <c r="E404" s="20"/>
      <c r="F404" s="20"/>
    </row>
    <row r="405" spans="4:6" ht="15.75" customHeight="1" x14ac:dyDescent="0.2">
      <c r="D405" s="20"/>
      <c r="E405" s="20"/>
      <c r="F405" s="20"/>
    </row>
    <row r="406" spans="4:6" ht="15.75" customHeight="1" x14ac:dyDescent="0.2">
      <c r="D406" s="20"/>
      <c r="E406" s="20"/>
      <c r="F406" s="20"/>
    </row>
    <row r="407" spans="4:6" ht="15.75" customHeight="1" x14ac:dyDescent="0.2">
      <c r="D407" s="20"/>
      <c r="E407" s="20"/>
      <c r="F407" s="20"/>
    </row>
    <row r="408" spans="4:6" ht="15.75" customHeight="1" x14ac:dyDescent="0.2">
      <c r="D408" s="20"/>
      <c r="E408" s="20"/>
      <c r="F408" s="20"/>
    </row>
    <row r="409" spans="4:6" ht="15.75" customHeight="1" x14ac:dyDescent="0.2">
      <c r="D409" s="20"/>
      <c r="E409" s="20"/>
      <c r="F409" s="20"/>
    </row>
    <row r="410" spans="4:6" ht="15.75" customHeight="1" x14ac:dyDescent="0.2">
      <c r="D410" s="20"/>
      <c r="E410" s="20"/>
      <c r="F410" s="20"/>
    </row>
    <row r="411" spans="4:6" ht="15.75" customHeight="1" x14ac:dyDescent="0.2">
      <c r="D411" s="20"/>
      <c r="E411" s="20"/>
      <c r="F411" s="20"/>
    </row>
    <row r="412" spans="4:6" ht="15.75" customHeight="1" x14ac:dyDescent="0.2">
      <c r="D412" s="20"/>
      <c r="E412" s="20"/>
      <c r="F412" s="20"/>
    </row>
    <row r="413" spans="4:6" ht="15.75" customHeight="1" x14ac:dyDescent="0.2">
      <c r="D413" s="20"/>
      <c r="E413" s="20"/>
      <c r="F413" s="20"/>
    </row>
    <row r="414" spans="4:6" ht="15.75" customHeight="1" x14ac:dyDescent="0.2">
      <c r="D414" s="20"/>
      <c r="E414" s="20"/>
      <c r="F414" s="20"/>
    </row>
    <row r="415" spans="4:6" ht="15.75" customHeight="1" x14ac:dyDescent="0.2">
      <c r="D415" s="20"/>
      <c r="E415" s="20"/>
      <c r="F415" s="20"/>
    </row>
    <row r="416" spans="4:6" ht="15.75" customHeight="1" x14ac:dyDescent="0.2">
      <c r="D416" s="20"/>
      <c r="E416" s="20"/>
      <c r="F416" s="20"/>
    </row>
    <row r="417" spans="4:6" ht="15.75" customHeight="1" x14ac:dyDescent="0.2">
      <c r="D417" s="20"/>
      <c r="E417" s="20"/>
      <c r="F417" s="20"/>
    </row>
    <row r="418" spans="4:6" ht="15.75" customHeight="1" x14ac:dyDescent="0.2">
      <c r="D418" s="20"/>
      <c r="E418" s="20"/>
      <c r="F418" s="20"/>
    </row>
    <row r="419" spans="4:6" ht="15.75" customHeight="1" x14ac:dyDescent="0.2">
      <c r="D419" s="20"/>
      <c r="E419" s="20"/>
      <c r="F419" s="20"/>
    </row>
    <row r="420" spans="4:6" ht="15.75" customHeight="1" x14ac:dyDescent="0.2">
      <c r="D420" s="20"/>
      <c r="E420" s="20"/>
      <c r="F420" s="20"/>
    </row>
    <row r="421" spans="4:6" ht="15.75" customHeight="1" x14ac:dyDescent="0.2">
      <c r="D421" s="20"/>
      <c r="E421" s="20"/>
      <c r="F421" s="20"/>
    </row>
    <row r="422" spans="4:6" ht="15.75" customHeight="1" x14ac:dyDescent="0.2">
      <c r="D422" s="20"/>
      <c r="E422" s="20"/>
      <c r="F422" s="20"/>
    </row>
    <row r="423" spans="4:6" ht="15.75" customHeight="1" x14ac:dyDescent="0.2">
      <c r="D423" s="20"/>
      <c r="E423" s="20"/>
      <c r="F423" s="20"/>
    </row>
    <row r="424" spans="4:6" ht="15.75" customHeight="1" x14ac:dyDescent="0.2">
      <c r="D424" s="20"/>
      <c r="E424" s="20"/>
      <c r="F424" s="20"/>
    </row>
    <row r="425" spans="4:6" ht="15.75" customHeight="1" x14ac:dyDescent="0.2">
      <c r="D425" s="20"/>
      <c r="E425" s="20"/>
      <c r="F425" s="20"/>
    </row>
    <row r="426" spans="4:6" ht="15.75" customHeight="1" x14ac:dyDescent="0.2">
      <c r="D426" s="20"/>
      <c r="E426" s="20"/>
      <c r="F426" s="20"/>
    </row>
    <row r="427" spans="4:6" ht="15.75" customHeight="1" x14ac:dyDescent="0.2">
      <c r="D427" s="20"/>
      <c r="E427" s="20"/>
      <c r="F427" s="20"/>
    </row>
    <row r="428" spans="4:6" ht="15.75" customHeight="1" x14ac:dyDescent="0.2">
      <c r="D428" s="20"/>
      <c r="E428" s="20"/>
      <c r="F428" s="20"/>
    </row>
    <row r="429" spans="4:6" ht="15.75" customHeight="1" x14ac:dyDescent="0.2">
      <c r="D429" s="20"/>
      <c r="E429" s="20"/>
      <c r="F429" s="20"/>
    </row>
    <row r="430" spans="4:6" ht="15.75" customHeight="1" x14ac:dyDescent="0.2">
      <c r="D430" s="20"/>
      <c r="E430" s="20"/>
      <c r="F430" s="20"/>
    </row>
    <row r="431" spans="4:6" ht="15.75" customHeight="1" x14ac:dyDescent="0.2">
      <c r="D431" s="20"/>
      <c r="E431" s="20"/>
      <c r="F431" s="20"/>
    </row>
    <row r="432" spans="4:6" ht="15.75" customHeight="1" x14ac:dyDescent="0.2">
      <c r="D432" s="20"/>
      <c r="E432" s="20"/>
      <c r="F432" s="20"/>
    </row>
    <row r="433" spans="4:6" ht="15.75" customHeight="1" x14ac:dyDescent="0.2">
      <c r="D433" s="20"/>
      <c r="E433" s="20"/>
      <c r="F433" s="20"/>
    </row>
    <row r="434" spans="4:6" ht="15.75" customHeight="1" x14ac:dyDescent="0.2">
      <c r="D434" s="20"/>
      <c r="E434" s="20"/>
      <c r="F434" s="20"/>
    </row>
    <row r="435" spans="4:6" ht="15.75" customHeight="1" x14ac:dyDescent="0.2">
      <c r="D435" s="20"/>
      <c r="E435" s="20"/>
      <c r="F435" s="20"/>
    </row>
    <row r="436" spans="4:6" ht="15.75" customHeight="1" x14ac:dyDescent="0.2">
      <c r="D436" s="20"/>
      <c r="E436" s="20"/>
      <c r="F436" s="20"/>
    </row>
    <row r="437" spans="4:6" ht="15.75" customHeight="1" x14ac:dyDescent="0.2">
      <c r="D437" s="20"/>
      <c r="E437" s="20"/>
      <c r="F437" s="20"/>
    </row>
    <row r="438" spans="4:6" ht="15.75" customHeight="1" x14ac:dyDescent="0.2">
      <c r="D438" s="20"/>
      <c r="E438" s="20"/>
      <c r="F438" s="20"/>
    </row>
    <row r="439" spans="4:6" ht="15.75" customHeight="1" x14ac:dyDescent="0.2">
      <c r="D439" s="20"/>
      <c r="E439" s="20"/>
      <c r="F439" s="20"/>
    </row>
    <row r="440" spans="4:6" ht="15.75" customHeight="1" x14ac:dyDescent="0.2">
      <c r="D440" s="20"/>
      <c r="E440" s="20"/>
      <c r="F440" s="20"/>
    </row>
    <row r="441" spans="4:6" ht="15.75" customHeight="1" x14ac:dyDescent="0.2">
      <c r="D441" s="20"/>
      <c r="E441" s="20"/>
      <c r="F441" s="20"/>
    </row>
    <row r="442" spans="4:6" ht="15.75" customHeight="1" x14ac:dyDescent="0.2">
      <c r="D442" s="20"/>
      <c r="E442" s="20"/>
      <c r="F442" s="20"/>
    </row>
    <row r="443" spans="4:6" ht="15.75" customHeight="1" x14ac:dyDescent="0.2">
      <c r="D443" s="20"/>
      <c r="E443" s="20"/>
      <c r="F443" s="20"/>
    </row>
    <row r="444" spans="4:6" ht="15.75" customHeight="1" x14ac:dyDescent="0.2">
      <c r="D444" s="20"/>
      <c r="E444" s="20"/>
      <c r="F444" s="20"/>
    </row>
    <row r="445" spans="4:6" ht="15.75" customHeight="1" x14ac:dyDescent="0.2">
      <c r="D445" s="20"/>
      <c r="E445" s="20"/>
      <c r="F445" s="20"/>
    </row>
    <row r="446" spans="4:6" ht="15.75" customHeight="1" x14ac:dyDescent="0.2">
      <c r="D446" s="20"/>
      <c r="E446" s="20"/>
      <c r="F446" s="20"/>
    </row>
    <row r="447" spans="4:6" ht="15.75" customHeight="1" x14ac:dyDescent="0.2">
      <c r="D447" s="20"/>
      <c r="E447" s="20"/>
      <c r="F447" s="20"/>
    </row>
    <row r="448" spans="4:6" ht="15.75" customHeight="1" x14ac:dyDescent="0.2">
      <c r="D448" s="20"/>
      <c r="E448" s="20"/>
      <c r="F448" s="20"/>
    </row>
    <row r="449" spans="4:6" ht="15.75" customHeight="1" x14ac:dyDescent="0.2">
      <c r="D449" s="20"/>
      <c r="E449" s="20"/>
      <c r="F449" s="20"/>
    </row>
    <row r="450" spans="4:6" ht="15.75" customHeight="1" x14ac:dyDescent="0.2">
      <c r="D450" s="20"/>
      <c r="E450" s="20"/>
      <c r="F450" s="20"/>
    </row>
    <row r="451" spans="4:6" ht="15.75" customHeight="1" x14ac:dyDescent="0.2">
      <c r="D451" s="20"/>
      <c r="E451" s="20"/>
      <c r="F451" s="20"/>
    </row>
    <row r="452" spans="4:6" ht="15.75" customHeight="1" x14ac:dyDescent="0.2">
      <c r="D452" s="20"/>
      <c r="E452" s="20"/>
      <c r="F452" s="20"/>
    </row>
    <row r="453" spans="4:6" ht="15.75" customHeight="1" x14ac:dyDescent="0.2">
      <c r="D453" s="20"/>
      <c r="E453" s="20"/>
      <c r="F453" s="20"/>
    </row>
    <row r="454" spans="4:6" ht="15.75" customHeight="1" x14ac:dyDescent="0.2">
      <c r="D454" s="20"/>
      <c r="E454" s="20"/>
      <c r="F454" s="20"/>
    </row>
    <row r="455" spans="4:6" ht="15.75" customHeight="1" x14ac:dyDescent="0.2">
      <c r="D455" s="20"/>
      <c r="E455" s="20"/>
      <c r="F455" s="20"/>
    </row>
    <row r="456" spans="4:6" ht="15.75" customHeight="1" x14ac:dyDescent="0.2">
      <c r="D456" s="20"/>
      <c r="E456" s="20"/>
      <c r="F456" s="20"/>
    </row>
    <row r="457" spans="4:6" ht="15.75" customHeight="1" x14ac:dyDescent="0.2">
      <c r="D457" s="20"/>
      <c r="E457" s="20"/>
      <c r="F457" s="20"/>
    </row>
    <row r="458" spans="4:6" ht="15.75" customHeight="1" x14ac:dyDescent="0.2">
      <c r="D458" s="20"/>
      <c r="E458" s="20"/>
      <c r="F458" s="20"/>
    </row>
    <row r="459" spans="4:6" ht="15.75" customHeight="1" x14ac:dyDescent="0.2">
      <c r="D459" s="20"/>
      <c r="E459" s="20"/>
      <c r="F459" s="20"/>
    </row>
    <row r="460" spans="4:6" ht="15.75" customHeight="1" x14ac:dyDescent="0.2">
      <c r="D460" s="20"/>
      <c r="E460" s="20"/>
      <c r="F460" s="20"/>
    </row>
    <row r="461" spans="4:6" ht="15.75" customHeight="1" x14ac:dyDescent="0.2">
      <c r="D461" s="20"/>
      <c r="E461" s="20"/>
      <c r="F461" s="20"/>
    </row>
    <row r="462" spans="4:6" ht="15.75" customHeight="1" x14ac:dyDescent="0.2">
      <c r="D462" s="20"/>
      <c r="E462" s="20"/>
      <c r="F462" s="20"/>
    </row>
    <row r="463" spans="4:6" ht="15.75" customHeight="1" x14ac:dyDescent="0.2">
      <c r="D463" s="20"/>
      <c r="E463" s="20"/>
      <c r="F463" s="20"/>
    </row>
    <row r="464" spans="4:6" ht="15.75" customHeight="1" x14ac:dyDescent="0.2">
      <c r="D464" s="20"/>
      <c r="E464" s="20"/>
      <c r="F464" s="20"/>
    </row>
    <row r="465" spans="4:6" ht="15.75" customHeight="1" x14ac:dyDescent="0.2">
      <c r="D465" s="20"/>
      <c r="E465" s="20"/>
      <c r="F465" s="20"/>
    </row>
    <row r="466" spans="4:6" ht="15.75" customHeight="1" x14ac:dyDescent="0.2">
      <c r="D466" s="20"/>
      <c r="E466" s="20"/>
      <c r="F466" s="20"/>
    </row>
    <row r="467" spans="4:6" ht="15.75" customHeight="1" x14ac:dyDescent="0.2">
      <c r="D467" s="20"/>
      <c r="E467" s="20"/>
      <c r="F467" s="20"/>
    </row>
    <row r="468" spans="4:6" ht="15.75" customHeight="1" x14ac:dyDescent="0.2">
      <c r="D468" s="20"/>
      <c r="E468" s="20"/>
      <c r="F468" s="20"/>
    </row>
    <row r="469" spans="4:6" ht="15.75" customHeight="1" x14ac:dyDescent="0.2">
      <c r="D469" s="20"/>
      <c r="E469" s="20"/>
      <c r="F469" s="20"/>
    </row>
    <row r="470" spans="4:6" ht="15.75" customHeight="1" x14ac:dyDescent="0.2">
      <c r="D470" s="20"/>
      <c r="E470" s="20"/>
      <c r="F470" s="20"/>
    </row>
    <row r="471" spans="4:6" ht="15.75" customHeight="1" x14ac:dyDescent="0.2">
      <c r="D471" s="20"/>
      <c r="E471" s="20"/>
      <c r="F471" s="20"/>
    </row>
    <row r="472" spans="4:6" ht="15.75" customHeight="1" x14ac:dyDescent="0.2">
      <c r="D472" s="20"/>
      <c r="E472" s="20"/>
      <c r="F472" s="20"/>
    </row>
    <row r="473" spans="4:6" ht="15.75" customHeight="1" x14ac:dyDescent="0.2">
      <c r="D473" s="20"/>
      <c r="E473" s="20"/>
      <c r="F473" s="20"/>
    </row>
    <row r="474" spans="4:6" ht="15.75" customHeight="1" x14ac:dyDescent="0.2">
      <c r="D474" s="20"/>
      <c r="E474" s="20"/>
      <c r="F474" s="20"/>
    </row>
    <row r="475" spans="4:6" ht="15.75" customHeight="1" x14ac:dyDescent="0.2">
      <c r="D475" s="20"/>
      <c r="E475" s="20"/>
      <c r="F475" s="20"/>
    </row>
    <row r="476" spans="4:6" ht="15.75" customHeight="1" x14ac:dyDescent="0.2">
      <c r="D476" s="20"/>
      <c r="E476" s="20"/>
      <c r="F476" s="20"/>
    </row>
    <row r="477" spans="4:6" ht="15.75" customHeight="1" x14ac:dyDescent="0.2">
      <c r="D477" s="20"/>
      <c r="E477" s="20"/>
      <c r="F477" s="20"/>
    </row>
    <row r="478" spans="4:6" ht="15.75" customHeight="1" x14ac:dyDescent="0.2">
      <c r="D478" s="20"/>
      <c r="E478" s="20"/>
      <c r="F478" s="20"/>
    </row>
    <row r="479" spans="4:6" ht="15.75" customHeight="1" x14ac:dyDescent="0.2">
      <c r="D479" s="20"/>
      <c r="E479" s="20"/>
      <c r="F479" s="20"/>
    </row>
    <row r="480" spans="4:6" ht="15.75" customHeight="1" x14ac:dyDescent="0.2">
      <c r="D480" s="20"/>
      <c r="E480" s="20"/>
      <c r="F480" s="20"/>
    </row>
    <row r="481" spans="4:6" ht="15.75" customHeight="1" x14ac:dyDescent="0.2">
      <c r="D481" s="20"/>
      <c r="E481" s="20"/>
      <c r="F481" s="20"/>
    </row>
    <row r="482" spans="4:6" ht="15.75" customHeight="1" x14ac:dyDescent="0.2">
      <c r="D482" s="20"/>
      <c r="E482" s="20"/>
      <c r="F482" s="20"/>
    </row>
    <row r="483" spans="4:6" ht="15.75" customHeight="1" x14ac:dyDescent="0.2">
      <c r="D483" s="20"/>
      <c r="E483" s="20"/>
      <c r="F483" s="20"/>
    </row>
    <row r="484" spans="4:6" ht="15.75" customHeight="1" x14ac:dyDescent="0.2">
      <c r="D484" s="20"/>
      <c r="E484" s="20"/>
      <c r="F484" s="20"/>
    </row>
    <row r="485" spans="4:6" ht="15.75" customHeight="1" x14ac:dyDescent="0.2">
      <c r="D485" s="20"/>
      <c r="E485" s="20"/>
      <c r="F485" s="20"/>
    </row>
    <row r="486" spans="4:6" ht="15.75" customHeight="1" x14ac:dyDescent="0.2">
      <c r="D486" s="20"/>
      <c r="E486" s="20"/>
      <c r="F486" s="20"/>
    </row>
    <row r="487" spans="4:6" ht="15.75" customHeight="1" x14ac:dyDescent="0.2">
      <c r="D487" s="20"/>
      <c r="E487" s="20"/>
      <c r="F487" s="20"/>
    </row>
    <row r="488" spans="4:6" ht="15.75" customHeight="1" x14ac:dyDescent="0.2">
      <c r="D488" s="20"/>
      <c r="E488" s="20"/>
      <c r="F488" s="20"/>
    </row>
    <row r="489" spans="4:6" ht="15.75" customHeight="1" x14ac:dyDescent="0.2">
      <c r="D489" s="20"/>
      <c r="E489" s="20"/>
      <c r="F489" s="20"/>
    </row>
    <row r="490" spans="4:6" ht="15.75" customHeight="1" x14ac:dyDescent="0.2">
      <c r="D490" s="20"/>
      <c r="E490" s="20"/>
      <c r="F490" s="20"/>
    </row>
    <row r="491" spans="4:6" ht="15.75" customHeight="1" x14ac:dyDescent="0.2">
      <c r="D491" s="20"/>
      <c r="E491" s="20"/>
      <c r="F491" s="20"/>
    </row>
    <row r="492" spans="4:6" ht="15.75" customHeight="1" x14ac:dyDescent="0.2">
      <c r="D492" s="20"/>
      <c r="E492" s="20"/>
      <c r="F492" s="20"/>
    </row>
    <row r="493" spans="4:6" ht="15.75" customHeight="1" x14ac:dyDescent="0.2">
      <c r="D493" s="20"/>
      <c r="E493" s="20"/>
      <c r="F493" s="20"/>
    </row>
    <row r="494" spans="4:6" ht="15.75" customHeight="1" x14ac:dyDescent="0.2">
      <c r="D494" s="20"/>
      <c r="E494" s="20"/>
      <c r="F494" s="20"/>
    </row>
    <row r="495" spans="4:6" ht="15.75" customHeight="1" x14ac:dyDescent="0.2">
      <c r="D495" s="20"/>
      <c r="E495" s="20"/>
      <c r="F495" s="20"/>
    </row>
    <row r="496" spans="4:6" ht="15.75" customHeight="1" x14ac:dyDescent="0.2">
      <c r="D496" s="20"/>
      <c r="E496" s="20"/>
      <c r="F496" s="20"/>
    </row>
    <row r="497" spans="4:6" ht="15.75" customHeight="1" x14ac:dyDescent="0.2">
      <c r="D497" s="20"/>
      <c r="E497" s="20"/>
      <c r="F497" s="20"/>
    </row>
    <row r="498" spans="4:6" ht="15.75" customHeight="1" x14ac:dyDescent="0.2">
      <c r="D498" s="20"/>
      <c r="E498" s="20"/>
      <c r="F498" s="20"/>
    </row>
    <row r="499" spans="4:6" ht="15.75" customHeight="1" x14ac:dyDescent="0.2">
      <c r="D499" s="20"/>
      <c r="E499" s="20"/>
      <c r="F499" s="20"/>
    </row>
    <row r="500" spans="4:6" ht="15.75" customHeight="1" x14ac:dyDescent="0.2">
      <c r="D500" s="20"/>
      <c r="E500" s="20"/>
      <c r="F500" s="20"/>
    </row>
    <row r="501" spans="4:6" ht="15.75" customHeight="1" x14ac:dyDescent="0.2">
      <c r="D501" s="20"/>
      <c r="E501" s="20"/>
      <c r="F501" s="20"/>
    </row>
    <row r="502" spans="4:6" ht="15.75" customHeight="1" x14ac:dyDescent="0.2">
      <c r="D502" s="20"/>
      <c r="E502" s="20"/>
      <c r="F502" s="20"/>
    </row>
    <row r="503" spans="4:6" ht="15.75" customHeight="1" x14ac:dyDescent="0.2">
      <c r="D503" s="20"/>
      <c r="E503" s="20"/>
      <c r="F503" s="20"/>
    </row>
    <row r="504" spans="4:6" ht="15.75" customHeight="1" x14ac:dyDescent="0.2">
      <c r="D504" s="20"/>
      <c r="E504" s="20"/>
      <c r="F504" s="20"/>
    </row>
    <row r="505" spans="4:6" ht="15.75" customHeight="1" x14ac:dyDescent="0.2">
      <c r="D505" s="20"/>
      <c r="E505" s="20"/>
      <c r="F505" s="20"/>
    </row>
    <row r="506" spans="4:6" ht="15.75" customHeight="1" x14ac:dyDescent="0.2">
      <c r="D506" s="20"/>
      <c r="E506" s="20"/>
      <c r="F506" s="20"/>
    </row>
    <row r="507" spans="4:6" ht="15.75" customHeight="1" x14ac:dyDescent="0.2">
      <c r="D507" s="20"/>
      <c r="E507" s="20"/>
      <c r="F507" s="20"/>
    </row>
    <row r="508" spans="4:6" ht="15.75" customHeight="1" x14ac:dyDescent="0.2">
      <c r="D508" s="20"/>
      <c r="E508" s="20"/>
      <c r="F508" s="20"/>
    </row>
    <row r="509" spans="4:6" ht="15.75" customHeight="1" x14ac:dyDescent="0.2">
      <c r="D509" s="20"/>
      <c r="E509" s="20"/>
      <c r="F509" s="20"/>
    </row>
    <row r="510" spans="4:6" ht="15.75" customHeight="1" x14ac:dyDescent="0.2">
      <c r="D510" s="20"/>
      <c r="E510" s="20"/>
      <c r="F510" s="20"/>
    </row>
    <row r="511" spans="4:6" ht="15.75" customHeight="1" x14ac:dyDescent="0.2">
      <c r="D511" s="20"/>
      <c r="E511" s="20"/>
      <c r="F511" s="20"/>
    </row>
    <row r="512" spans="4:6" ht="15.75" customHeight="1" x14ac:dyDescent="0.2">
      <c r="D512" s="20"/>
      <c r="E512" s="20"/>
      <c r="F512" s="20"/>
    </row>
    <row r="513" spans="4:6" ht="15.75" customHeight="1" x14ac:dyDescent="0.2">
      <c r="D513" s="20"/>
      <c r="E513" s="20"/>
      <c r="F513" s="20"/>
    </row>
    <row r="514" spans="4:6" ht="15.75" customHeight="1" x14ac:dyDescent="0.2">
      <c r="D514" s="20"/>
      <c r="E514" s="20"/>
      <c r="F514" s="20"/>
    </row>
    <row r="515" spans="4:6" ht="15.75" customHeight="1" x14ac:dyDescent="0.2">
      <c r="D515" s="20"/>
      <c r="E515" s="20"/>
      <c r="F515" s="20"/>
    </row>
    <row r="516" spans="4:6" ht="15.75" customHeight="1" x14ac:dyDescent="0.2">
      <c r="D516" s="20"/>
      <c r="E516" s="20"/>
      <c r="F516" s="20"/>
    </row>
    <row r="517" spans="4:6" ht="15.75" customHeight="1" x14ac:dyDescent="0.2">
      <c r="D517" s="20"/>
      <c r="E517" s="20"/>
      <c r="F517" s="20"/>
    </row>
    <row r="518" spans="4:6" ht="15.75" customHeight="1" x14ac:dyDescent="0.2">
      <c r="D518" s="20"/>
      <c r="E518" s="20"/>
      <c r="F518" s="20"/>
    </row>
    <row r="519" spans="4:6" ht="15.75" customHeight="1" x14ac:dyDescent="0.2">
      <c r="D519" s="20"/>
      <c r="E519" s="20"/>
      <c r="F519" s="20"/>
    </row>
    <row r="520" spans="4:6" ht="15.75" customHeight="1" x14ac:dyDescent="0.2">
      <c r="D520" s="20"/>
      <c r="E520" s="20"/>
      <c r="F520" s="20"/>
    </row>
    <row r="521" spans="4:6" ht="15.75" customHeight="1" x14ac:dyDescent="0.2">
      <c r="D521" s="20"/>
      <c r="E521" s="20"/>
      <c r="F521" s="20"/>
    </row>
    <row r="522" spans="4:6" ht="15.75" customHeight="1" x14ac:dyDescent="0.2">
      <c r="D522" s="20"/>
      <c r="E522" s="20"/>
      <c r="F522" s="20"/>
    </row>
    <row r="523" spans="4:6" ht="15.75" customHeight="1" x14ac:dyDescent="0.2">
      <c r="D523" s="20"/>
      <c r="E523" s="20"/>
      <c r="F523" s="20"/>
    </row>
    <row r="524" spans="4:6" ht="15.75" customHeight="1" x14ac:dyDescent="0.2">
      <c r="D524" s="20"/>
      <c r="E524" s="20"/>
      <c r="F524" s="20"/>
    </row>
    <row r="525" spans="4:6" ht="15.75" customHeight="1" x14ac:dyDescent="0.2">
      <c r="D525" s="20"/>
      <c r="E525" s="20"/>
      <c r="F525" s="20"/>
    </row>
    <row r="526" spans="4:6" ht="15.75" customHeight="1" x14ac:dyDescent="0.2">
      <c r="D526" s="20"/>
      <c r="E526" s="20"/>
      <c r="F526" s="20"/>
    </row>
    <row r="527" spans="4:6" ht="15.75" customHeight="1" x14ac:dyDescent="0.2">
      <c r="D527" s="20"/>
      <c r="E527" s="20"/>
      <c r="F527" s="20"/>
    </row>
    <row r="528" spans="4:6" ht="15.75" customHeight="1" x14ac:dyDescent="0.2">
      <c r="D528" s="20"/>
      <c r="E528" s="20"/>
      <c r="F528" s="20"/>
    </row>
    <row r="529" spans="4:6" ht="15.75" customHeight="1" x14ac:dyDescent="0.2">
      <c r="D529" s="20"/>
      <c r="E529" s="20"/>
      <c r="F529" s="20"/>
    </row>
    <row r="530" spans="4:6" ht="15.75" customHeight="1" x14ac:dyDescent="0.2">
      <c r="D530" s="20"/>
      <c r="E530" s="20"/>
      <c r="F530" s="20"/>
    </row>
    <row r="531" spans="4:6" ht="15.75" customHeight="1" x14ac:dyDescent="0.2">
      <c r="D531" s="20"/>
      <c r="E531" s="20"/>
      <c r="F531" s="20"/>
    </row>
    <row r="532" spans="4:6" ht="15.75" customHeight="1" x14ac:dyDescent="0.2">
      <c r="D532" s="20"/>
      <c r="E532" s="20"/>
      <c r="F532" s="20"/>
    </row>
    <row r="533" spans="4:6" ht="15.75" customHeight="1" x14ac:dyDescent="0.2">
      <c r="D533" s="20"/>
      <c r="E533" s="20"/>
      <c r="F533" s="20"/>
    </row>
    <row r="534" spans="4:6" ht="15.75" customHeight="1" x14ac:dyDescent="0.2">
      <c r="D534" s="20"/>
      <c r="E534" s="20"/>
      <c r="F534" s="20"/>
    </row>
    <row r="535" spans="4:6" ht="15.75" customHeight="1" x14ac:dyDescent="0.2">
      <c r="D535" s="20"/>
      <c r="E535" s="20"/>
      <c r="F535" s="20"/>
    </row>
    <row r="536" spans="4:6" ht="15.75" customHeight="1" x14ac:dyDescent="0.2">
      <c r="D536" s="20"/>
      <c r="E536" s="20"/>
      <c r="F536" s="20"/>
    </row>
    <row r="537" spans="4:6" ht="15.75" customHeight="1" x14ac:dyDescent="0.2">
      <c r="D537" s="20"/>
      <c r="E537" s="20"/>
      <c r="F537" s="20"/>
    </row>
    <row r="538" spans="4:6" ht="15.75" customHeight="1" x14ac:dyDescent="0.2">
      <c r="D538" s="20"/>
      <c r="E538" s="20"/>
      <c r="F538" s="20"/>
    </row>
    <row r="539" spans="4:6" ht="15.75" customHeight="1" x14ac:dyDescent="0.2">
      <c r="D539" s="20"/>
      <c r="E539" s="20"/>
      <c r="F539" s="20"/>
    </row>
    <row r="540" spans="4:6" ht="15.75" customHeight="1" x14ac:dyDescent="0.2">
      <c r="D540" s="20"/>
      <c r="E540" s="20"/>
      <c r="F540" s="20"/>
    </row>
    <row r="541" spans="4:6" ht="15.75" customHeight="1" x14ac:dyDescent="0.2">
      <c r="D541" s="20"/>
      <c r="E541" s="20"/>
      <c r="F541" s="20"/>
    </row>
    <row r="542" spans="4:6" ht="15.75" customHeight="1" x14ac:dyDescent="0.2">
      <c r="D542" s="20"/>
      <c r="E542" s="20"/>
      <c r="F542" s="20"/>
    </row>
    <row r="543" spans="4:6" ht="15.75" customHeight="1" x14ac:dyDescent="0.2">
      <c r="D543" s="20"/>
      <c r="E543" s="20"/>
      <c r="F543" s="20"/>
    </row>
    <row r="544" spans="4:6" ht="15.75" customHeight="1" x14ac:dyDescent="0.2">
      <c r="D544" s="20"/>
      <c r="E544" s="20"/>
      <c r="F544" s="20"/>
    </row>
    <row r="545" spans="4:6" ht="15.75" customHeight="1" x14ac:dyDescent="0.2">
      <c r="D545" s="20"/>
      <c r="E545" s="20"/>
      <c r="F545" s="20"/>
    </row>
    <row r="546" spans="4:6" ht="15.75" customHeight="1" x14ac:dyDescent="0.2">
      <c r="D546" s="20"/>
      <c r="E546" s="20"/>
      <c r="F546" s="20"/>
    </row>
    <row r="547" spans="4:6" ht="15.75" customHeight="1" x14ac:dyDescent="0.2">
      <c r="D547" s="20"/>
      <c r="E547" s="20"/>
      <c r="F547" s="20"/>
    </row>
    <row r="548" spans="4:6" ht="15.75" customHeight="1" x14ac:dyDescent="0.2">
      <c r="D548" s="20"/>
      <c r="E548" s="20"/>
      <c r="F548" s="20"/>
    </row>
    <row r="549" spans="4:6" ht="15.75" customHeight="1" x14ac:dyDescent="0.2">
      <c r="D549" s="20"/>
      <c r="E549" s="20"/>
      <c r="F549" s="20"/>
    </row>
    <row r="550" spans="4:6" ht="15.75" customHeight="1" x14ac:dyDescent="0.2">
      <c r="D550" s="20"/>
      <c r="E550" s="20"/>
      <c r="F550" s="20"/>
    </row>
    <row r="551" spans="4:6" ht="15.75" customHeight="1" x14ac:dyDescent="0.2">
      <c r="D551" s="20"/>
      <c r="E551" s="20"/>
      <c r="F551" s="20"/>
    </row>
    <row r="552" spans="4:6" ht="15.75" customHeight="1" x14ac:dyDescent="0.2">
      <c r="D552" s="20"/>
      <c r="E552" s="20"/>
      <c r="F552" s="20"/>
    </row>
    <row r="553" spans="4:6" ht="15.75" customHeight="1" x14ac:dyDescent="0.2">
      <c r="D553" s="20"/>
      <c r="E553" s="20"/>
      <c r="F553" s="20"/>
    </row>
    <row r="554" spans="4:6" ht="15.75" customHeight="1" x14ac:dyDescent="0.2">
      <c r="D554" s="20"/>
      <c r="E554" s="20"/>
      <c r="F554" s="20"/>
    </row>
    <row r="555" spans="4:6" ht="15.75" customHeight="1" x14ac:dyDescent="0.2">
      <c r="D555" s="20"/>
      <c r="E555" s="20"/>
      <c r="F555" s="20"/>
    </row>
    <row r="556" spans="4:6" ht="15.75" customHeight="1" x14ac:dyDescent="0.2">
      <c r="D556" s="20"/>
      <c r="E556" s="20"/>
      <c r="F556" s="20"/>
    </row>
    <row r="557" spans="4:6" ht="15.75" customHeight="1" x14ac:dyDescent="0.2">
      <c r="D557" s="20"/>
      <c r="E557" s="20"/>
      <c r="F557" s="20"/>
    </row>
    <row r="558" spans="4:6" ht="15.75" customHeight="1" x14ac:dyDescent="0.2">
      <c r="D558" s="20"/>
      <c r="E558" s="20"/>
      <c r="F558" s="20"/>
    </row>
    <row r="559" spans="4:6" ht="15.75" customHeight="1" x14ac:dyDescent="0.2">
      <c r="D559" s="20"/>
      <c r="E559" s="20"/>
      <c r="F559" s="20"/>
    </row>
    <row r="560" spans="4:6" ht="15.75" customHeight="1" x14ac:dyDescent="0.2">
      <c r="D560" s="20"/>
      <c r="E560" s="20"/>
      <c r="F560" s="20"/>
    </row>
    <row r="561" spans="4:6" ht="15.75" customHeight="1" x14ac:dyDescent="0.2">
      <c r="D561" s="20"/>
      <c r="E561" s="20"/>
      <c r="F561" s="20"/>
    </row>
    <row r="562" spans="4:6" ht="15.75" customHeight="1" x14ac:dyDescent="0.2">
      <c r="D562" s="20"/>
      <c r="E562" s="20"/>
      <c r="F562" s="20"/>
    </row>
    <row r="563" spans="4:6" ht="15.75" customHeight="1" x14ac:dyDescent="0.2">
      <c r="D563" s="20"/>
      <c r="E563" s="20"/>
      <c r="F563" s="20"/>
    </row>
    <row r="564" spans="4:6" ht="15.75" customHeight="1" x14ac:dyDescent="0.2">
      <c r="D564" s="20"/>
      <c r="E564" s="20"/>
      <c r="F564" s="20"/>
    </row>
    <row r="565" spans="4:6" ht="15.75" customHeight="1" x14ac:dyDescent="0.2">
      <c r="D565" s="20"/>
      <c r="E565" s="20"/>
      <c r="F565" s="20"/>
    </row>
    <row r="566" spans="4:6" ht="15.75" customHeight="1" x14ac:dyDescent="0.2">
      <c r="D566" s="20"/>
      <c r="E566" s="20"/>
      <c r="F566" s="20"/>
    </row>
    <row r="567" spans="4:6" ht="15.75" customHeight="1" x14ac:dyDescent="0.2">
      <c r="D567" s="20"/>
      <c r="E567" s="20"/>
      <c r="F567" s="20"/>
    </row>
    <row r="568" spans="4:6" ht="15.75" customHeight="1" x14ac:dyDescent="0.2">
      <c r="D568" s="20"/>
      <c r="E568" s="20"/>
      <c r="F568" s="20"/>
    </row>
    <row r="569" spans="4:6" ht="15.75" customHeight="1" x14ac:dyDescent="0.2">
      <c r="D569" s="20"/>
      <c r="E569" s="20"/>
      <c r="F569" s="20"/>
    </row>
    <row r="570" spans="4:6" ht="15.75" customHeight="1" x14ac:dyDescent="0.2">
      <c r="D570" s="20"/>
      <c r="E570" s="20"/>
      <c r="F570" s="20"/>
    </row>
    <row r="571" spans="4:6" ht="15.75" customHeight="1" x14ac:dyDescent="0.2">
      <c r="D571" s="20"/>
      <c r="E571" s="20"/>
      <c r="F571" s="20"/>
    </row>
    <row r="572" spans="4:6" ht="15.75" customHeight="1" x14ac:dyDescent="0.2">
      <c r="D572" s="20"/>
      <c r="E572" s="20"/>
      <c r="F572" s="20"/>
    </row>
    <row r="573" spans="4:6" ht="15.75" customHeight="1" x14ac:dyDescent="0.2">
      <c r="D573" s="20"/>
      <c r="E573" s="20"/>
      <c r="F573" s="20"/>
    </row>
    <row r="574" spans="4:6" ht="15.75" customHeight="1" x14ac:dyDescent="0.2">
      <c r="D574" s="20"/>
      <c r="E574" s="20"/>
      <c r="F574" s="20"/>
    </row>
    <row r="575" spans="4:6" ht="15.75" customHeight="1" x14ac:dyDescent="0.2">
      <c r="D575" s="20"/>
      <c r="E575" s="20"/>
      <c r="F575" s="20"/>
    </row>
    <row r="576" spans="4:6" ht="15.75" customHeight="1" x14ac:dyDescent="0.2">
      <c r="D576" s="20"/>
      <c r="E576" s="20"/>
      <c r="F576" s="20"/>
    </row>
    <row r="577" spans="4:6" ht="15.75" customHeight="1" x14ac:dyDescent="0.2">
      <c r="D577" s="20"/>
      <c r="E577" s="20"/>
      <c r="F577" s="20"/>
    </row>
    <row r="578" spans="4:6" ht="15.75" customHeight="1" x14ac:dyDescent="0.2">
      <c r="D578" s="20"/>
      <c r="E578" s="20"/>
      <c r="F578" s="20"/>
    </row>
    <row r="579" spans="4:6" ht="15.75" customHeight="1" x14ac:dyDescent="0.2">
      <c r="D579" s="20"/>
      <c r="E579" s="20"/>
      <c r="F579" s="20"/>
    </row>
    <row r="580" spans="4:6" ht="15.75" customHeight="1" x14ac:dyDescent="0.2">
      <c r="D580" s="20"/>
      <c r="E580" s="20"/>
      <c r="F580" s="20"/>
    </row>
    <row r="581" spans="4:6" ht="15.75" customHeight="1" x14ac:dyDescent="0.2">
      <c r="D581" s="20"/>
      <c r="E581" s="20"/>
      <c r="F581" s="20"/>
    </row>
    <row r="582" spans="4:6" ht="15.75" customHeight="1" x14ac:dyDescent="0.2">
      <c r="D582" s="20"/>
      <c r="E582" s="20"/>
      <c r="F582" s="20"/>
    </row>
    <row r="583" spans="4:6" ht="15.75" customHeight="1" x14ac:dyDescent="0.2">
      <c r="D583" s="20"/>
      <c r="E583" s="20"/>
      <c r="F583" s="20"/>
    </row>
    <row r="584" spans="4:6" ht="15.75" customHeight="1" x14ac:dyDescent="0.2">
      <c r="D584" s="20"/>
      <c r="E584" s="20"/>
      <c r="F584" s="20"/>
    </row>
    <row r="585" spans="4:6" ht="15.75" customHeight="1" x14ac:dyDescent="0.2">
      <c r="D585" s="20"/>
      <c r="E585" s="20"/>
      <c r="F585" s="20"/>
    </row>
    <row r="586" spans="4:6" ht="15.75" customHeight="1" x14ac:dyDescent="0.2">
      <c r="D586" s="20"/>
      <c r="E586" s="20"/>
      <c r="F586" s="20"/>
    </row>
    <row r="587" spans="4:6" ht="15.75" customHeight="1" x14ac:dyDescent="0.2">
      <c r="D587" s="20"/>
      <c r="E587" s="20"/>
      <c r="F587" s="20"/>
    </row>
    <row r="588" spans="4:6" ht="15.75" customHeight="1" x14ac:dyDescent="0.2">
      <c r="D588" s="20"/>
      <c r="E588" s="20"/>
      <c r="F588" s="20"/>
    </row>
    <row r="589" spans="4:6" ht="15.75" customHeight="1" x14ac:dyDescent="0.2">
      <c r="D589" s="20"/>
      <c r="E589" s="20"/>
      <c r="F589" s="20"/>
    </row>
    <row r="590" spans="4:6" ht="15.75" customHeight="1" x14ac:dyDescent="0.2">
      <c r="D590" s="20"/>
      <c r="E590" s="20"/>
      <c r="F590" s="20"/>
    </row>
    <row r="591" spans="4:6" ht="15.75" customHeight="1" x14ac:dyDescent="0.2">
      <c r="D591" s="20"/>
      <c r="E591" s="20"/>
      <c r="F591" s="20"/>
    </row>
    <row r="592" spans="4:6" ht="15.75" customHeight="1" x14ac:dyDescent="0.2">
      <c r="D592" s="20"/>
      <c r="E592" s="20"/>
      <c r="F592" s="20"/>
    </row>
    <row r="593" spans="4:6" ht="15.75" customHeight="1" x14ac:dyDescent="0.2">
      <c r="D593" s="20"/>
      <c r="E593" s="20"/>
      <c r="F593" s="20"/>
    </row>
    <row r="594" spans="4:6" ht="15.75" customHeight="1" x14ac:dyDescent="0.2">
      <c r="D594" s="20"/>
      <c r="E594" s="20"/>
      <c r="F594" s="20"/>
    </row>
    <row r="595" spans="4:6" ht="15.75" customHeight="1" x14ac:dyDescent="0.2">
      <c r="D595" s="20"/>
      <c r="E595" s="20"/>
      <c r="F595" s="20"/>
    </row>
    <row r="596" spans="4:6" ht="15.75" customHeight="1" x14ac:dyDescent="0.2">
      <c r="D596" s="20"/>
      <c r="E596" s="20"/>
      <c r="F596" s="20"/>
    </row>
    <row r="597" spans="4:6" ht="15.75" customHeight="1" x14ac:dyDescent="0.2">
      <c r="D597" s="20"/>
      <c r="E597" s="20"/>
      <c r="F597" s="20"/>
    </row>
    <row r="598" spans="4:6" ht="15.75" customHeight="1" x14ac:dyDescent="0.2">
      <c r="D598" s="20"/>
      <c r="E598" s="20"/>
      <c r="F598" s="20"/>
    </row>
    <row r="599" spans="4:6" ht="15.75" customHeight="1" x14ac:dyDescent="0.2">
      <c r="D599" s="20"/>
      <c r="E599" s="20"/>
      <c r="F599" s="20"/>
    </row>
    <row r="600" spans="4:6" ht="15.75" customHeight="1" x14ac:dyDescent="0.2">
      <c r="D600" s="20"/>
      <c r="E600" s="20"/>
      <c r="F600" s="20"/>
    </row>
    <row r="601" spans="4:6" ht="15.75" customHeight="1" x14ac:dyDescent="0.2">
      <c r="D601" s="20"/>
      <c r="E601" s="20"/>
      <c r="F601" s="20"/>
    </row>
    <row r="602" spans="4:6" ht="15.75" customHeight="1" x14ac:dyDescent="0.2">
      <c r="D602" s="20"/>
      <c r="E602" s="20"/>
      <c r="F602" s="20"/>
    </row>
    <row r="603" spans="4:6" ht="15.75" customHeight="1" x14ac:dyDescent="0.2">
      <c r="D603" s="20"/>
      <c r="E603" s="20"/>
      <c r="F603" s="20"/>
    </row>
    <row r="604" spans="4:6" ht="15.75" customHeight="1" x14ac:dyDescent="0.2">
      <c r="D604" s="20"/>
      <c r="E604" s="20"/>
      <c r="F604" s="20"/>
    </row>
    <row r="605" spans="4:6" ht="15.75" customHeight="1" x14ac:dyDescent="0.2">
      <c r="D605" s="20"/>
      <c r="E605" s="20"/>
      <c r="F605" s="20"/>
    </row>
    <row r="606" spans="4:6" ht="15.75" customHeight="1" x14ac:dyDescent="0.2">
      <c r="D606" s="20"/>
      <c r="E606" s="20"/>
      <c r="F606" s="20"/>
    </row>
    <row r="607" spans="4:6" ht="15.75" customHeight="1" x14ac:dyDescent="0.2">
      <c r="D607" s="20"/>
      <c r="E607" s="20"/>
      <c r="F607" s="20"/>
    </row>
    <row r="608" spans="4:6" ht="15.75" customHeight="1" x14ac:dyDescent="0.2">
      <c r="D608" s="20"/>
      <c r="E608" s="20"/>
      <c r="F608" s="20"/>
    </row>
    <row r="609" spans="4:6" ht="15.75" customHeight="1" x14ac:dyDescent="0.2">
      <c r="D609" s="20"/>
      <c r="E609" s="20"/>
      <c r="F609" s="20"/>
    </row>
    <row r="610" spans="4:6" ht="15.75" customHeight="1" x14ac:dyDescent="0.2">
      <c r="D610" s="20"/>
      <c r="E610" s="20"/>
      <c r="F610" s="20"/>
    </row>
    <row r="611" spans="4:6" ht="15.75" customHeight="1" x14ac:dyDescent="0.2">
      <c r="D611" s="20"/>
      <c r="E611" s="20"/>
      <c r="F611" s="20"/>
    </row>
    <row r="612" spans="4:6" ht="15.75" customHeight="1" x14ac:dyDescent="0.2">
      <c r="D612" s="20"/>
      <c r="E612" s="20"/>
      <c r="F612" s="20"/>
    </row>
    <row r="613" spans="4:6" ht="15.75" customHeight="1" x14ac:dyDescent="0.2">
      <c r="D613" s="20"/>
      <c r="E613" s="20"/>
      <c r="F613" s="20"/>
    </row>
    <row r="614" spans="4:6" ht="15.75" customHeight="1" x14ac:dyDescent="0.2">
      <c r="D614" s="20"/>
      <c r="E614" s="20"/>
      <c r="F614" s="20"/>
    </row>
    <row r="615" spans="4:6" ht="15.75" customHeight="1" x14ac:dyDescent="0.2">
      <c r="D615" s="20"/>
      <c r="E615" s="20"/>
      <c r="F615" s="20"/>
    </row>
    <row r="616" spans="4:6" ht="15.75" customHeight="1" x14ac:dyDescent="0.2">
      <c r="D616" s="20"/>
      <c r="E616" s="20"/>
      <c r="F616" s="20"/>
    </row>
    <row r="617" spans="4:6" ht="15.75" customHeight="1" x14ac:dyDescent="0.2">
      <c r="D617" s="20"/>
      <c r="E617" s="20"/>
      <c r="F617" s="20"/>
    </row>
    <row r="618" spans="4:6" ht="15.75" customHeight="1" x14ac:dyDescent="0.2">
      <c r="D618" s="20"/>
      <c r="E618" s="20"/>
      <c r="F618" s="20"/>
    </row>
    <row r="619" spans="4:6" ht="15.75" customHeight="1" x14ac:dyDescent="0.2">
      <c r="D619" s="20"/>
      <c r="E619" s="20"/>
      <c r="F619" s="20"/>
    </row>
    <row r="620" spans="4:6" ht="15.75" customHeight="1" x14ac:dyDescent="0.2">
      <c r="D620" s="20"/>
      <c r="E620" s="20"/>
      <c r="F620" s="20"/>
    </row>
    <row r="621" spans="4:6" ht="15.75" customHeight="1" x14ac:dyDescent="0.2">
      <c r="D621" s="20"/>
      <c r="E621" s="20"/>
      <c r="F621" s="20"/>
    </row>
    <row r="622" spans="4:6" ht="15.75" customHeight="1" x14ac:dyDescent="0.2">
      <c r="D622" s="20"/>
      <c r="E622" s="20"/>
      <c r="F622" s="20"/>
    </row>
    <row r="623" spans="4:6" ht="15.75" customHeight="1" x14ac:dyDescent="0.2">
      <c r="D623" s="20"/>
      <c r="E623" s="20"/>
      <c r="F623" s="20"/>
    </row>
    <row r="624" spans="4:6" ht="15.75" customHeight="1" x14ac:dyDescent="0.2">
      <c r="D624" s="20"/>
      <c r="E624" s="20"/>
      <c r="F624" s="20"/>
    </row>
    <row r="625" spans="4:6" ht="15.75" customHeight="1" x14ac:dyDescent="0.2">
      <c r="D625" s="20"/>
      <c r="E625" s="20"/>
      <c r="F625" s="20"/>
    </row>
    <row r="626" spans="4:6" ht="15.75" customHeight="1" x14ac:dyDescent="0.2">
      <c r="D626" s="20"/>
      <c r="E626" s="20"/>
      <c r="F626" s="20"/>
    </row>
    <row r="627" spans="4:6" ht="15.75" customHeight="1" x14ac:dyDescent="0.2">
      <c r="D627" s="20"/>
      <c r="E627" s="20"/>
      <c r="F627" s="20"/>
    </row>
    <row r="628" spans="4:6" ht="15.75" customHeight="1" x14ac:dyDescent="0.2">
      <c r="D628" s="20"/>
      <c r="E628" s="20"/>
      <c r="F628" s="20"/>
    </row>
    <row r="629" spans="4:6" ht="15.75" customHeight="1" x14ac:dyDescent="0.2">
      <c r="D629" s="20"/>
      <c r="E629" s="20"/>
      <c r="F629" s="20"/>
    </row>
    <row r="630" spans="4:6" ht="15.75" customHeight="1" x14ac:dyDescent="0.2">
      <c r="D630" s="20"/>
      <c r="E630" s="20"/>
      <c r="F630" s="20"/>
    </row>
    <row r="631" spans="4:6" ht="15.75" customHeight="1" x14ac:dyDescent="0.2">
      <c r="D631" s="20"/>
      <c r="E631" s="20"/>
      <c r="F631" s="20"/>
    </row>
    <row r="632" spans="4:6" ht="15.75" customHeight="1" x14ac:dyDescent="0.2">
      <c r="D632" s="20"/>
      <c r="E632" s="20"/>
      <c r="F632" s="20"/>
    </row>
    <row r="633" spans="4:6" ht="15.75" customHeight="1" x14ac:dyDescent="0.2">
      <c r="D633" s="20"/>
      <c r="E633" s="20"/>
      <c r="F633" s="20"/>
    </row>
    <row r="634" spans="4:6" ht="15.75" customHeight="1" x14ac:dyDescent="0.2">
      <c r="D634" s="20"/>
      <c r="E634" s="20"/>
      <c r="F634" s="20"/>
    </row>
    <row r="635" spans="4:6" ht="15.75" customHeight="1" x14ac:dyDescent="0.2">
      <c r="D635" s="20"/>
      <c r="E635" s="20"/>
      <c r="F635" s="20"/>
    </row>
    <row r="636" spans="4:6" ht="15.75" customHeight="1" x14ac:dyDescent="0.2">
      <c r="D636" s="20"/>
      <c r="E636" s="20"/>
      <c r="F636" s="20"/>
    </row>
    <row r="637" spans="4:6" ht="15.75" customHeight="1" x14ac:dyDescent="0.2">
      <c r="D637" s="20"/>
      <c r="E637" s="20"/>
      <c r="F637" s="20"/>
    </row>
    <row r="638" spans="4:6" ht="15.75" customHeight="1" x14ac:dyDescent="0.2">
      <c r="D638" s="20"/>
      <c r="E638" s="20"/>
      <c r="F638" s="20"/>
    </row>
    <row r="639" spans="4:6" ht="15.75" customHeight="1" x14ac:dyDescent="0.2">
      <c r="D639" s="20"/>
      <c r="E639" s="20"/>
      <c r="F639" s="20"/>
    </row>
    <row r="640" spans="4:6" ht="15.75" customHeight="1" x14ac:dyDescent="0.2">
      <c r="D640" s="20"/>
      <c r="E640" s="20"/>
      <c r="F640" s="20"/>
    </row>
    <row r="641" spans="4:6" ht="15.75" customHeight="1" x14ac:dyDescent="0.2">
      <c r="D641" s="20"/>
      <c r="E641" s="20"/>
      <c r="F641" s="20"/>
    </row>
    <row r="642" spans="4:6" ht="15.75" customHeight="1" x14ac:dyDescent="0.2">
      <c r="D642" s="20"/>
      <c r="E642" s="20"/>
      <c r="F642" s="20"/>
    </row>
    <row r="643" spans="4:6" ht="15.75" customHeight="1" x14ac:dyDescent="0.2">
      <c r="D643" s="20"/>
      <c r="E643" s="20"/>
      <c r="F643" s="20"/>
    </row>
    <row r="644" spans="4:6" ht="15.75" customHeight="1" x14ac:dyDescent="0.2">
      <c r="D644" s="20"/>
      <c r="E644" s="20"/>
      <c r="F644" s="20"/>
    </row>
    <row r="645" spans="4:6" ht="15.75" customHeight="1" x14ac:dyDescent="0.2">
      <c r="D645" s="20"/>
      <c r="E645" s="20"/>
      <c r="F645" s="20"/>
    </row>
    <row r="646" spans="4:6" ht="15.75" customHeight="1" x14ac:dyDescent="0.2">
      <c r="D646" s="20"/>
      <c r="E646" s="20"/>
      <c r="F646" s="20"/>
    </row>
    <row r="647" spans="4:6" ht="15.75" customHeight="1" x14ac:dyDescent="0.2">
      <c r="D647" s="20"/>
      <c r="E647" s="20"/>
      <c r="F647" s="20"/>
    </row>
    <row r="648" spans="4:6" ht="15.75" customHeight="1" x14ac:dyDescent="0.2">
      <c r="D648" s="20"/>
      <c r="E648" s="20"/>
      <c r="F648" s="20"/>
    </row>
    <row r="649" spans="4:6" ht="15.75" customHeight="1" x14ac:dyDescent="0.2">
      <c r="D649" s="20"/>
      <c r="E649" s="20"/>
      <c r="F649" s="20"/>
    </row>
    <row r="650" spans="4:6" ht="15.75" customHeight="1" x14ac:dyDescent="0.2">
      <c r="D650" s="20"/>
      <c r="E650" s="20"/>
      <c r="F650" s="20"/>
    </row>
    <row r="651" spans="4:6" ht="15.75" customHeight="1" x14ac:dyDescent="0.2">
      <c r="D651" s="20"/>
      <c r="E651" s="20"/>
      <c r="F651" s="20"/>
    </row>
    <row r="652" spans="4:6" ht="15.75" customHeight="1" x14ac:dyDescent="0.2">
      <c r="D652" s="20"/>
      <c r="E652" s="20"/>
      <c r="F652" s="20"/>
    </row>
    <row r="653" spans="4:6" ht="15.75" customHeight="1" x14ac:dyDescent="0.2">
      <c r="D653" s="20"/>
      <c r="E653" s="20"/>
      <c r="F653" s="20"/>
    </row>
    <row r="654" spans="4:6" ht="15.75" customHeight="1" x14ac:dyDescent="0.2">
      <c r="D654" s="20"/>
      <c r="E654" s="20"/>
      <c r="F654" s="20"/>
    </row>
    <row r="655" spans="4:6" ht="15.75" customHeight="1" x14ac:dyDescent="0.2">
      <c r="D655" s="20"/>
      <c r="E655" s="20"/>
      <c r="F655" s="20"/>
    </row>
    <row r="656" spans="4:6" ht="15.75" customHeight="1" x14ac:dyDescent="0.2">
      <c r="D656" s="20"/>
      <c r="E656" s="20"/>
      <c r="F656" s="20"/>
    </row>
    <row r="657" spans="4:6" ht="15.75" customHeight="1" x14ac:dyDescent="0.2">
      <c r="D657" s="20"/>
      <c r="E657" s="20"/>
      <c r="F657" s="20"/>
    </row>
    <row r="658" spans="4:6" ht="15.75" customHeight="1" x14ac:dyDescent="0.2">
      <c r="D658" s="20"/>
      <c r="E658" s="20"/>
      <c r="F658" s="20"/>
    </row>
    <row r="659" spans="4:6" ht="15.75" customHeight="1" x14ac:dyDescent="0.2">
      <c r="D659" s="20"/>
      <c r="E659" s="20"/>
      <c r="F659" s="20"/>
    </row>
    <row r="660" spans="4:6" ht="15.75" customHeight="1" x14ac:dyDescent="0.2">
      <c r="D660" s="20"/>
      <c r="E660" s="20"/>
      <c r="F660" s="20"/>
    </row>
    <row r="661" spans="4:6" ht="15.75" customHeight="1" x14ac:dyDescent="0.2">
      <c r="D661" s="20"/>
      <c r="E661" s="20"/>
      <c r="F661" s="20"/>
    </row>
    <row r="662" spans="4:6" ht="15.75" customHeight="1" x14ac:dyDescent="0.2">
      <c r="D662" s="20"/>
      <c r="E662" s="20"/>
      <c r="F662" s="20"/>
    </row>
    <row r="663" spans="4:6" ht="15.75" customHeight="1" x14ac:dyDescent="0.2">
      <c r="D663" s="20"/>
      <c r="E663" s="20"/>
      <c r="F663" s="20"/>
    </row>
    <row r="664" spans="4:6" ht="15.75" customHeight="1" x14ac:dyDescent="0.2">
      <c r="D664" s="20"/>
      <c r="E664" s="20"/>
      <c r="F664" s="20"/>
    </row>
    <row r="665" spans="4:6" ht="15.75" customHeight="1" x14ac:dyDescent="0.2">
      <c r="D665" s="20"/>
      <c r="E665" s="20"/>
      <c r="F665" s="20"/>
    </row>
    <row r="666" spans="4:6" ht="15.75" customHeight="1" x14ac:dyDescent="0.2">
      <c r="D666" s="20"/>
      <c r="E666" s="20"/>
      <c r="F666" s="20"/>
    </row>
    <row r="667" spans="4:6" ht="15.75" customHeight="1" x14ac:dyDescent="0.2">
      <c r="D667" s="20"/>
      <c r="E667" s="20"/>
      <c r="F667" s="20"/>
    </row>
    <row r="668" spans="4:6" ht="15.75" customHeight="1" x14ac:dyDescent="0.2">
      <c r="D668" s="20"/>
      <c r="E668" s="20"/>
      <c r="F668" s="20"/>
    </row>
    <row r="669" spans="4:6" ht="15.75" customHeight="1" x14ac:dyDescent="0.2">
      <c r="D669" s="20"/>
      <c r="E669" s="20"/>
      <c r="F669" s="20"/>
    </row>
    <row r="670" spans="4:6" ht="15.75" customHeight="1" x14ac:dyDescent="0.2">
      <c r="D670" s="20"/>
      <c r="E670" s="20"/>
      <c r="F670" s="20"/>
    </row>
    <row r="671" spans="4:6" ht="15.75" customHeight="1" x14ac:dyDescent="0.2">
      <c r="D671" s="20"/>
      <c r="E671" s="20"/>
      <c r="F671" s="20"/>
    </row>
    <row r="672" spans="4:6" ht="15.75" customHeight="1" x14ac:dyDescent="0.2">
      <c r="D672" s="20"/>
      <c r="E672" s="20"/>
      <c r="F672" s="20"/>
    </row>
    <row r="673" spans="4:6" ht="15.75" customHeight="1" x14ac:dyDescent="0.2">
      <c r="D673" s="20"/>
      <c r="E673" s="20"/>
      <c r="F673" s="20"/>
    </row>
    <row r="674" spans="4:6" ht="15.75" customHeight="1" x14ac:dyDescent="0.2">
      <c r="D674" s="20"/>
      <c r="E674" s="20"/>
      <c r="F674" s="20"/>
    </row>
    <row r="675" spans="4:6" ht="15.75" customHeight="1" x14ac:dyDescent="0.2">
      <c r="D675" s="20"/>
      <c r="E675" s="20"/>
      <c r="F675" s="20"/>
    </row>
    <row r="676" spans="4:6" ht="15.75" customHeight="1" x14ac:dyDescent="0.2">
      <c r="D676" s="20"/>
      <c r="E676" s="20"/>
      <c r="F676" s="20"/>
    </row>
    <row r="677" spans="4:6" ht="15.75" customHeight="1" x14ac:dyDescent="0.2">
      <c r="D677" s="20"/>
      <c r="E677" s="20"/>
      <c r="F677" s="20"/>
    </row>
    <row r="678" spans="4:6" ht="15.75" customHeight="1" x14ac:dyDescent="0.2">
      <c r="D678" s="20"/>
      <c r="E678" s="20"/>
      <c r="F678" s="20"/>
    </row>
    <row r="679" spans="4:6" ht="15.75" customHeight="1" x14ac:dyDescent="0.2">
      <c r="D679" s="20"/>
      <c r="E679" s="20"/>
      <c r="F679" s="20"/>
    </row>
    <row r="680" spans="4:6" ht="15.75" customHeight="1" x14ac:dyDescent="0.2">
      <c r="D680" s="20"/>
      <c r="E680" s="20"/>
      <c r="F680" s="20"/>
    </row>
    <row r="681" spans="4:6" ht="15.75" customHeight="1" x14ac:dyDescent="0.2">
      <c r="D681" s="20"/>
      <c r="E681" s="20"/>
      <c r="F681" s="20"/>
    </row>
    <row r="682" spans="4:6" ht="15.75" customHeight="1" x14ac:dyDescent="0.2">
      <c r="D682" s="20"/>
      <c r="E682" s="20"/>
      <c r="F682" s="20"/>
    </row>
    <row r="683" spans="4:6" ht="15.75" customHeight="1" x14ac:dyDescent="0.2">
      <c r="D683" s="20"/>
      <c r="E683" s="20"/>
      <c r="F683" s="20"/>
    </row>
    <row r="684" spans="4:6" ht="15.75" customHeight="1" x14ac:dyDescent="0.2">
      <c r="D684" s="20"/>
      <c r="E684" s="20"/>
      <c r="F684" s="20"/>
    </row>
    <row r="685" spans="4:6" ht="15.75" customHeight="1" x14ac:dyDescent="0.2">
      <c r="D685" s="20"/>
      <c r="E685" s="20"/>
      <c r="F685" s="20"/>
    </row>
    <row r="686" spans="4:6" ht="15.75" customHeight="1" x14ac:dyDescent="0.2">
      <c r="D686" s="20"/>
      <c r="E686" s="20"/>
      <c r="F686" s="20"/>
    </row>
    <row r="687" spans="4:6" ht="15.75" customHeight="1" x14ac:dyDescent="0.2">
      <c r="D687" s="20"/>
      <c r="E687" s="20"/>
      <c r="F687" s="20"/>
    </row>
    <row r="688" spans="4:6" ht="15.75" customHeight="1" x14ac:dyDescent="0.2">
      <c r="D688" s="20"/>
      <c r="E688" s="20"/>
      <c r="F688" s="20"/>
    </row>
    <row r="689" spans="4:6" ht="15.75" customHeight="1" x14ac:dyDescent="0.2">
      <c r="D689" s="20"/>
      <c r="E689" s="20"/>
      <c r="F689" s="20"/>
    </row>
    <row r="690" spans="4:6" ht="15.75" customHeight="1" x14ac:dyDescent="0.2">
      <c r="D690" s="20"/>
      <c r="E690" s="20"/>
      <c r="F690" s="20"/>
    </row>
    <row r="691" spans="4:6" ht="15.75" customHeight="1" x14ac:dyDescent="0.2">
      <c r="D691" s="20"/>
      <c r="E691" s="20"/>
      <c r="F691" s="20"/>
    </row>
    <row r="692" spans="4:6" ht="15.75" customHeight="1" x14ac:dyDescent="0.2">
      <c r="D692" s="20"/>
      <c r="E692" s="20"/>
      <c r="F692" s="20"/>
    </row>
    <row r="693" spans="4:6" ht="15.75" customHeight="1" x14ac:dyDescent="0.2">
      <c r="D693" s="20"/>
      <c r="E693" s="20"/>
      <c r="F693" s="20"/>
    </row>
    <row r="694" spans="4:6" ht="15.75" customHeight="1" x14ac:dyDescent="0.2">
      <c r="D694" s="20"/>
      <c r="E694" s="20"/>
      <c r="F694" s="20"/>
    </row>
    <row r="695" spans="4:6" ht="15.75" customHeight="1" x14ac:dyDescent="0.2">
      <c r="D695" s="20"/>
      <c r="E695" s="20"/>
      <c r="F695" s="20"/>
    </row>
    <row r="696" spans="4:6" ht="15.75" customHeight="1" x14ac:dyDescent="0.2">
      <c r="D696" s="20"/>
      <c r="E696" s="20"/>
      <c r="F696" s="20"/>
    </row>
    <row r="697" spans="4:6" ht="15.75" customHeight="1" x14ac:dyDescent="0.2">
      <c r="D697" s="20"/>
      <c r="E697" s="20"/>
      <c r="F697" s="20"/>
    </row>
    <row r="698" spans="4:6" ht="15.75" customHeight="1" x14ac:dyDescent="0.2">
      <c r="D698" s="20"/>
      <c r="E698" s="20"/>
      <c r="F698" s="20"/>
    </row>
    <row r="699" spans="4:6" ht="15.75" customHeight="1" x14ac:dyDescent="0.2">
      <c r="D699" s="20"/>
      <c r="E699" s="20"/>
      <c r="F699" s="20"/>
    </row>
    <row r="700" spans="4:6" ht="15.75" customHeight="1" x14ac:dyDescent="0.2">
      <c r="D700" s="20"/>
      <c r="E700" s="20"/>
      <c r="F700" s="20"/>
    </row>
    <row r="701" spans="4:6" ht="15.75" customHeight="1" x14ac:dyDescent="0.2">
      <c r="D701" s="20"/>
      <c r="E701" s="20"/>
      <c r="F701" s="20"/>
    </row>
    <row r="702" spans="4:6" ht="15.75" customHeight="1" x14ac:dyDescent="0.2">
      <c r="D702" s="20"/>
      <c r="E702" s="20"/>
      <c r="F702" s="20"/>
    </row>
    <row r="703" spans="4:6" ht="15.75" customHeight="1" x14ac:dyDescent="0.2">
      <c r="D703" s="20"/>
      <c r="E703" s="20"/>
      <c r="F703" s="20"/>
    </row>
    <row r="704" spans="4:6" ht="15.75" customHeight="1" x14ac:dyDescent="0.2">
      <c r="D704" s="20"/>
      <c r="E704" s="20"/>
      <c r="F704" s="20"/>
    </row>
    <row r="705" spans="4:6" ht="15.75" customHeight="1" x14ac:dyDescent="0.2">
      <c r="D705" s="20"/>
      <c r="E705" s="20"/>
      <c r="F705" s="20"/>
    </row>
    <row r="706" spans="4:6" ht="15.75" customHeight="1" x14ac:dyDescent="0.2">
      <c r="D706" s="20"/>
      <c r="E706" s="20"/>
      <c r="F706" s="20"/>
    </row>
    <row r="707" spans="4:6" ht="15.75" customHeight="1" x14ac:dyDescent="0.2">
      <c r="D707" s="20"/>
      <c r="E707" s="20"/>
      <c r="F707" s="20"/>
    </row>
    <row r="708" spans="4:6" ht="15.75" customHeight="1" x14ac:dyDescent="0.2">
      <c r="D708" s="20"/>
      <c r="E708" s="20"/>
      <c r="F708" s="20"/>
    </row>
    <row r="709" spans="4:6" ht="15.75" customHeight="1" x14ac:dyDescent="0.2">
      <c r="D709" s="20"/>
      <c r="E709" s="20"/>
      <c r="F709" s="20"/>
    </row>
    <row r="710" spans="4:6" ht="15.75" customHeight="1" x14ac:dyDescent="0.2">
      <c r="D710" s="20"/>
      <c r="E710" s="20"/>
      <c r="F710" s="20"/>
    </row>
    <row r="711" spans="4:6" ht="15.75" customHeight="1" x14ac:dyDescent="0.2">
      <c r="D711" s="20"/>
      <c r="E711" s="20"/>
      <c r="F711" s="20"/>
    </row>
    <row r="712" spans="4:6" ht="15.75" customHeight="1" x14ac:dyDescent="0.2">
      <c r="D712" s="20"/>
      <c r="E712" s="20"/>
      <c r="F712" s="20"/>
    </row>
    <row r="713" spans="4:6" ht="15.75" customHeight="1" x14ac:dyDescent="0.2">
      <c r="D713" s="20"/>
      <c r="E713" s="20"/>
      <c r="F713" s="20"/>
    </row>
    <row r="714" spans="4:6" ht="15.75" customHeight="1" x14ac:dyDescent="0.2">
      <c r="D714" s="20"/>
      <c r="E714" s="20"/>
      <c r="F714" s="20"/>
    </row>
    <row r="715" spans="4:6" ht="15.75" customHeight="1" x14ac:dyDescent="0.2">
      <c r="D715" s="20"/>
      <c r="E715" s="20"/>
      <c r="F715" s="20"/>
    </row>
    <row r="716" spans="4:6" ht="15.75" customHeight="1" x14ac:dyDescent="0.2">
      <c r="D716" s="20"/>
      <c r="E716" s="20"/>
      <c r="F716" s="20"/>
    </row>
    <row r="717" spans="4:6" ht="15.75" customHeight="1" x14ac:dyDescent="0.2">
      <c r="D717" s="20"/>
      <c r="E717" s="20"/>
      <c r="F717" s="20"/>
    </row>
    <row r="718" spans="4:6" ht="15.75" customHeight="1" x14ac:dyDescent="0.2">
      <c r="D718" s="20"/>
      <c r="E718" s="20"/>
      <c r="F718" s="20"/>
    </row>
    <row r="719" spans="4:6" ht="15.75" customHeight="1" x14ac:dyDescent="0.2">
      <c r="D719" s="20"/>
      <c r="E719" s="20"/>
      <c r="F719" s="20"/>
    </row>
    <row r="720" spans="4:6" ht="15.75" customHeight="1" x14ac:dyDescent="0.2">
      <c r="D720" s="20"/>
      <c r="E720" s="20"/>
      <c r="F720" s="20"/>
    </row>
    <row r="721" spans="4:6" ht="15.75" customHeight="1" x14ac:dyDescent="0.2">
      <c r="D721" s="20"/>
      <c r="E721" s="20"/>
      <c r="F721" s="20"/>
    </row>
    <row r="722" spans="4:6" ht="15.75" customHeight="1" x14ac:dyDescent="0.2">
      <c r="D722" s="20"/>
      <c r="E722" s="20"/>
      <c r="F722" s="20"/>
    </row>
    <row r="723" spans="4:6" ht="15.75" customHeight="1" x14ac:dyDescent="0.2">
      <c r="D723" s="20"/>
      <c r="E723" s="20"/>
      <c r="F723" s="20"/>
    </row>
    <row r="724" spans="4:6" ht="15.75" customHeight="1" x14ac:dyDescent="0.2">
      <c r="D724" s="20"/>
      <c r="E724" s="20"/>
      <c r="F724" s="20"/>
    </row>
    <row r="725" spans="4:6" ht="15.75" customHeight="1" x14ac:dyDescent="0.2">
      <c r="D725" s="20"/>
      <c r="E725" s="20"/>
      <c r="F725" s="20"/>
    </row>
    <row r="726" spans="4:6" ht="15.75" customHeight="1" x14ac:dyDescent="0.2">
      <c r="D726" s="20"/>
      <c r="E726" s="20"/>
      <c r="F726" s="20"/>
    </row>
    <row r="727" spans="4:6" ht="15.75" customHeight="1" x14ac:dyDescent="0.2">
      <c r="D727" s="20"/>
      <c r="E727" s="20"/>
      <c r="F727" s="20"/>
    </row>
    <row r="728" spans="4:6" ht="15.75" customHeight="1" x14ac:dyDescent="0.2">
      <c r="D728" s="20"/>
      <c r="E728" s="20"/>
      <c r="F728" s="20"/>
    </row>
    <row r="729" spans="4:6" ht="15.75" customHeight="1" x14ac:dyDescent="0.2">
      <c r="D729" s="20"/>
      <c r="E729" s="20"/>
      <c r="F729" s="20"/>
    </row>
    <row r="730" spans="4:6" ht="15.75" customHeight="1" x14ac:dyDescent="0.2">
      <c r="D730" s="20"/>
      <c r="E730" s="20"/>
      <c r="F730" s="20"/>
    </row>
    <row r="731" spans="4:6" ht="15.75" customHeight="1" x14ac:dyDescent="0.2">
      <c r="D731" s="20"/>
      <c r="E731" s="20"/>
      <c r="F731" s="20"/>
    </row>
    <row r="732" spans="4:6" ht="15.75" customHeight="1" x14ac:dyDescent="0.2">
      <c r="D732" s="20"/>
      <c r="E732" s="20"/>
      <c r="F732" s="20"/>
    </row>
    <row r="733" spans="4:6" ht="15.75" customHeight="1" x14ac:dyDescent="0.2">
      <c r="D733" s="20"/>
      <c r="E733" s="20"/>
      <c r="F733" s="20"/>
    </row>
    <row r="734" spans="4:6" ht="15.75" customHeight="1" x14ac:dyDescent="0.2">
      <c r="D734" s="20"/>
      <c r="E734" s="20"/>
      <c r="F734" s="20"/>
    </row>
    <row r="735" spans="4:6" ht="15.75" customHeight="1" x14ac:dyDescent="0.2">
      <c r="D735" s="20"/>
      <c r="E735" s="20"/>
      <c r="F735" s="20"/>
    </row>
    <row r="736" spans="4:6" ht="15.75" customHeight="1" x14ac:dyDescent="0.2">
      <c r="D736" s="20"/>
      <c r="E736" s="20"/>
      <c r="F736" s="20"/>
    </row>
    <row r="737" spans="4:6" ht="15.75" customHeight="1" x14ac:dyDescent="0.2">
      <c r="D737" s="20"/>
      <c r="E737" s="20"/>
      <c r="F737" s="20"/>
    </row>
    <row r="738" spans="4:6" ht="15.75" customHeight="1" x14ac:dyDescent="0.2">
      <c r="D738" s="20"/>
      <c r="E738" s="20"/>
      <c r="F738" s="20"/>
    </row>
    <row r="739" spans="4:6" ht="15.75" customHeight="1" x14ac:dyDescent="0.2">
      <c r="D739" s="20"/>
      <c r="E739" s="20"/>
      <c r="F739" s="20"/>
    </row>
    <row r="740" spans="4:6" ht="15.75" customHeight="1" x14ac:dyDescent="0.2">
      <c r="D740" s="20"/>
      <c r="E740" s="20"/>
      <c r="F740" s="20"/>
    </row>
    <row r="741" spans="4:6" ht="15.75" customHeight="1" x14ac:dyDescent="0.2">
      <c r="D741" s="20"/>
      <c r="E741" s="20"/>
      <c r="F741" s="20"/>
    </row>
    <row r="742" spans="4:6" ht="15.75" customHeight="1" x14ac:dyDescent="0.2">
      <c r="D742" s="20"/>
      <c r="E742" s="20"/>
      <c r="F742" s="20"/>
    </row>
    <row r="743" spans="4:6" ht="15.75" customHeight="1" x14ac:dyDescent="0.2">
      <c r="D743" s="20"/>
      <c r="E743" s="20"/>
      <c r="F743" s="20"/>
    </row>
    <row r="744" spans="4:6" ht="15.75" customHeight="1" x14ac:dyDescent="0.2">
      <c r="D744" s="20"/>
      <c r="E744" s="20"/>
      <c r="F744" s="20"/>
    </row>
    <row r="745" spans="4:6" ht="15.75" customHeight="1" x14ac:dyDescent="0.2">
      <c r="D745" s="20"/>
      <c r="E745" s="20"/>
      <c r="F745" s="20"/>
    </row>
    <row r="746" spans="4:6" ht="15.75" customHeight="1" x14ac:dyDescent="0.2">
      <c r="D746" s="20"/>
      <c r="E746" s="20"/>
      <c r="F746" s="20"/>
    </row>
    <row r="747" spans="4:6" ht="15.75" customHeight="1" x14ac:dyDescent="0.2">
      <c r="D747" s="20"/>
      <c r="E747" s="20"/>
      <c r="F747" s="20"/>
    </row>
    <row r="748" spans="4:6" ht="15.75" customHeight="1" x14ac:dyDescent="0.2">
      <c r="D748" s="20"/>
      <c r="E748" s="20"/>
      <c r="F748" s="20"/>
    </row>
    <row r="749" spans="4:6" ht="15.75" customHeight="1" x14ac:dyDescent="0.2">
      <c r="D749" s="20"/>
      <c r="E749" s="20"/>
      <c r="F749" s="20"/>
    </row>
    <row r="750" spans="4:6" ht="15.75" customHeight="1" x14ac:dyDescent="0.2">
      <c r="D750" s="20"/>
      <c r="E750" s="20"/>
      <c r="F750" s="20"/>
    </row>
    <row r="751" spans="4:6" ht="15.75" customHeight="1" x14ac:dyDescent="0.2">
      <c r="D751" s="20"/>
      <c r="E751" s="20"/>
      <c r="F751" s="20"/>
    </row>
    <row r="752" spans="4:6" ht="15.75" customHeight="1" x14ac:dyDescent="0.2">
      <c r="D752" s="20"/>
      <c r="E752" s="20"/>
      <c r="F752" s="20"/>
    </row>
    <row r="753" spans="4:6" ht="15.75" customHeight="1" x14ac:dyDescent="0.2">
      <c r="D753" s="20"/>
      <c r="E753" s="20"/>
      <c r="F753" s="20"/>
    </row>
    <row r="754" spans="4:6" ht="15.75" customHeight="1" x14ac:dyDescent="0.2">
      <c r="D754" s="20"/>
      <c r="E754" s="20"/>
      <c r="F754" s="20"/>
    </row>
    <row r="755" spans="4:6" ht="15.75" customHeight="1" x14ac:dyDescent="0.2">
      <c r="D755" s="20"/>
      <c r="E755" s="20"/>
      <c r="F755" s="20"/>
    </row>
    <row r="756" spans="4:6" ht="15.75" customHeight="1" x14ac:dyDescent="0.2">
      <c r="D756" s="20"/>
      <c r="E756" s="20"/>
      <c r="F756" s="20"/>
    </row>
    <row r="757" spans="4:6" ht="15.75" customHeight="1" x14ac:dyDescent="0.2">
      <c r="D757" s="20"/>
      <c r="E757" s="20"/>
      <c r="F757" s="20"/>
    </row>
    <row r="758" spans="4:6" ht="15.75" customHeight="1" x14ac:dyDescent="0.2">
      <c r="D758" s="20"/>
      <c r="E758" s="20"/>
      <c r="F758" s="20"/>
    </row>
    <row r="759" spans="4:6" ht="15.75" customHeight="1" x14ac:dyDescent="0.2">
      <c r="D759" s="20"/>
      <c r="E759" s="20"/>
      <c r="F759" s="20"/>
    </row>
    <row r="760" spans="4:6" ht="15.75" customHeight="1" x14ac:dyDescent="0.2">
      <c r="D760" s="20"/>
      <c r="E760" s="20"/>
      <c r="F760" s="20"/>
    </row>
    <row r="761" spans="4:6" ht="15.75" customHeight="1" x14ac:dyDescent="0.2">
      <c r="D761" s="20"/>
      <c r="E761" s="20"/>
      <c r="F761" s="20"/>
    </row>
    <row r="762" spans="4:6" ht="15.75" customHeight="1" x14ac:dyDescent="0.2">
      <c r="D762" s="20"/>
      <c r="E762" s="20"/>
      <c r="F762" s="20"/>
    </row>
    <row r="763" spans="4:6" ht="15.75" customHeight="1" x14ac:dyDescent="0.2">
      <c r="D763" s="20"/>
      <c r="E763" s="20"/>
      <c r="F763" s="20"/>
    </row>
    <row r="764" spans="4:6" ht="15.75" customHeight="1" x14ac:dyDescent="0.2">
      <c r="D764" s="20"/>
      <c r="E764" s="20"/>
      <c r="F764" s="20"/>
    </row>
    <row r="765" spans="4:6" ht="15.75" customHeight="1" x14ac:dyDescent="0.2">
      <c r="D765" s="20"/>
      <c r="E765" s="20"/>
      <c r="F765" s="20"/>
    </row>
    <row r="766" spans="4:6" ht="15.75" customHeight="1" x14ac:dyDescent="0.2">
      <c r="D766" s="20"/>
      <c r="E766" s="20"/>
      <c r="F766" s="20"/>
    </row>
    <row r="767" spans="4:6" ht="15.75" customHeight="1" x14ac:dyDescent="0.2">
      <c r="D767" s="20"/>
      <c r="E767" s="20"/>
      <c r="F767" s="20"/>
    </row>
    <row r="768" spans="4:6" ht="15.75" customHeight="1" x14ac:dyDescent="0.2">
      <c r="D768" s="20"/>
      <c r="E768" s="20"/>
      <c r="F768" s="20"/>
    </row>
    <row r="769" spans="4:6" ht="15.75" customHeight="1" x14ac:dyDescent="0.2">
      <c r="D769" s="20"/>
      <c r="E769" s="20"/>
      <c r="F769" s="20"/>
    </row>
    <row r="770" spans="4:6" ht="15.75" customHeight="1" x14ac:dyDescent="0.2">
      <c r="D770" s="20"/>
      <c r="E770" s="20"/>
      <c r="F770" s="20"/>
    </row>
    <row r="771" spans="4:6" ht="15.75" customHeight="1" x14ac:dyDescent="0.2">
      <c r="D771" s="20"/>
      <c r="E771" s="20"/>
      <c r="F771" s="20"/>
    </row>
    <row r="772" spans="4:6" ht="15.75" customHeight="1" x14ac:dyDescent="0.2">
      <c r="D772" s="20"/>
      <c r="E772" s="20"/>
      <c r="F772" s="20"/>
    </row>
    <row r="773" spans="4:6" ht="15.75" customHeight="1" x14ac:dyDescent="0.2">
      <c r="D773" s="20"/>
      <c r="E773" s="20"/>
      <c r="F773" s="20"/>
    </row>
    <row r="774" spans="4:6" ht="15.75" customHeight="1" x14ac:dyDescent="0.2">
      <c r="D774" s="20"/>
      <c r="E774" s="20"/>
      <c r="F774" s="20"/>
    </row>
    <row r="775" spans="4:6" ht="15.75" customHeight="1" x14ac:dyDescent="0.2">
      <c r="D775" s="20"/>
      <c r="E775" s="20"/>
      <c r="F775" s="20"/>
    </row>
    <row r="776" spans="4:6" ht="15.75" customHeight="1" x14ac:dyDescent="0.2">
      <c r="D776" s="20"/>
      <c r="E776" s="20"/>
      <c r="F776" s="20"/>
    </row>
    <row r="777" spans="4:6" ht="15.75" customHeight="1" x14ac:dyDescent="0.2">
      <c r="D777" s="20"/>
      <c r="E777" s="20"/>
      <c r="F777" s="20"/>
    </row>
    <row r="778" spans="4:6" ht="15.75" customHeight="1" x14ac:dyDescent="0.2">
      <c r="D778" s="20"/>
      <c r="E778" s="20"/>
      <c r="F778" s="20"/>
    </row>
    <row r="779" spans="4:6" ht="15.75" customHeight="1" x14ac:dyDescent="0.2">
      <c r="D779" s="20"/>
      <c r="E779" s="20"/>
      <c r="F779" s="20"/>
    </row>
    <row r="780" spans="4:6" ht="15.75" customHeight="1" x14ac:dyDescent="0.2">
      <c r="D780" s="20"/>
      <c r="E780" s="20"/>
      <c r="F780" s="20"/>
    </row>
    <row r="781" spans="4:6" ht="15.75" customHeight="1" x14ac:dyDescent="0.2">
      <c r="D781" s="20"/>
      <c r="E781" s="20"/>
      <c r="F781" s="20"/>
    </row>
    <row r="782" spans="4:6" ht="15.75" customHeight="1" x14ac:dyDescent="0.2">
      <c r="D782" s="20"/>
      <c r="E782" s="20"/>
      <c r="F782" s="20"/>
    </row>
    <row r="783" spans="4:6" ht="15.75" customHeight="1" x14ac:dyDescent="0.2">
      <c r="D783" s="20"/>
      <c r="E783" s="20"/>
      <c r="F783" s="20"/>
    </row>
    <row r="784" spans="4:6" ht="15.75" customHeight="1" x14ac:dyDescent="0.2">
      <c r="D784" s="20"/>
      <c r="E784" s="20"/>
      <c r="F784" s="20"/>
    </row>
    <row r="785" spans="4:6" ht="15.75" customHeight="1" x14ac:dyDescent="0.2">
      <c r="D785" s="20"/>
      <c r="E785" s="20"/>
      <c r="F785" s="20"/>
    </row>
    <row r="786" spans="4:6" ht="15.75" customHeight="1" x14ac:dyDescent="0.2">
      <c r="D786" s="20"/>
      <c r="E786" s="20"/>
      <c r="F786" s="20"/>
    </row>
    <row r="787" spans="4:6" ht="15.75" customHeight="1" x14ac:dyDescent="0.2">
      <c r="D787" s="20"/>
      <c r="E787" s="20"/>
      <c r="F787" s="20"/>
    </row>
    <row r="788" spans="4:6" ht="15.75" customHeight="1" x14ac:dyDescent="0.2">
      <c r="D788" s="20"/>
      <c r="E788" s="20"/>
      <c r="F788" s="20"/>
    </row>
    <row r="789" spans="4:6" ht="15.75" customHeight="1" x14ac:dyDescent="0.2">
      <c r="D789" s="20"/>
      <c r="E789" s="20"/>
      <c r="F789" s="20"/>
    </row>
    <row r="790" spans="4:6" ht="15.75" customHeight="1" x14ac:dyDescent="0.2">
      <c r="D790" s="20"/>
      <c r="E790" s="20"/>
      <c r="F790" s="20"/>
    </row>
    <row r="791" spans="4:6" ht="15.75" customHeight="1" x14ac:dyDescent="0.2">
      <c r="D791" s="20"/>
      <c r="E791" s="20"/>
      <c r="F791" s="20"/>
    </row>
    <row r="792" spans="4:6" ht="15.75" customHeight="1" x14ac:dyDescent="0.2">
      <c r="D792" s="20"/>
      <c r="E792" s="20"/>
      <c r="F792" s="20"/>
    </row>
    <row r="793" spans="4:6" ht="15.75" customHeight="1" x14ac:dyDescent="0.2">
      <c r="D793" s="20"/>
      <c r="E793" s="20"/>
      <c r="F793" s="20"/>
    </row>
    <row r="794" spans="4:6" ht="15.75" customHeight="1" x14ac:dyDescent="0.2">
      <c r="D794" s="20"/>
      <c r="E794" s="20"/>
      <c r="F794" s="20"/>
    </row>
    <row r="795" spans="4:6" ht="15.75" customHeight="1" x14ac:dyDescent="0.2">
      <c r="D795" s="20"/>
      <c r="E795" s="20"/>
      <c r="F795" s="20"/>
    </row>
    <row r="796" spans="4:6" ht="15.75" customHeight="1" x14ac:dyDescent="0.2">
      <c r="D796" s="20"/>
      <c r="E796" s="20"/>
      <c r="F796" s="20"/>
    </row>
    <row r="797" spans="4:6" ht="15.75" customHeight="1" x14ac:dyDescent="0.2">
      <c r="D797" s="20"/>
      <c r="E797" s="20"/>
      <c r="F797" s="20"/>
    </row>
    <row r="798" spans="4:6" ht="15.75" customHeight="1" x14ac:dyDescent="0.2">
      <c r="D798" s="20"/>
      <c r="E798" s="20"/>
      <c r="F798" s="20"/>
    </row>
    <row r="799" spans="4:6" ht="15.75" customHeight="1" x14ac:dyDescent="0.2">
      <c r="D799" s="20"/>
      <c r="E799" s="20"/>
      <c r="F799" s="20"/>
    </row>
    <row r="800" spans="4:6" ht="15.75" customHeight="1" x14ac:dyDescent="0.2">
      <c r="D800" s="20"/>
      <c r="E800" s="20"/>
      <c r="F800" s="20"/>
    </row>
    <row r="801" spans="4:6" ht="15.75" customHeight="1" x14ac:dyDescent="0.2">
      <c r="D801" s="20"/>
      <c r="E801" s="20"/>
      <c r="F801" s="20"/>
    </row>
    <row r="802" spans="4:6" ht="15.75" customHeight="1" x14ac:dyDescent="0.2">
      <c r="D802" s="20"/>
      <c r="E802" s="20"/>
      <c r="F802" s="20"/>
    </row>
    <row r="803" spans="4:6" ht="15.75" customHeight="1" x14ac:dyDescent="0.2">
      <c r="D803" s="20"/>
      <c r="E803" s="20"/>
      <c r="F803" s="20"/>
    </row>
    <row r="804" spans="4:6" ht="15.75" customHeight="1" x14ac:dyDescent="0.2">
      <c r="D804" s="20"/>
      <c r="E804" s="20"/>
      <c r="F804" s="20"/>
    </row>
    <row r="805" spans="4:6" ht="15.75" customHeight="1" x14ac:dyDescent="0.2">
      <c r="D805" s="20"/>
      <c r="E805" s="20"/>
      <c r="F805" s="20"/>
    </row>
    <row r="806" spans="4:6" ht="15.75" customHeight="1" x14ac:dyDescent="0.2">
      <c r="D806" s="20"/>
      <c r="E806" s="20"/>
      <c r="F806" s="20"/>
    </row>
    <row r="807" spans="4:6" ht="15.75" customHeight="1" x14ac:dyDescent="0.2">
      <c r="D807" s="20"/>
      <c r="E807" s="20"/>
      <c r="F807" s="20"/>
    </row>
    <row r="808" spans="4:6" ht="15.75" customHeight="1" x14ac:dyDescent="0.2">
      <c r="D808" s="20"/>
      <c r="E808" s="20"/>
      <c r="F808" s="20"/>
    </row>
    <row r="809" spans="4:6" ht="15.75" customHeight="1" x14ac:dyDescent="0.2">
      <c r="D809" s="20"/>
      <c r="E809" s="20"/>
      <c r="F809" s="20"/>
    </row>
    <row r="810" spans="4:6" ht="15.75" customHeight="1" x14ac:dyDescent="0.2">
      <c r="D810" s="20"/>
      <c r="E810" s="20"/>
      <c r="F810" s="20"/>
    </row>
    <row r="811" spans="4:6" ht="15.75" customHeight="1" x14ac:dyDescent="0.2">
      <c r="D811" s="20"/>
      <c r="E811" s="20"/>
      <c r="F811" s="20"/>
    </row>
    <row r="812" spans="4:6" ht="15.75" customHeight="1" x14ac:dyDescent="0.2">
      <c r="D812" s="20"/>
      <c r="E812" s="20"/>
      <c r="F812" s="20"/>
    </row>
    <row r="813" spans="4:6" ht="15.75" customHeight="1" x14ac:dyDescent="0.2">
      <c r="D813" s="20"/>
      <c r="E813" s="20"/>
      <c r="F813" s="20"/>
    </row>
    <row r="814" spans="4:6" ht="15.75" customHeight="1" x14ac:dyDescent="0.2">
      <c r="D814" s="20"/>
      <c r="E814" s="20"/>
      <c r="F814" s="20"/>
    </row>
    <row r="815" spans="4:6" ht="15.75" customHeight="1" x14ac:dyDescent="0.2">
      <c r="D815" s="20"/>
      <c r="E815" s="20"/>
      <c r="F815" s="20"/>
    </row>
    <row r="816" spans="4:6" ht="15.75" customHeight="1" x14ac:dyDescent="0.2">
      <c r="D816" s="20"/>
      <c r="E816" s="20"/>
      <c r="F816" s="20"/>
    </row>
    <row r="817" spans="4:6" ht="15.75" customHeight="1" x14ac:dyDescent="0.2">
      <c r="D817" s="20"/>
      <c r="E817" s="20"/>
      <c r="F817" s="20"/>
    </row>
    <row r="818" spans="4:6" ht="15.75" customHeight="1" x14ac:dyDescent="0.2">
      <c r="D818" s="20"/>
      <c r="E818" s="20"/>
      <c r="F818" s="20"/>
    </row>
    <row r="819" spans="4:6" ht="15.75" customHeight="1" x14ac:dyDescent="0.2">
      <c r="D819" s="20"/>
      <c r="E819" s="20"/>
      <c r="F819" s="20"/>
    </row>
    <row r="820" spans="4:6" ht="15.75" customHeight="1" x14ac:dyDescent="0.2">
      <c r="D820" s="20"/>
      <c r="E820" s="20"/>
      <c r="F820" s="20"/>
    </row>
    <row r="821" spans="4:6" ht="15.75" customHeight="1" x14ac:dyDescent="0.2">
      <c r="D821" s="20"/>
      <c r="E821" s="20"/>
      <c r="F821" s="20"/>
    </row>
    <row r="822" spans="4:6" ht="15.75" customHeight="1" x14ac:dyDescent="0.2">
      <c r="D822" s="20"/>
      <c r="E822" s="20"/>
      <c r="F822" s="20"/>
    </row>
    <row r="823" spans="4:6" ht="15.75" customHeight="1" x14ac:dyDescent="0.2">
      <c r="D823" s="20"/>
      <c r="E823" s="20"/>
      <c r="F823" s="20"/>
    </row>
    <row r="824" spans="4:6" ht="15.75" customHeight="1" x14ac:dyDescent="0.2">
      <c r="D824" s="20"/>
      <c r="E824" s="20"/>
      <c r="F824" s="20"/>
    </row>
    <row r="825" spans="4:6" ht="15.75" customHeight="1" x14ac:dyDescent="0.2">
      <c r="D825" s="20"/>
      <c r="E825" s="20"/>
      <c r="F825" s="20"/>
    </row>
    <row r="826" spans="4:6" ht="15.75" customHeight="1" x14ac:dyDescent="0.2">
      <c r="D826" s="20"/>
      <c r="E826" s="20"/>
      <c r="F826" s="20"/>
    </row>
    <row r="827" spans="4:6" ht="15.75" customHeight="1" x14ac:dyDescent="0.2">
      <c r="D827" s="20"/>
      <c r="E827" s="20"/>
      <c r="F827" s="20"/>
    </row>
    <row r="828" spans="4:6" ht="15.75" customHeight="1" x14ac:dyDescent="0.2">
      <c r="D828" s="20"/>
      <c r="E828" s="20"/>
      <c r="F828" s="20"/>
    </row>
    <row r="829" spans="4:6" ht="15.75" customHeight="1" x14ac:dyDescent="0.2">
      <c r="D829" s="20"/>
      <c r="E829" s="20"/>
      <c r="F829" s="20"/>
    </row>
    <row r="830" spans="4:6" ht="15.75" customHeight="1" x14ac:dyDescent="0.2">
      <c r="D830" s="20"/>
      <c r="E830" s="20"/>
      <c r="F830" s="20"/>
    </row>
    <row r="831" spans="4:6" ht="15.75" customHeight="1" x14ac:dyDescent="0.2">
      <c r="D831" s="20"/>
      <c r="E831" s="20"/>
      <c r="F831" s="20"/>
    </row>
    <row r="832" spans="4:6" ht="15.75" customHeight="1" x14ac:dyDescent="0.2">
      <c r="D832" s="20"/>
      <c r="E832" s="20"/>
      <c r="F832" s="20"/>
    </row>
    <row r="833" spans="4:6" ht="15.75" customHeight="1" x14ac:dyDescent="0.2">
      <c r="D833" s="20"/>
      <c r="E833" s="20"/>
      <c r="F833" s="20"/>
    </row>
    <row r="834" spans="4:6" ht="15.75" customHeight="1" x14ac:dyDescent="0.2">
      <c r="D834" s="20"/>
      <c r="E834" s="20"/>
      <c r="F834" s="20"/>
    </row>
    <row r="835" spans="4:6" ht="15.75" customHeight="1" x14ac:dyDescent="0.2">
      <c r="D835" s="20"/>
      <c r="E835" s="20"/>
      <c r="F835" s="20"/>
    </row>
    <row r="836" spans="4:6" ht="15.75" customHeight="1" x14ac:dyDescent="0.2">
      <c r="D836" s="20"/>
      <c r="E836" s="20"/>
      <c r="F836" s="20"/>
    </row>
    <row r="837" spans="4:6" ht="15.75" customHeight="1" x14ac:dyDescent="0.2">
      <c r="D837" s="20"/>
      <c r="E837" s="20"/>
      <c r="F837" s="20"/>
    </row>
    <row r="838" spans="4:6" ht="15.75" customHeight="1" x14ac:dyDescent="0.2">
      <c r="D838" s="20"/>
      <c r="E838" s="20"/>
      <c r="F838" s="20"/>
    </row>
    <row r="839" spans="4:6" ht="15.75" customHeight="1" x14ac:dyDescent="0.2">
      <c r="D839" s="20"/>
      <c r="E839" s="20"/>
      <c r="F839" s="20"/>
    </row>
    <row r="840" spans="4:6" ht="15.75" customHeight="1" x14ac:dyDescent="0.2">
      <c r="D840" s="20"/>
      <c r="E840" s="20"/>
      <c r="F840" s="20"/>
    </row>
    <row r="841" spans="4:6" ht="15.75" customHeight="1" x14ac:dyDescent="0.2">
      <c r="D841" s="20"/>
      <c r="E841" s="20"/>
      <c r="F841" s="20"/>
    </row>
    <row r="842" spans="4:6" ht="15.75" customHeight="1" x14ac:dyDescent="0.2">
      <c r="D842" s="20"/>
      <c r="E842" s="20"/>
      <c r="F842" s="20"/>
    </row>
    <row r="843" spans="4:6" ht="15.75" customHeight="1" x14ac:dyDescent="0.2">
      <c r="D843" s="20"/>
      <c r="E843" s="20"/>
      <c r="F843" s="20"/>
    </row>
    <row r="844" spans="4:6" ht="15.75" customHeight="1" x14ac:dyDescent="0.2">
      <c r="D844" s="20"/>
      <c r="E844" s="20"/>
      <c r="F844" s="20"/>
    </row>
    <row r="845" spans="4:6" ht="15.75" customHeight="1" x14ac:dyDescent="0.2">
      <c r="D845" s="20"/>
      <c r="E845" s="20"/>
      <c r="F845" s="20"/>
    </row>
    <row r="846" spans="4:6" ht="15.75" customHeight="1" x14ac:dyDescent="0.2">
      <c r="D846" s="20"/>
      <c r="E846" s="20"/>
      <c r="F846" s="20"/>
    </row>
    <row r="847" spans="4:6" ht="15.75" customHeight="1" x14ac:dyDescent="0.2">
      <c r="D847" s="20"/>
      <c r="E847" s="20"/>
      <c r="F847" s="20"/>
    </row>
    <row r="848" spans="4:6" ht="15.75" customHeight="1" x14ac:dyDescent="0.2">
      <c r="D848" s="20"/>
      <c r="E848" s="20"/>
      <c r="F848" s="20"/>
    </row>
    <row r="849" spans="4:6" ht="15.75" customHeight="1" x14ac:dyDescent="0.2">
      <c r="D849" s="20"/>
      <c r="E849" s="20"/>
      <c r="F849" s="20"/>
    </row>
    <row r="850" spans="4:6" ht="15.75" customHeight="1" x14ac:dyDescent="0.2">
      <c r="D850" s="20"/>
      <c r="E850" s="20"/>
      <c r="F850" s="20"/>
    </row>
    <row r="851" spans="4:6" ht="15.75" customHeight="1" x14ac:dyDescent="0.2">
      <c r="D851" s="20"/>
      <c r="E851" s="20"/>
      <c r="F851" s="20"/>
    </row>
    <row r="852" spans="4:6" ht="15.75" customHeight="1" x14ac:dyDescent="0.2">
      <c r="D852" s="20"/>
      <c r="E852" s="20"/>
      <c r="F852" s="20"/>
    </row>
    <row r="853" spans="4:6" ht="15.75" customHeight="1" x14ac:dyDescent="0.2">
      <c r="D853" s="20"/>
      <c r="E853" s="20"/>
      <c r="F853" s="20"/>
    </row>
    <row r="854" spans="4:6" ht="15.75" customHeight="1" x14ac:dyDescent="0.2">
      <c r="D854" s="20"/>
      <c r="E854" s="20"/>
      <c r="F854" s="20"/>
    </row>
    <row r="855" spans="4:6" ht="15.75" customHeight="1" x14ac:dyDescent="0.2">
      <c r="D855" s="20"/>
      <c r="E855" s="20"/>
      <c r="F855" s="20"/>
    </row>
    <row r="856" spans="4:6" ht="15.75" customHeight="1" x14ac:dyDescent="0.2">
      <c r="D856" s="20"/>
      <c r="E856" s="20"/>
      <c r="F856" s="20"/>
    </row>
    <row r="857" spans="4:6" ht="15.75" customHeight="1" x14ac:dyDescent="0.2">
      <c r="D857" s="20"/>
      <c r="E857" s="20"/>
      <c r="F857" s="20"/>
    </row>
    <row r="858" spans="4:6" ht="15.75" customHeight="1" x14ac:dyDescent="0.2">
      <c r="D858" s="20"/>
      <c r="E858" s="20"/>
      <c r="F858" s="20"/>
    </row>
    <row r="859" spans="4:6" ht="15.75" customHeight="1" x14ac:dyDescent="0.2">
      <c r="D859" s="20"/>
      <c r="E859" s="20"/>
      <c r="F859" s="20"/>
    </row>
    <row r="860" spans="4:6" ht="15.75" customHeight="1" x14ac:dyDescent="0.2">
      <c r="D860" s="20"/>
      <c r="E860" s="20"/>
      <c r="F860" s="20"/>
    </row>
    <row r="861" spans="4:6" ht="15.75" customHeight="1" x14ac:dyDescent="0.2">
      <c r="D861" s="20"/>
      <c r="E861" s="20"/>
      <c r="F861" s="20"/>
    </row>
    <row r="862" spans="4:6" ht="15.75" customHeight="1" x14ac:dyDescent="0.2">
      <c r="D862" s="20"/>
      <c r="E862" s="20"/>
      <c r="F862" s="20"/>
    </row>
    <row r="863" spans="4:6" ht="15.75" customHeight="1" x14ac:dyDescent="0.2">
      <c r="D863" s="20"/>
      <c r="E863" s="20"/>
      <c r="F863" s="20"/>
    </row>
    <row r="864" spans="4:6" ht="15.75" customHeight="1" x14ac:dyDescent="0.2">
      <c r="D864" s="20"/>
      <c r="E864" s="20"/>
      <c r="F864" s="20"/>
    </row>
    <row r="865" spans="4:6" ht="15.75" customHeight="1" x14ac:dyDescent="0.2">
      <c r="D865" s="20"/>
      <c r="E865" s="20"/>
      <c r="F865" s="20"/>
    </row>
    <row r="866" spans="4:6" ht="15.75" customHeight="1" x14ac:dyDescent="0.2">
      <c r="D866" s="20"/>
      <c r="E866" s="20"/>
      <c r="F866" s="20"/>
    </row>
    <row r="867" spans="4:6" ht="15.75" customHeight="1" x14ac:dyDescent="0.2">
      <c r="D867" s="20"/>
      <c r="E867" s="20"/>
      <c r="F867" s="20"/>
    </row>
    <row r="868" spans="4:6" ht="15.75" customHeight="1" x14ac:dyDescent="0.2">
      <c r="D868" s="20"/>
      <c r="E868" s="20"/>
      <c r="F868" s="20"/>
    </row>
    <row r="869" spans="4:6" ht="15.75" customHeight="1" x14ac:dyDescent="0.2">
      <c r="D869" s="20"/>
      <c r="E869" s="20"/>
      <c r="F869" s="20"/>
    </row>
    <row r="870" spans="4:6" ht="15.75" customHeight="1" x14ac:dyDescent="0.2">
      <c r="D870" s="20"/>
      <c r="E870" s="20"/>
      <c r="F870" s="20"/>
    </row>
    <row r="871" spans="4:6" ht="15.75" customHeight="1" x14ac:dyDescent="0.2">
      <c r="D871" s="20"/>
      <c r="E871" s="20"/>
      <c r="F871" s="20"/>
    </row>
    <row r="872" spans="4:6" ht="15.75" customHeight="1" x14ac:dyDescent="0.2">
      <c r="D872" s="20"/>
      <c r="E872" s="20"/>
      <c r="F872" s="20"/>
    </row>
    <row r="873" spans="4:6" ht="15.75" customHeight="1" x14ac:dyDescent="0.2">
      <c r="D873" s="20"/>
      <c r="E873" s="20"/>
      <c r="F873" s="20"/>
    </row>
    <row r="874" spans="4:6" ht="15.75" customHeight="1" x14ac:dyDescent="0.2">
      <c r="D874" s="20"/>
      <c r="E874" s="20"/>
      <c r="F874" s="20"/>
    </row>
    <row r="875" spans="4:6" ht="15.75" customHeight="1" x14ac:dyDescent="0.2">
      <c r="D875" s="20"/>
      <c r="E875" s="20"/>
      <c r="F875" s="20"/>
    </row>
    <row r="876" spans="4:6" ht="15.75" customHeight="1" x14ac:dyDescent="0.2">
      <c r="D876" s="20"/>
      <c r="E876" s="20"/>
      <c r="F876" s="20"/>
    </row>
    <row r="877" spans="4:6" ht="15.75" customHeight="1" x14ac:dyDescent="0.2">
      <c r="D877" s="20"/>
      <c r="E877" s="20"/>
      <c r="F877" s="20"/>
    </row>
    <row r="878" spans="4:6" ht="15.75" customHeight="1" x14ac:dyDescent="0.2">
      <c r="D878" s="20"/>
      <c r="E878" s="20"/>
      <c r="F878" s="20"/>
    </row>
    <row r="879" spans="4:6" ht="15.75" customHeight="1" x14ac:dyDescent="0.2">
      <c r="D879" s="20"/>
      <c r="E879" s="20"/>
      <c r="F879" s="20"/>
    </row>
    <row r="880" spans="4:6" ht="15.75" customHeight="1" x14ac:dyDescent="0.2">
      <c r="D880" s="20"/>
      <c r="E880" s="20"/>
      <c r="F880" s="20"/>
    </row>
    <row r="881" spans="4:6" ht="15.75" customHeight="1" x14ac:dyDescent="0.2">
      <c r="D881" s="20"/>
      <c r="E881" s="20"/>
      <c r="F881" s="20"/>
    </row>
    <row r="882" spans="4:6" ht="15.75" customHeight="1" x14ac:dyDescent="0.2">
      <c r="D882" s="20"/>
      <c r="E882" s="20"/>
      <c r="F882" s="20"/>
    </row>
    <row r="883" spans="4:6" ht="15.75" customHeight="1" x14ac:dyDescent="0.2">
      <c r="D883" s="20"/>
      <c r="E883" s="20"/>
      <c r="F883" s="20"/>
    </row>
    <row r="884" spans="4:6" ht="15.75" customHeight="1" x14ac:dyDescent="0.2">
      <c r="D884" s="20"/>
      <c r="E884" s="20"/>
      <c r="F884" s="20"/>
    </row>
    <row r="885" spans="4:6" ht="15.75" customHeight="1" x14ac:dyDescent="0.2">
      <c r="D885" s="20"/>
      <c r="E885" s="20"/>
      <c r="F885" s="20"/>
    </row>
    <row r="886" spans="4:6" ht="15.75" customHeight="1" x14ac:dyDescent="0.2">
      <c r="D886" s="20"/>
      <c r="E886" s="20"/>
      <c r="F886" s="20"/>
    </row>
    <row r="887" spans="4:6" ht="15.75" customHeight="1" x14ac:dyDescent="0.2">
      <c r="D887" s="20"/>
      <c r="E887" s="20"/>
      <c r="F887" s="20"/>
    </row>
    <row r="888" spans="4:6" ht="15.75" customHeight="1" x14ac:dyDescent="0.2">
      <c r="D888" s="20"/>
      <c r="E888" s="20"/>
      <c r="F888" s="20"/>
    </row>
    <row r="889" spans="4:6" ht="15.75" customHeight="1" x14ac:dyDescent="0.2">
      <c r="D889" s="20"/>
      <c r="E889" s="20"/>
      <c r="F889" s="20"/>
    </row>
    <row r="890" spans="4:6" ht="15.75" customHeight="1" x14ac:dyDescent="0.2">
      <c r="D890" s="20"/>
      <c r="E890" s="20"/>
      <c r="F890" s="20"/>
    </row>
    <row r="891" spans="4:6" ht="15.75" customHeight="1" x14ac:dyDescent="0.2">
      <c r="D891" s="20"/>
      <c r="E891" s="20"/>
      <c r="F891" s="20"/>
    </row>
    <row r="892" spans="4:6" ht="15.75" customHeight="1" x14ac:dyDescent="0.2">
      <c r="D892" s="20"/>
      <c r="E892" s="20"/>
      <c r="F892" s="20"/>
    </row>
    <row r="893" spans="4:6" ht="15.75" customHeight="1" x14ac:dyDescent="0.2">
      <c r="D893" s="20"/>
      <c r="E893" s="20"/>
      <c r="F893" s="20"/>
    </row>
    <row r="894" spans="4:6" ht="15.75" customHeight="1" x14ac:dyDescent="0.2">
      <c r="D894" s="20"/>
      <c r="E894" s="20"/>
      <c r="F894" s="20"/>
    </row>
    <row r="895" spans="4:6" ht="15.75" customHeight="1" x14ac:dyDescent="0.2">
      <c r="D895" s="20"/>
      <c r="E895" s="20"/>
      <c r="F895" s="20"/>
    </row>
    <row r="896" spans="4:6" ht="15.75" customHeight="1" x14ac:dyDescent="0.2">
      <c r="D896" s="20"/>
      <c r="E896" s="20"/>
      <c r="F896" s="20"/>
    </row>
    <row r="897" spans="4:6" ht="15.75" customHeight="1" x14ac:dyDescent="0.2">
      <c r="D897" s="20"/>
      <c r="E897" s="20"/>
      <c r="F897" s="20"/>
    </row>
    <row r="898" spans="4:6" ht="15.75" customHeight="1" x14ac:dyDescent="0.2">
      <c r="D898" s="20"/>
      <c r="E898" s="20"/>
      <c r="F898" s="20"/>
    </row>
    <row r="899" spans="4:6" ht="15.75" customHeight="1" x14ac:dyDescent="0.2">
      <c r="D899" s="20"/>
      <c r="E899" s="20"/>
      <c r="F899" s="20"/>
    </row>
    <row r="900" spans="4:6" ht="15.75" customHeight="1" x14ac:dyDescent="0.2">
      <c r="D900" s="20"/>
      <c r="E900" s="20"/>
      <c r="F900" s="20"/>
    </row>
    <row r="901" spans="4:6" ht="15.75" customHeight="1" x14ac:dyDescent="0.2">
      <c r="D901" s="20"/>
      <c r="E901" s="20"/>
      <c r="F901" s="20"/>
    </row>
    <row r="902" spans="4:6" ht="15.75" customHeight="1" x14ac:dyDescent="0.2">
      <c r="D902" s="20"/>
      <c r="E902" s="20"/>
      <c r="F902" s="20"/>
    </row>
    <row r="903" spans="4:6" ht="15.75" customHeight="1" x14ac:dyDescent="0.2">
      <c r="D903" s="20"/>
      <c r="E903" s="20"/>
      <c r="F903" s="20"/>
    </row>
    <row r="904" spans="4:6" ht="15.75" customHeight="1" x14ac:dyDescent="0.2">
      <c r="D904" s="20"/>
      <c r="E904" s="20"/>
      <c r="F904" s="20"/>
    </row>
    <row r="905" spans="4:6" ht="15.75" customHeight="1" x14ac:dyDescent="0.2">
      <c r="D905" s="20"/>
      <c r="E905" s="20"/>
      <c r="F905" s="20"/>
    </row>
    <row r="906" spans="4:6" ht="15.75" customHeight="1" x14ac:dyDescent="0.2">
      <c r="D906" s="20"/>
      <c r="E906" s="20"/>
      <c r="F906" s="20"/>
    </row>
    <row r="907" spans="4:6" ht="15.75" customHeight="1" x14ac:dyDescent="0.2">
      <c r="D907" s="20"/>
      <c r="E907" s="20"/>
      <c r="F907" s="20"/>
    </row>
    <row r="908" spans="4:6" ht="15.75" customHeight="1" x14ac:dyDescent="0.2">
      <c r="D908" s="20"/>
      <c r="E908" s="20"/>
      <c r="F908" s="20"/>
    </row>
    <row r="909" spans="4:6" ht="15.75" customHeight="1" x14ac:dyDescent="0.2">
      <c r="D909" s="20"/>
      <c r="E909" s="20"/>
      <c r="F909" s="20"/>
    </row>
    <row r="910" spans="4:6" ht="15.75" customHeight="1" x14ac:dyDescent="0.2">
      <c r="D910" s="20"/>
      <c r="E910" s="20"/>
      <c r="F910" s="20"/>
    </row>
    <row r="911" spans="4:6" ht="15.75" customHeight="1" x14ac:dyDescent="0.2">
      <c r="D911" s="20"/>
      <c r="E911" s="20"/>
      <c r="F911" s="20"/>
    </row>
    <row r="912" spans="4:6" ht="15.75" customHeight="1" x14ac:dyDescent="0.2">
      <c r="D912" s="20"/>
      <c r="E912" s="20"/>
      <c r="F912" s="20"/>
    </row>
    <row r="913" spans="4:6" ht="15.75" customHeight="1" x14ac:dyDescent="0.2">
      <c r="D913" s="20"/>
      <c r="E913" s="20"/>
      <c r="F913" s="20"/>
    </row>
    <row r="914" spans="4:6" ht="15.75" customHeight="1" x14ac:dyDescent="0.2">
      <c r="D914" s="20"/>
      <c r="E914" s="20"/>
      <c r="F914" s="20"/>
    </row>
    <row r="915" spans="4:6" ht="15.75" customHeight="1" x14ac:dyDescent="0.2">
      <c r="D915" s="20"/>
      <c r="E915" s="20"/>
      <c r="F915" s="20"/>
    </row>
    <row r="916" spans="4:6" ht="15.75" customHeight="1" x14ac:dyDescent="0.2">
      <c r="D916" s="20"/>
      <c r="E916" s="20"/>
      <c r="F916" s="20"/>
    </row>
    <row r="917" spans="4:6" ht="15.75" customHeight="1" x14ac:dyDescent="0.2">
      <c r="D917" s="20"/>
      <c r="E917" s="20"/>
      <c r="F917" s="20"/>
    </row>
    <row r="918" spans="4:6" ht="15.75" customHeight="1" x14ac:dyDescent="0.2">
      <c r="D918" s="20"/>
      <c r="E918" s="20"/>
      <c r="F918" s="20"/>
    </row>
    <row r="919" spans="4:6" ht="15.75" customHeight="1" x14ac:dyDescent="0.2">
      <c r="D919" s="20"/>
      <c r="E919" s="20"/>
      <c r="F919" s="20"/>
    </row>
    <row r="920" spans="4:6" ht="15.75" customHeight="1" x14ac:dyDescent="0.2">
      <c r="D920" s="20"/>
      <c r="E920" s="20"/>
      <c r="F920" s="20"/>
    </row>
    <row r="921" spans="4:6" ht="15.75" customHeight="1" x14ac:dyDescent="0.2">
      <c r="D921" s="20"/>
      <c r="E921" s="20"/>
      <c r="F921" s="20"/>
    </row>
    <row r="922" spans="4:6" ht="15.75" customHeight="1" x14ac:dyDescent="0.2">
      <c r="D922" s="20"/>
      <c r="E922" s="20"/>
      <c r="F922" s="20"/>
    </row>
    <row r="923" spans="4:6" ht="15.75" customHeight="1" x14ac:dyDescent="0.2">
      <c r="D923" s="20"/>
      <c r="E923" s="20"/>
      <c r="F923" s="20"/>
    </row>
    <row r="924" spans="4:6" ht="15.75" customHeight="1" x14ac:dyDescent="0.2">
      <c r="D924" s="20"/>
      <c r="E924" s="20"/>
      <c r="F924" s="20"/>
    </row>
    <row r="925" spans="4:6" ht="15.75" customHeight="1" x14ac:dyDescent="0.2">
      <c r="D925" s="20"/>
      <c r="E925" s="20"/>
      <c r="F925" s="20"/>
    </row>
    <row r="926" spans="4:6" ht="15.75" customHeight="1" x14ac:dyDescent="0.2">
      <c r="D926" s="20"/>
      <c r="E926" s="20"/>
      <c r="F926" s="20"/>
    </row>
    <row r="927" spans="4:6" ht="15.75" customHeight="1" x14ac:dyDescent="0.2">
      <c r="D927" s="20"/>
      <c r="E927" s="20"/>
      <c r="F927" s="20"/>
    </row>
    <row r="928" spans="4:6" ht="15.75" customHeight="1" x14ac:dyDescent="0.2">
      <c r="D928" s="20"/>
      <c r="E928" s="20"/>
      <c r="F928" s="20"/>
    </row>
    <row r="929" spans="4:6" ht="15.75" customHeight="1" x14ac:dyDescent="0.2">
      <c r="D929" s="20"/>
      <c r="E929" s="20"/>
      <c r="F929" s="20"/>
    </row>
    <row r="930" spans="4:6" ht="15.75" customHeight="1" x14ac:dyDescent="0.2">
      <c r="D930" s="20"/>
      <c r="E930" s="20"/>
      <c r="F930" s="20"/>
    </row>
    <row r="931" spans="4:6" ht="15.75" customHeight="1" x14ac:dyDescent="0.2">
      <c r="D931" s="20"/>
      <c r="E931" s="20"/>
      <c r="F931" s="20"/>
    </row>
    <row r="932" spans="4:6" ht="15.75" customHeight="1" x14ac:dyDescent="0.2">
      <c r="D932" s="20"/>
      <c r="E932" s="20"/>
      <c r="F932" s="20"/>
    </row>
    <row r="933" spans="4:6" ht="15.75" customHeight="1" x14ac:dyDescent="0.2">
      <c r="D933" s="20"/>
      <c r="E933" s="20"/>
      <c r="F933" s="20"/>
    </row>
    <row r="934" spans="4:6" ht="15.75" customHeight="1" x14ac:dyDescent="0.2">
      <c r="D934" s="20"/>
      <c r="E934" s="20"/>
      <c r="F934" s="20"/>
    </row>
    <row r="935" spans="4:6" ht="15.75" customHeight="1" x14ac:dyDescent="0.2">
      <c r="D935" s="20"/>
      <c r="E935" s="20"/>
      <c r="F935" s="20"/>
    </row>
    <row r="936" spans="4:6" ht="15.75" customHeight="1" x14ac:dyDescent="0.2">
      <c r="D936" s="20"/>
      <c r="E936" s="20"/>
      <c r="F936" s="20"/>
    </row>
    <row r="937" spans="4:6" ht="15.75" customHeight="1" x14ac:dyDescent="0.2">
      <c r="D937" s="20"/>
      <c r="E937" s="20"/>
      <c r="F937" s="20"/>
    </row>
    <row r="938" spans="4:6" ht="15.75" customHeight="1" x14ac:dyDescent="0.2">
      <c r="D938" s="20"/>
      <c r="E938" s="20"/>
      <c r="F938" s="20"/>
    </row>
    <row r="939" spans="4:6" ht="15.75" customHeight="1" x14ac:dyDescent="0.2">
      <c r="D939" s="20"/>
      <c r="E939" s="20"/>
      <c r="F939" s="20"/>
    </row>
    <row r="940" spans="4:6" ht="15.75" customHeight="1" x14ac:dyDescent="0.2">
      <c r="D940" s="20"/>
      <c r="E940" s="20"/>
      <c r="F940" s="20"/>
    </row>
    <row r="941" spans="4:6" ht="15.75" customHeight="1" x14ac:dyDescent="0.2">
      <c r="D941" s="20"/>
      <c r="E941" s="20"/>
      <c r="F941" s="20"/>
    </row>
    <row r="942" spans="4:6" ht="15.75" customHeight="1" x14ac:dyDescent="0.2">
      <c r="D942" s="20"/>
      <c r="E942" s="20"/>
      <c r="F942" s="20"/>
    </row>
    <row r="943" spans="4:6" ht="15.75" customHeight="1" x14ac:dyDescent="0.2">
      <c r="D943" s="20"/>
      <c r="E943" s="20"/>
      <c r="F943" s="20"/>
    </row>
    <row r="944" spans="4:6" ht="15.75" customHeight="1" x14ac:dyDescent="0.2">
      <c r="D944" s="20"/>
      <c r="E944" s="20"/>
      <c r="F944" s="20"/>
    </row>
    <row r="945" spans="4:6" ht="15.75" customHeight="1" x14ac:dyDescent="0.2">
      <c r="D945" s="20"/>
      <c r="E945" s="20"/>
      <c r="F945" s="20"/>
    </row>
    <row r="946" spans="4:6" ht="15.75" customHeight="1" x14ac:dyDescent="0.2">
      <c r="D946" s="20"/>
      <c r="E946" s="20"/>
      <c r="F946" s="20"/>
    </row>
    <row r="947" spans="4:6" ht="15.75" customHeight="1" x14ac:dyDescent="0.2">
      <c r="D947" s="20"/>
      <c r="E947" s="20"/>
      <c r="F947" s="20"/>
    </row>
    <row r="948" spans="4:6" ht="15.75" customHeight="1" x14ac:dyDescent="0.2">
      <c r="D948" s="20"/>
      <c r="E948" s="20"/>
      <c r="F948" s="20"/>
    </row>
    <row r="949" spans="4:6" ht="15.75" customHeight="1" x14ac:dyDescent="0.2">
      <c r="D949" s="20"/>
      <c r="E949" s="20"/>
      <c r="F949" s="20"/>
    </row>
    <row r="950" spans="4:6" ht="15.75" customHeight="1" x14ac:dyDescent="0.2">
      <c r="D950" s="20"/>
      <c r="E950" s="20"/>
      <c r="F950" s="20"/>
    </row>
    <row r="951" spans="4:6" ht="15.75" customHeight="1" x14ac:dyDescent="0.2">
      <c r="D951" s="20"/>
      <c r="E951" s="20"/>
      <c r="F951" s="20"/>
    </row>
    <row r="952" spans="4:6" ht="15.75" customHeight="1" x14ac:dyDescent="0.2">
      <c r="D952" s="20"/>
      <c r="E952" s="20"/>
      <c r="F952" s="20"/>
    </row>
    <row r="953" spans="4:6" ht="15.75" customHeight="1" x14ac:dyDescent="0.2">
      <c r="D953" s="20"/>
      <c r="E953" s="20"/>
      <c r="F953" s="20"/>
    </row>
    <row r="954" spans="4:6" ht="15.75" customHeight="1" x14ac:dyDescent="0.2">
      <c r="D954" s="20"/>
      <c r="E954" s="20"/>
      <c r="F954" s="20"/>
    </row>
    <row r="955" spans="4:6" ht="15.75" customHeight="1" x14ac:dyDescent="0.2">
      <c r="D955" s="20"/>
      <c r="E955" s="20"/>
      <c r="F955" s="20"/>
    </row>
    <row r="956" spans="4:6" ht="15.75" customHeight="1" x14ac:dyDescent="0.2">
      <c r="D956" s="20"/>
      <c r="E956" s="20"/>
      <c r="F956" s="20"/>
    </row>
    <row r="957" spans="4:6" ht="15.75" customHeight="1" x14ac:dyDescent="0.2">
      <c r="D957" s="20"/>
      <c r="E957" s="20"/>
      <c r="F957" s="20"/>
    </row>
    <row r="958" spans="4:6" ht="15.75" customHeight="1" x14ac:dyDescent="0.2">
      <c r="D958" s="20"/>
      <c r="E958" s="20"/>
      <c r="F958" s="20"/>
    </row>
    <row r="959" spans="4:6" ht="15.75" customHeight="1" x14ac:dyDescent="0.2">
      <c r="D959" s="20"/>
      <c r="E959" s="20"/>
      <c r="F959" s="20"/>
    </row>
    <row r="960" spans="4:6" ht="15.75" customHeight="1" x14ac:dyDescent="0.2">
      <c r="D960" s="20"/>
      <c r="E960" s="20"/>
      <c r="F960" s="20"/>
    </row>
    <row r="961" spans="4:6" ht="15.75" customHeight="1" x14ac:dyDescent="0.2">
      <c r="D961" s="20"/>
      <c r="E961" s="20"/>
      <c r="F961" s="20"/>
    </row>
    <row r="962" spans="4:6" ht="15.75" customHeight="1" x14ac:dyDescent="0.2">
      <c r="D962" s="20"/>
      <c r="E962" s="20"/>
      <c r="F962" s="20"/>
    </row>
    <row r="963" spans="4:6" ht="15.75" customHeight="1" x14ac:dyDescent="0.2">
      <c r="D963" s="20"/>
      <c r="E963" s="20"/>
      <c r="F963" s="20"/>
    </row>
    <row r="964" spans="4:6" ht="15.75" customHeight="1" x14ac:dyDescent="0.2">
      <c r="D964" s="20"/>
      <c r="E964" s="20"/>
      <c r="F964" s="20"/>
    </row>
    <row r="965" spans="4:6" ht="15.75" customHeight="1" x14ac:dyDescent="0.2">
      <c r="D965" s="20"/>
      <c r="E965" s="20"/>
      <c r="F965" s="20"/>
    </row>
    <row r="966" spans="4:6" ht="15.75" customHeight="1" x14ac:dyDescent="0.2">
      <c r="D966" s="20"/>
      <c r="E966" s="20"/>
      <c r="F966" s="20"/>
    </row>
    <row r="967" spans="4:6" ht="15.75" customHeight="1" x14ac:dyDescent="0.2">
      <c r="D967" s="20"/>
      <c r="E967" s="20"/>
      <c r="F967" s="20"/>
    </row>
    <row r="968" spans="4:6" ht="15.75" customHeight="1" x14ac:dyDescent="0.2">
      <c r="D968" s="20"/>
      <c r="E968" s="20"/>
      <c r="F968" s="20"/>
    </row>
    <row r="969" spans="4:6" ht="15.75" customHeight="1" x14ac:dyDescent="0.2">
      <c r="D969" s="20"/>
      <c r="E969" s="20"/>
      <c r="F969" s="20"/>
    </row>
    <row r="970" spans="4:6" ht="15.75" customHeight="1" x14ac:dyDescent="0.2">
      <c r="D970" s="20"/>
      <c r="E970" s="20"/>
      <c r="F970" s="20"/>
    </row>
    <row r="971" spans="4:6" ht="15.75" customHeight="1" x14ac:dyDescent="0.2">
      <c r="D971" s="20"/>
      <c r="E971" s="20"/>
      <c r="F971" s="20"/>
    </row>
    <row r="972" spans="4:6" ht="15.75" customHeight="1" x14ac:dyDescent="0.2">
      <c r="D972" s="20"/>
      <c r="E972" s="20"/>
      <c r="F972" s="20"/>
    </row>
    <row r="973" spans="4:6" ht="15.75" customHeight="1" x14ac:dyDescent="0.2">
      <c r="D973" s="20"/>
      <c r="E973" s="20"/>
      <c r="F973" s="20"/>
    </row>
    <row r="974" spans="4:6" ht="15.75" customHeight="1" x14ac:dyDescent="0.2">
      <c r="D974" s="20"/>
      <c r="E974" s="20"/>
      <c r="F974" s="20"/>
    </row>
    <row r="975" spans="4:6" ht="15.75" customHeight="1" x14ac:dyDescent="0.2">
      <c r="D975" s="20"/>
      <c r="E975" s="20"/>
      <c r="F975" s="20"/>
    </row>
    <row r="976" spans="4:6" ht="15.75" customHeight="1" x14ac:dyDescent="0.2">
      <c r="D976" s="20"/>
      <c r="E976" s="20"/>
      <c r="F976" s="20"/>
    </row>
    <row r="977" spans="4:6" ht="15.75" customHeight="1" x14ac:dyDescent="0.2">
      <c r="D977" s="20"/>
      <c r="E977" s="20"/>
      <c r="F977" s="20"/>
    </row>
    <row r="978" spans="4:6" ht="15.75" customHeight="1" x14ac:dyDescent="0.2">
      <c r="D978" s="20"/>
      <c r="E978" s="20"/>
      <c r="F978" s="20"/>
    </row>
    <row r="979" spans="4:6" ht="15.75" customHeight="1" x14ac:dyDescent="0.2">
      <c r="D979" s="20"/>
      <c r="E979" s="20"/>
      <c r="F979" s="20"/>
    </row>
    <row r="980" spans="4:6" ht="15.75" customHeight="1" x14ac:dyDescent="0.2">
      <c r="D980" s="20"/>
      <c r="E980" s="20"/>
      <c r="F980" s="20"/>
    </row>
    <row r="981" spans="4:6" ht="15.75" customHeight="1" x14ac:dyDescent="0.2">
      <c r="D981" s="20"/>
      <c r="E981" s="20"/>
      <c r="F981" s="20"/>
    </row>
    <row r="982" spans="4:6" ht="15.75" customHeight="1" x14ac:dyDescent="0.2">
      <c r="D982" s="20"/>
      <c r="E982" s="20"/>
      <c r="F982" s="20"/>
    </row>
    <row r="983" spans="4:6" ht="15.75" customHeight="1" x14ac:dyDescent="0.2">
      <c r="D983" s="20"/>
      <c r="E983" s="20"/>
      <c r="F983" s="20"/>
    </row>
    <row r="984" spans="4:6" ht="15.75" customHeight="1" x14ac:dyDescent="0.2">
      <c r="D984" s="20"/>
      <c r="E984" s="20"/>
      <c r="F984" s="20"/>
    </row>
    <row r="985" spans="4:6" ht="15.75" customHeight="1" x14ac:dyDescent="0.2">
      <c r="D985" s="20"/>
      <c r="E985" s="20"/>
      <c r="F985" s="20"/>
    </row>
    <row r="986" spans="4:6" ht="15.75" customHeight="1" x14ac:dyDescent="0.2">
      <c r="D986" s="20"/>
      <c r="E986" s="20"/>
      <c r="F986" s="20"/>
    </row>
    <row r="987" spans="4:6" ht="15.75" customHeight="1" x14ac:dyDescent="0.2">
      <c r="D987" s="20"/>
      <c r="E987" s="20"/>
      <c r="F987" s="20"/>
    </row>
    <row r="988" spans="4:6" ht="15.75" customHeight="1" x14ac:dyDescent="0.2">
      <c r="D988" s="20"/>
      <c r="E988" s="20"/>
      <c r="F988" s="20"/>
    </row>
    <row r="989" spans="4:6" ht="15.75" customHeight="1" x14ac:dyDescent="0.2">
      <c r="D989" s="20"/>
      <c r="E989" s="20"/>
      <c r="F989" s="20"/>
    </row>
    <row r="990" spans="4:6" ht="15.75" customHeight="1" x14ac:dyDescent="0.2">
      <c r="D990" s="20"/>
      <c r="E990" s="20"/>
      <c r="F990" s="20"/>
    </row>
    <row r="991" spans="4:6" ht="15.75" customHeight="1" x14ac:dyDescent="0.2">
      <c r="D991" s="20"/>
      <c r="E991" s="20"/>
      <c r="F991" s="20"/>
    </row>
    <row r="992" spans="4:6" ht="15.75" customHeight="1" x14ac:dyDescent="0.2">
      <c r="D992" s="20"/>
      <c r="E992" s="20"/>
      <c r="F992" s="20"/>
    </row>
    <row r="993" spans="4:6" ht="15.75" customHeight="1" x14ac:dyDescent="0.2">
      <c r="D993" s="20"/>
      <c r="E993" s="20"/>
      <c r="F993" s="20"/>
    </row>
    <row r="994" spans="4:6" ht="15.75" customHeight="1" x14ac:dyDescent="0.2">
      <c r="D994" s="20"/>
      <c r="E994" s="20"/>
      <c r="F994" s="20"/>
    </row>
    <row r="995" spans="4:6" ht="15.75" customHeight="1" x14ac:dyDescent="0.2">
      <c r="D995" s="20"/>
      <c r="E995" s="20"/>
      <c r="F995" s="20"/>
    </row>
    <row r="996" spans="4:6" ht="15.75" customHeight="1" x14ac:dyDescent="0.2">
      <c r="D996" s="20"/>
      <c r="E996" s="20"/>
      <c r="F996" s="20"/>
    </row>
    <row r="997" spans="4:6" ht="15.75" customHeight="1" x14ac:dyDescent="0.2">
      <c r="D997" s="20"/>
      <c r="E997" s="20"/>
      <c r="F997" s="20"/>
    </row>
    <row r="998" spans="4:6" ht="15.75" customHeight="1" x14ac:dyDescent="0.2">
      <c r="D998" s="20"/>
      <c r="E998" s="20"/>
      <c r="F998" s="20"/>
    </row>
    <row r="999" spans="4:6" ht="15.75" customHeight="1" x14ac:dyDescent="0.2">
      <c r="D999" s="20"/>
      <c r="E999" s="20"/>
      <c r="F999" s="20"/>
    </row>
    <row r="1000" spans="4:6" ht="15.75" customHeight="1" x14ac:dyDescent="0.2">
      <c r="D1000" s="20"/>
      <c r="E1000" s="20"/>
      <c r="F1000" s="20"/>
    </row>
  </sheetData>
  <mergeCells count="18">
    <mergeCell ref="C4:F4"/>
    <mergeCell ref="D6:E6"/>
    <mergeCell ref="C8:F8"/>
    <mergeCell ref="C14:F14"/>
    <mergeCell ref="C15:F15"/>
    <mergeCell ref="C21:F21"/>
    <mergeCell ref="C26:F26"/>
    <mergeCell ref="C52:F52"/>
    <mergeCell ref="C63:F63"/>
    <mergeCell ref="C64:F64"/>
    <mergeCell ref="I64:J64"/>
    <mergeCell ref="C30:F30"/>
    <mergeCell ref="C34:F34"/>
    <mergeCell ref="C39:F39"/>
    <mergeCell ref="C47:F47"/>
    <mergeCell ref="C51:F51"/>
    <mergeCell ref="I53:J53"/>
    <mergeCell ref="I54:J54"/>
  </mergeCells>
  <pageMargins left="0.7" right="0.7" top="0.75" bottom="0.75" header="0" footer="0"/>
  <pageSetup orientation="portrait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sparklines>
            <x14:sparkline>
              <xm:f>'Reporte '!N6:N20</xm:f>
              <xm:sqref>N4</xm:sqref>
            </x14:sparkline>
          </x14:sparklines>
        </x14:sparklineGroup>
        <x14:sparklineGroup displayEmptyCellsAs="gap" xr2:uid="{00000000-0003-0000-0100-000001000000}">
          <x14:colorSeries rgb="FF376092"/>
          <x14:sparklines>
            <x14:sparkline>
              <xm:f>'Reporte '!O6:O20</xm:f>
              <xm:sqref>O4</xm:sqref>
            </x14:sparkline>
          </x14:sparklines>
        </x14:sparklineGroup>
        <x14:sparklineGroup displayEmptyCellsAs="gap" xr2:uid="{00000000-0003-0000-0100-000002000000}">
          <x14:colorSeries rgb="FF376092"/>
          <x14:sparklines>
            <x14:sparkline>
              <xm:f>'Reporte '!P6:P20</xm:f>
              <xm:sqref>P4</xm:sqref>
            </x14:sparkline>
          </x14:sparklines>
        </x14:sparklineGroup>
        <x14:sparklineGroup displayEmptyCellsAs="gap" xr2:uid="{00000000-0003-0000-0100-000003000000}">
          <x14:colorSeries rgb="FF376092"/>
          <x14:sparklines>
            <x14:sparkline>
              <xm:f>'Reporte '!Q6:Q20</xm:f>
              <xm:sqref>Q4</xm:sqref>
            </x14:sparkline>
          </x14:sparklines>
        </x14:sparklineGroup>
        <x14:sparklineGroup displayEmptyCellsAs="gap" xr2:uid="{00000000-0003-0000-0100-000004000000}">
          <x14:colorSeries rgb="FF376092"/>
          <x14:sparklines>
            <x14:sparkline>
              <xm:f>'Reporte '!R6:R20</xm:f>
              <xm:sqref>R4</xm:sqref>
            </x14:sparkline>
          </x14:sparklines>
        </x14:sparklineGroup>
        <x14:sparklineGroup displayEmptyCellsAs="gap" xr2:uid="{00000000-0003-0000-0100-000005000000}">
          <x14:colorSeries rgb="FF376092"/>
          <x14:sparklines>
            <x14:sparkline>
              <xm:f>'Reporte '!S6:S20</xm:f>
              <xm:sqref>S4</xm:sqref>
            </x14:sparkline>
          </x14:sparklines>
        </x14:sparklineGroup>
        <x14:sparklineGroup displayEmptyCellsAs="gap" xr2:uid="{00000000-0003-0000-0100-000006000000}">
          <x14:colorSeries rgb="FF376092"/>
          <x14:sparklines>
            <x14:sparkline>
              <xm:f>'Reporte '!T6:T20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5" defaultRowHeight="15" customHeight="1" x14ac:dyDescent="0.2"/>
  <cols>
    <col min="1" max="1" width="17.6640625" customWidth="1"/>
    <col min="2" max="26" width="10.6640625" customWidth="1"/>
  </cols>
  <sheetData>
    <row r="1" spans="1:5" x14ac:dyDescent="0.2">
      <c r="A1" s="10" t="s">
        <v>85</v>
      </c>
      <c r="B1" s="69">
        <v>0</v>
      </c>
      <c r="C1" s="70">
        <v>0</v>
      </c>
      <c r="D1" s="70">
        <v>0</v>
      </c>
      <c r="E1" s="71">
        <v>0</v>
      </c>
    </row>
    <row r="2" spans="1:5" x14ac:dyDescent="0.2">
      <c r="A2" s="10" t="s">
        <v>86</v>
      </c>
      <c r="B2" s="69">
        <v>35808.82</v>
      </c>
      <c r="C2" s="70">
        <v>0.43715787190254973</v>
      </c>
      <c r="D2" s="70">
        <v>0.37625654376818263</v>
      </c>
      <c r="E2" s="71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28" sqref="E28"/>
    </sheetView>
  </sheetViews>
  <sheetFormatPr baseColWidth="10" defaultColWidth="14.5" defaultRowHeight="15" customHeight="1" x14ac:dyDescent="0.2"/>
  <cols>
    <col min="1" max="26" width="10.6640625" customWidth="1"/>
  </cols>
  <sheetData>
    <row r="1" spans="1:6" x14ac:dyDescent="0.2">
      <c r="A1" s="10">
        <v>0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</row>
    <row r="2" spans="1:6" x14ac:dyDescent="0.2">
      <c r="A2" s="10">
        <v>68993</v>
      </c>
      <c r="B2" s="10">
        <v>67346.029609999998</v>
      </c>
      <c r="C2" s="10">
        <v>53.526600000000002</v>
      </c>
      <c r="D2" s="10">
        <v>50.850270000000002</v>
      </c>
      <c r="E2" s="10">
        <v>48.852699999999999</v>
      </c>
      <c r="F2" s="10">
        <v>47.170172276000002</v>
      </c>
    </row>
    <row r="3" spans="1:6" x14ac:dyDescent="0.2">
      <c r="A3" s="10">
        <v>10719.6</v>
      </c>
      <c r="B3" s="10">
        <v>10663.005496</v>
      </c>
      <c r="C3" s="10">
        <v>55.290700000000001</v>
      </c>
      <c r="D3" s="10">
        <v>54.221502162999997</v>
      </c>
      <c r="E3" s="10">
        <v>50.318100000000001</v>
      </c>
      <c r="F3" s="10">
        <v>50.033678547999997</v>
      </c>
    </row>
    <row r="4" spans="1:6" x14ac:dyDescent="0.2">
      <c r="A4" s="10">
        <v>22667.151999999998</v>
      </c>
      <c r="B4" s="10">
        <v>23735.816956999999</v>
      </c>
      <c r="C4" s="10">
        <v>60.588999999999999</v>
      </c>
      <c r="D4" s="10">
        <v>60.740306087</v>
      </c>
      <c r="E4" s="10">
        <v>59.221200000000003</v>
      </c>
      <c r="F4" s="10">
        <v>59.605544543999997</v>
      </c>
    </row>
    <row r="5" spans="1:6" x14ac:dyDescent="0.2">
      <c r="A5" s="10">
        <v>2867</v>
      </c>
      <c r="B5" s="10">
        <v>2856.5269567999999</v>
      </c>
      <c r="C5" s="10">
        <v>60.588999999999999</v>
      </c>
      <c r="D5" s="10">
        <v>60.916893233000003</v>
      </c>
      <c r="E5" s="10">
        <v>59.221200000000003</v>
      </c>
      <c r="F5" s="10">
        <v>59.276765961999999</v>
      </c>
    </row>
    <row r="6" spans="1:6" x14ac:dyDescent="0.2">
      <c r="A6" s="10">
        <v>0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">
      <c r="A7" s="10">
        <v>20879.29</v>
      </c>
      <c r="B7" s="10">
        <v>20879.29</v>
      </c>
      <c r="C7" s="10">
        <v>58.49</v>
      </c>
      <c r="D7" s="10">
        <v>60.716147348</v>
      </c>
      <c r="E7" s="10">
        <v>59.221200000000003</v>
      </c>
      <c r="F7" s="10">
        <v>59.650525031000001</v>
      </c>
    </row>
    <row r="8" spans="1:6" x14ac:dyDescent="0.2">
      <c r="A8" s="10">
        <v>18314.103999999999</v>
      </c>
      <c r="B8" s="10">
        <v>16482.693599999999</v>
      </c>
      <c r="C8" s="10">
        <v>60.215600000000002</v>
      </c>
      <c r="D8" s="10">
        <v>60.817756000000003</v>
      </c>
      <c r="E8" s="10">
        <v>58.622500000000002</v>
      </c>
      <c r="F8" s="10">
        <v>58.912350328000002</v>
      </c>
    </row>
    <row r="9" spans="1:6" x14ac:dyDescent="0.2">
      <c r="A9" s="10">
        <v>212</v>
      </c>
      <c r="B9" s="10">
        <v>252.02359999999999</v>
      </c>
      <c r="C9" s="10">
        <v>60.06</v>
      </c>
      <c r="D9" s="10">
        <v>60.071884740999998</v>
      </c>
      <c r="E9" s="10">
        <v>58.622500000000002</v>
      </c>
      <c r="F9" s="10">
        <v>58.630078286</v>
      </c>
    </row>
    <row r="10" spans="1:6" x14ac:dyDescent="0.2">
      <c r="A10" s="10">
        <v>0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">
      <c r="A11" s="10">
        <v>16230.67</v>
      </c>
      <c r="B11" s="10">
        <v>16230.67</v>
      </c>
      <c r="C11" s="10">
        <v>60.06</v>
      </c>
      <c r="D11" s="10">
        <v>60.829337602000003</v>
      </c>
      <c r="E11" s="10">
        <v>58.622500000000002</v>
      </c>
      <c r="F11" s="10">
        <v>58.91673334</v>
      </c>
    </row>
    <row r="12" spans="1:6" x14ac:dyDescent="0.2">
      <c r="A12" s="10">
        <v>13136</v>
      </c>
      <c r="B12" s="10">
        <v>4229.7245661999996</v>
      </c>
      <c r="C12" s="10">
        <v>35.781399999999998</v>
      </c>
      <c r="D12" s="10">
        <v>35.880705339999999</v>
      </c>
      <c r="E12" s="10">
        <v>32.185099999999998</v>
      </c>
      <c r="F12" s="10">
        <v>32.209955213000001</v>
      </c>
    </row>
    <row r="13" spans="1:6" x14ac:dyDescent="0.2">
      <c r="A13" s="10">
        <v>-478</v>
      </c>
      <c r="B13" s="10">
        <v>-466.27543380999998</v>
      </c>
      <c r="C13" s="10">
        <v>35.781399999999998</v>
      </c>
      <c r="D13" s="10">
        <v>35.772303399000002</v>
      </c>
      <c r="E13" s="10">
        <v>32.185099999999998</v>
      </c>
      <c r="F13" s="10">
        <v>32.186202414999997</v>
      </c>
    </row>
    <row r="14" spans="1:6" x14ac:dyDescent="0.2">
      <c r="A14" s="10">
        <v>4696</v>
      </c>
      <c r="B14" s="10">
        <v>4696</v>
      </c>
      <c r="C14" s="10">
        <v>35.781399999999998</v>
      </c>
      <c r="D14" s="10">
        <v>35.86994189</v>
      </c>
      <c r="E14" s="10">
        <v>32.185099999999998</v>
      </c>
      <c r="F14" s="10">
        <v>32.207596748999997</v>
      </c>
    </row>
    <row r="15" spans="1:6" x14ac:dyDescent="0.2">
      <c r="A15" s="10">
        <v>25816</v>
      </c>
      <c r="B15" s="10">
        <v>33560.799982999997</v>
      </c>
      <c r="C15" s="10">
        <v>41.16</v>
      </c>
      <c r="D15" s="10">
        <v>41.917988581000003</v>
      </c>
      <c r="E15" s="10">
        <v>32.185099999999998</v>
      </c>
      <c r="F15" s="10">
        <v>35.40361</v>
      </c>
    </row>
    <row r="16" spans="1:6" x14ac:dyDescent="0.2">
      <c r="A16" s="10">
        <v>528</v>
      </c>
      <c r="B16" s="10">
        <v>6684.3299832000002</v>
      </c>
      <c r="C16" s="10">
        <v>41.16</v>
      </c>
      <c r="D16" s="10">
        <v>41.382753760999996</v>
      </c>
      <c r="E16" s="10">
        <v>37.6</v>
      </c>
      <c r="F16" s="10">
        <v>34.131463597</v>
      </c>
    </row>
    <row r="17" spans="1:6" x14ac:dyDescent="0.2">
      <c r="A17" s="10">
        <v>26876.47</v>
      </c>
      <c r="B17" s="10">
        <v>26876.47</v>
      </c>
      <c r="C17" s="10">
        <v>41.16</v>
      </c>
      <c r="D17" s="10">
        <v>42.051104504999998</v>
      </c>
      <c r="E17" s="10">
        <v>37.6</v>
      </c>
      <c r="F17" s="10">
        <v>35.72</v>
      </c>
    </row>
    <row r="18" spans="1:6" x14ac:dyDescent="0.2">
      <c r="A18" s="72">
        <v>26924</v>
      </c>
      <c r="B18" s="72">
        <v>23698.763164</v>
      </c>
      <c r="C18" s="72">
        <v>44.1342</v>
      </c>
      <c r="D18" s="72">
        <v>44.090977576</v>
      </c>
      <c r="E18" s="72">
        <v>40.327100000000002</v>
      </c>
      <c r="F18" s="72">
        <v>41.424761902</v>
      </c>
    </row>
    <row r="19" spans="1:6" x14ac:dyDescent="0.2">
      <c r="A19" s="72">
        <v>9033</v>
      </c>
      <c r="B19" s="72">
        <v>8581.35</v>
      </c>
      <c r="C19" s="72">
        <v>42.468600000000002</v>
      </c>
      <c r="D19" s="72">
        <v>42.453286771000002</v>
      </c>
      <c r="E19" s="72">
        <v>37.383099999999999</v>
      </c>
      <c r="F19" s="72">
        <v>37.724650703000002</v>
      </c>
    </row>
    <row r="20" spans="1:6" x14ac:dyDescent="0.2">
      <c r="A20" s="72">
        <v>19699.46</v>
      </c>
      <c r="B20" s="72">
        <v>19715.459997000002</v>
      </c>
      <c r="C20" s="72">
        <v>46.24</v>
      </c>
      <c r="D20" s="72">
        <v>46.260921893999999</v>
      </c>
      <c r="E20" s="72">
        <v>43.38</v>
      </c>
      <c r="F20" s="72">
        <v>42.946199999999997</v>
      </c>
    </row>
    <row r="21" spans="1:6" ht="15.75" customHeight="1" x14ac:dyDescent="0.2">
      <c r="A21" s="72">
        <v>-80</v>
      </c>
      <c r="B21" s="72">
        <v>-64.000003277000005</v>
      </c>
      <c r="C21" s="72">
        <v>46.24</v>
      </c>
      <c r="D21" s="72">
        <v>46.239677018000002</v>
      </c>
      <c r="E21" s="72">
        <v>43.38</v>
      </c>
      <c r="F21" s="72">
        <v>43.381634067999997</v>
      </c>
    </row>
    <row r="22" spans="1:6" ht="15.75" customHeight="1" x14ac:dyDescent="0.2">
      <c r="A22" s="72">
        <v>19779.46</v>
      </c>
      <c r="B22" s="72">
        <v>19779.46</v>
      </c>
      <c r="C22" s="72">
        <v>46.24</v>
      </c>
      <c r="D22" s="72">
        <v>46.260853152999999</v>
      </c>
      <c r="E22" s="72">
        <v>43.38</v>
      </c>
      <c r="F22" s="72">
        <v>42.947608924999997</v>
      </c>
    </row>
    <row r="23" spans="1:6" ht="15.75" customHeight="1" x14ac:dyDescent="0.2">
      <c r="A23" s="72">
        <v>8922.43</v>
      </c>
      <c r="B23" s="72">
        <v>9135.83</v>
      </c>
      <c r="C23" s="72">
        <v>47.12</v>
      </c>
      <c r="D23" s="72">
        <v>47.128183460000002</v>
      </c>
      <c r="E23" s="72">
        <v>43.13</v>
      </c>
      <c r="F23" s="72">
        <v>42.921153846999999</v>
      </c>
    </row>
    <row r="24" spans="1:6" ht="15.75" customHeight="1" x14ac:dyDescent="0.2">
      <c r="A24" s="72">
        <v>1067</v>
      </c>
      <c r="B24" s="72">
        <v>1280.4000000000001</v>
      </c>
      <c r="C24" s="72">
        <v>47.12</v>
      </c>
      <c r="D24" s="72">
        <v>47.121286523999999</v>
      </c>
      <c r="E24" s="72">
        <v>43.13</v>
      </c>
      <c r="F24" s="72">
        <v>43.091433576999997</v>
      </c>
    </row>
    <row r="25" spans="1:6" ht="15.75" customHeight="1" x14ac:dyDescent="0.2">
      <c r="A25" s="72">
        <v>7855.43</v>
      </c>
      <c r="B25" s="72">
        <v>7855.43</v>
      </c>
      <c r="C25" s="72">
        <v>47.12</v>
      </c>
      <c r="D25" s="72">
        <v>47.129307629000003</v>
      </c>
      <c r="E25" s="72">
        <v>43.13</v>
      </c>
      <c r="F25" s="72">
        <v>42.893399011</v>
      </c>
    </row>
    <row r="26" spans="1:6" ht="15.75" customHeight="1" x14ac:dyDescent="0.2">
      <c r="A26" s="72">
        <v>7335.11</v>
      </c>
      <c r="B26" s="72">
        <v>3428.8231669000002</v>
      </c>
      <c r="C26" s="72">
        <v>19.6191</v>
      </c>
      <c r="D26" s="72">
        <v>19.422909000000001</v>
      </c>
      <c r="E26" s="72">
        <v>21.588100000000001</v>
      </c>
      <c r="F26" s="72">
        <v>19.429290000000002</v>
      </c>
    </row>
    <row r="27" spans="1:6" ht="15.75" customHeight="1" x14ac:dyDescent="0.2">
      <c r="A27" s="72">
        <v>-3000</v>
      </c>
      <c r="B27" s="72">
        <v>-7697.1768331000003</v>
      </c>
      <c r="C27" s="72">
        <v>19.6191</v>
      </c>
      <c r="D27" s="72">
        <v>18.638145000000002</v>
      </c>
      <c r="E27" s="72">
        <v>14.010899999999999</v>
      </c>
      <c r="F27" s="72">
        <v>12.60981</v>
      </c>
    </row>
    <row r="28" spans="1:6" ht="15.75" customHeight="1" x14ac:dyDescent="0.2">
      <c r="A28" s="72">
        <v>11126</v>
      </c>
      <c r="B28" s="72">
        <v>11126</v>
      </c>
      <c r="C28" s="72">
        <v>19.6191</v>
      </c>
      <c r="D28" s="72">
        <v>18.879994450000002</v>
      </c>
      <c r="E28" s="72">
        <v>14.010899999999999</v>
      </c>
      <c r="F28" s="72">
        <v>14.711444999999999</v>
      </c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showGridLines="0" workbookViewId="0"/>
  </sheetViews>
  <sheetFormatPr baseColWidth="10" defaultColWidth="14.5" defaultRowHeight="15" customHeight="1" x14ac:dyDescent="0.2"/>
  <cols>
    <col min="1" max="1" width="17.1640625" customWidth="1"/>
    <col min="2" max="2" width="8.1640625" customWidth="1"/>
    <col min="3" max="3" width="35.33203125" customWidth="1"/>
    <col min="4" max="4" width="11" customWidth="1"/>
    <col min="5" max="5" width="12" customWidth="1"/>
    <col min="6" max="6" width="13.33203125" customWidth="1"/>
    <col min="7" max="7" width="19.6640625" customWidth="1"/>
    <col min="8" max="8" width="20.6640625" customWidth="1"/>
    <col min="9" max="9" width="14.83203125" customWidth="1"/>
    <col min="10" max="10" width="9.1640625" customWidth="1"/>
    <col min="11" max="11" width="30.6640625" customWidth="1"/>
    <col min="12" max="12" width="14.5" customWidth="1"/>
    <col min="13" max="13" width="20.83203125" customWidth="1"/>
    <col min="14" max="17" width="14.5" customWidth="1"/>
    <col min="18" max="26" width="11.5" customWidth="1"/>
  </cols>
  <sheetData>
    <row r="1" spans="1:14" x14ac:dyDescent="0.2">
      <c r="D1" s="37"/>
      <c r="F1" s="37"/>
    </row>
    <row r="2" spans="1:14" ht="15" customHeight="1" x14ac:dyDescent="0.2">
      <c r="C2" s="73" t="s">
        <v>106</v>
      </c>
      <c r="D2" s="37"/>
      <c r="F2" s="37"/>
      <c r="G2" s="74"/>
      <c r="H2" s="218" t="s">
        <v>107</v>
      </c>
      <c r="I2" s="219"/>
      <c r="J2" s="219"/>
      <c r="K2" s="219"/>
      <c r="L2" s="220"/>
    </row>
    <row r="3" spans="1:14" x14ac:dyDescent="0.2">
      <c r="A3" s="75" t="s">
        <v>108</v>
      </c>
      <c r="B3" s="76">
        <f>+D5+D6-D7-D8-D9-D10</f>
        <v>-220.6559999999954</v>
      </c>
      <c r="C3" s="77"/>
      <c r="D3" s="78" t="s">
        <v>53</v>
      </c>
      <c r="E3" s="79" t="s">
        <v>54</v>
      </c>
      <c r="F3" s="79" t="s">
        <v>109</v>
      </c>
      <c r="H3" s="221" t="s">
        <v>110</v>
      </c>
      <c r="I3" s="222"/>
      <c r="K3" s="221" t="s">
        <v>111</v>
      </c>
      <c r="L3" s="222"/>
    </row>
    <row r="4" spans="1:14" ht="22.5" customHeight="1" x14ac:dyDescent="0.2">
      <c r="B4" s="223" t="s">
        <v>112</v>
      </c>
      <c r="C4" s="80" t="s">
        <v>113</v>
      </c>
      <c r="D4" s="81">
        <v>0</v>
      </c>
      <c r="E4" s="82"/>
      <c r="F4" s="82"/>
      <c r="G4" s="37">
        <f t="shared" ref="G4:G11" si="0">+I4-L4</f>
        <v>-2867</v>
      </c>
      <c r="H4" s="83" t="s">
        <v>46</v>
      </c>
      <c r="I4" s="84">
        <v>0</v>
      </c>
      <c r="K4" s="85" t="s">
        <v>46</v>
      </c>
      <c r="L4" s="84">
        <f>356+518+1509+484</f>
        <v>2867</v>
      </c>
    </row>
    <row r="5" spans="1:14" x14ac:dyDescent="0.2">
      <c r="B5" s="224"/>
      <c r="C5" s="86" t="s">
        <v>114</v>
      </c>
      <c r="D5" s="87">
        <v>68993</v>
      </c>
      <c r="E5" s="88">
        <v>0.53526569941878199</v>
      </c>
      <c r="F5" s="88">
        <v>0.48852658240691099</v>
      </c>
      <c r="G5" s="37">
        <f t="shared" si="0"/>
        <v>-212</v>
      </c>
      <c r="H5" s="89" t="s">
        <v>47</v>
      </c>
      <c r="I5" s="90">
        <v>226</v>
      </c>
      <c r="K5" s="91" t="s">
        <v>47</v>
      </c>
      <c r="L5" s="90">
        <v>438</v>
      </c>
    </row>
    <row r="6" spans="1:14" x14ac:dyDescent="0.2">
      <c r="B6" s="224"/>
      <c r="C6" s="86" t="s">
        <v>115</v>
      </c>
      <c r="D6" s="87">
        <v>10719.6</v>
      </c>
      <c r="E6" s="88">
        <v>0.55290710660845599</v>
      </c>
      <c r="F6" s="88">
        <v>0.50318076980484305</v>
      </c>
      <c r="G6" s="37">
        <f t="shared" si="0"/>
        <v>478</v>
      </c>
      <c r="H6" s="89" t="s">
        <v>48</v>
      </c>
      <c r="I6" s="90">
        <f>1280+146+130</f>
        <v>1556</v>
      </c>
      <c r="K6" s="91" t="s">
        <v>48</v>
      </c>
      <c r="L6" s="90">
        <f>1028+50</f>
        <v>1078</v>
      </c>
      <c r="N6" s="37"/>
    </row>
    <row r="7" spans="1:14" x14ac:dyDescent="0.2">
      <c r="A7" s="27">
        <f t="shared" ref="A7:A10" si="1">+D7/$D$5*100</f>
        <v>32.854277970228871</v>
      </c>
      <c r="B7" s="224"/>
      <c r="C7" s="92" t="s">
        <v>116</v>
      </c>
      <c r="D7" s="93">
        <v>22667.152000000002</v>
      </c>
      <c r="E7" s="88">
        <v>0.60588953488372099</v>
      </c>
      <c r="F7" s="88">
        <v>0.59221159069767404</v>
      </c>
      <c r="G7" s="37">
        <f t="shared" si="0"/>
        <v>-528</v>
      </c>
      <c r="H7" s="89" t="s">
        <v>49</v>
      </c>
      <c r="I7" s="90">
        <f>84+114+184</f>
        <v>382</v>
      </c>
      <c r="K7" s="91" t="s">
        <v>49</v>
      </c>
      <c r="L7" s="90">
        <f>288+622</f>
        <v>910</v>
      </c>
    </row>
    <row r="8" spans="1:14" x14ac:dyDescent="0.2">
      <c r="A8" s="27">
        <f t="shared" si="1"/>
        <v>26.544872668241702</v>
      </c>
      <c r="B8" s="224"/>
      <c r="C8" s="92" t="s">
        <v>117</v>
      </c>
      <c r="D8" s="93">
        <v>18314.103999999999</v>
      </c>
      <c r="E8" s="88">
        <v>0.602155555555556</v>
      </c>
      <c r="F8" s="88">
        <v>0.58622512000000004</v>
      </c>
      <c r="G8" s="37">
        <f t="shared" si="0"/>
        <v>80</v>
      </c>
      <c r="H8" s="94" t="s">
        <v>118</v>
      </c>
      <c r="I8" s="95">
        <v>250</v>
      </c>
      <c r="K8" s="96" t="s">
        <v>118</v>
      </c>
      <c r="L8" s="95">
        <v>170</v>
      </c>
      <c r="M8" s="37"/>
    </row>
    <row r="9" spans="1:14" x14ac:dyDescent="0.2">
      <c r="A9" s="27">
        <f t="shared" si="1"/>
        <v>19.039612714333337</v>
      </c>
      <c r="B9" s="224"/>
      <c r="C9" s="92" t="s">
        <v>119</v>
      </c>
      <c r="D9" s="87">
        <f>21136-8000</f>
        <v>13136</v>
      </c>
      <c r="E9" s="88">
        <v>0.35781395348837203</v>
      </c>
      <c r="F9" s="88">
        <v>0.321851323255814</v>
      </c>
      <c r="G9" s="37">
        <f t="shared" si="0"/>
        <v>-1067</v>
      </c>
      <c r="H9" s="94" t="s">
        <v>70</v>
      </c>
      <c r="I9" s="95">
        <v>0</v>
      </c>
      <c r="K9" s="96" t="s">
        <v>70</v>
      </c>
      <c r="L9" s="95">
        <f>847+220</f>
        <v>1067</v>
      </c>
      <c r="M9" s="37"/>
    </row>
    <row r="10" spans="1:14" x14ac:dyDescent="0.2">
      <c r="A10" s="27">
        <f t="shared" si="1"/>
        <v>37.418288811908454</v>
      </c>
      <c r="B10" s="224"/>
      <c r="C10" s="92" t="s">
        <v>120</v>
      </c>
      <c r="D10" s="87">
        <f>17816+8000</f>
        <v>25816</v>
      </c>
      <c r="E10" s="88">
        <v>0.54431333333333298</v>
      </c>
      <c r="F10" s="88">
        <v>0.522271713333333</v>
      </c>
      <c r="G10" s="37">
        <f t="shared" si="0"/>
        <v>-176</v>
      </c>
      <c r="H10" s="94" t="s">
        <v>45</v>
      </c>
      <c r="I10" s="95">
        <v>0</v>
      </c>
      <c r="K10" s="96" t="s">
        <v>45</v>
      </c>
      <c r="L10" s="95">
        <v>176</v>
      </c>
      <c r="M10" s="37"/>
    </row>
    <row r="11" spans="1:14" x14ac:dyDescent="0.2">
      <c r="B11" s="224"/>
      <c r="C11" s="97" t="s">
        <v>17</v>
      </c>
      <c r="D11" s="87"/>
      <c r="E11" s="88"/>
      <c r="F11" s="98"/>
      <c r="G11" s="37">
        <f t="shared" si="0"/>
        <v>-1162</v>
      </c>
      <c r="H11" s="99" t="s">
        <v>121</v>
      </c>
      <c r="I11" s="100">
        <f>1971+1106</f>
        <v>3077</v>
      </c>
      <c r="K11" s="99" t="s">
        <v>121</v>
      </c>
      <c r="L11" s="100">
        <v>4239</v>
      </c>
    </row>
    <row r="12" spans="1:14" x14ac:dyDescent="0.2">
      <c r="B12" s="224"/>
      <c r="C12" s="97" t="s">
        <v>18</v>
      </c>
      <c r="D12" s="101">
        <v>20879.289999999997</v>
      </c>
      <c r="E12" s="102">
        <v>0.58489999999999998</v>
      </c>
      <c r="F12" s="102">
        <f>+F7</f>
        <v>0.59221159069767404</v>
      </c>
      <c r="G12" s="37"/>
      <c r="H12" s="103" t="s">
        <v>122</v>
      </c>
      <c r="I12" s="104"/>
    </row>
    <row r="13" spans="1:14" x14ac:dyDescent="0.2">
      <c r="B13" s="224"/>
      <c r="C13" s="97" t="s">
        <v>21</v>
      </c>
      <c r="D13" s="87"/>
      <c r="E13" s="102"/>
      <c r="F13" s="102"/>
      <c r="G13" s="37"/>
      <c r="H13" s="37"/>
      <c r="I13" s="37"/>
      <c r="K13" s="225" t="s">
        <v>123</v>
      </c>
      <c r="L13" s="192"/>
    </row>
    <row r="14" spans="1:14" x14ac:dyDescent="0.2">
      <c r="B14" s="224"/>
      <c r="C14" s="97" t="s">
        <v>22</v>
      </c>
      <c r="D14" s="101">
        <v>16230.67</v>
      </c>
      <c r="E14" s="102">
        <v>0.60060000000000002</v>
      </c>
      <c r="F14" s="102">
        <f>+F8</f>
        <v>0.58622512000000004</v>
      </c>
      <c r="G14" s="17">
        <f>+E7-F7</f>
        <v>1.3677944186046953E-2</v>
      </c>
      <c r="H14" s="37"/>
      <c r="K14" s="105" t="s">
        <v>124</v>
      </c>
      <c r="L14" s="87">
        <v>4207</v>
      </c>
    </row>
    <row r="15" spans="1:14" x14ac:dyDescent="0.2">
      <c r="B15" s="224"/>
      <c r="C15" s="97" t="s">
        <v>25</v>
      </c>
      <c r="D15" s="106">
        <v>4696</v>
      </c>
      <c r="E15" s="107">
        <f t="shared" ref="E15:F15" si="2">+E9</f>
        <v>0.35781395348837203</v>
      </c>
      <c r="F15" s="107">
        <f t="shared" si="2"/>
        <v>0.321851323255814</v>
      </c>
      <c r="H15" s="37"/>
      <c r="I15" s="37"/>
      <c r="K15" s="105" t="s">
        <v>125</v>
      </c>
      <c r="L15" s="108">
        <v>2</v>
      </c>
    </row>
    <row r="16" spans="1:14" x14ac:dyDescent="0.2">
      <c r="B16" s="224"/>
      <c r="C16" s="97" t="s">
        <v>28</v>
      </c>
      <c r="D16" s="87">
        <v>26876.47</v>
      </c>
      <c r="E16" s="88">
        <v>0.41160000000000002</v>
      </c>
      <c r="F16" s="88">
        <v>0.376</v>
      </c>
      <c r="H16" s="226"/>
      <c r="I16" s="195"/>
      <c r="K16" s="105" t="s">
        <v>126</v>
      </c>
      <c r="L16" s="87">
        <f>+L14*L15</f>
        <v>8414</v>
      </c>
    </row>
    <row r="17" spans="1:18" x14ac:dyDescent="0.2">
      <c r="A17" s="75" t="s">
        <v>108</v>
      </c>
      <c r="B17" s="109"/>
      <c r="C17" s="110" t="s">
        <v>127</v>
      </c>
      <c r="D17" s="111"/>
      <c r="E17" s="112"/>
      <c r="F17" s="112"/>
      <c r="H17" s="113"/>
      <c r="I17" s="37"/>
      <c r="K17" s="105" t="s">
        <v>128</v>
      </c>
      <c r="L17" s="87">
        <f>+'Bal AL FeT'!J39+'Bal ML FeT'!J30</f>
        <v>15822</v>
      </c>
    </row>
    <row r="18" spans="1:18" ht="14.25" customHeight="1" x14ac:dyDescent="0.2">
      <c r="A18" s="76">
        <f>+D18+D19-D21-D22-D23</f>
        <v>379.99999999999636</v>
      </c>
      <c r="B18" s="215" t="s">
        <v>129</v>
      </c>
      <c r="C18" s="114" t="s">
        <v>130</v>
      </c>
      <c r="D18" s="115">
        <v>26924</v>
      </c>
      <c r="E18" s="116">
        <v>0.441342081414351</v>
      </c>
      <c r="F18" s="116">
        <v>0.40327125984251999</v>
      </c>
      <c r="H18" s="113"/>
      <c r="I18" s="53"/>
      <c r="K18" s="105" t="s">
        <v>131</v>
      </c>
      <c r="L18" s="87">
        <f>+L17-L16</f>
        <v>7408</v>
      </c>
    </row>
    <row r="19" spans="1:18" x14ac:dyDescent="0.2">
      <c r="B19" s="216"/>
      <c r="C19" s="117" t="s">
        <v>132</v>
      </c>
      <c r="D19" s="115">
        <v>9033</v>
      </c>
      <c r="E19" s="116">
        <v>0.42468630576774002</v>
      </c>
      <c r="F19" s="116">
        <v>0.37383114137052997</v>
      </c>
      <c r="H19" s="113"/>
      <c r="I19" s="37"/>
      <c r="K19" s="105" t="s">
        <v>133</v>
      </c>
      <c r="L19" s="87">
        <v>4689</v>
      </c>
      <c r="P19" s="37"/>
    </row>
    <row r="20" spans="1:18" x14ac:dyDescent="0.2">
      <c r="B20" s="216"/>
      <c r="C20" s="117" t="s">
        <v>134</v>
      </c>
      <c r="D20" s="115"/>
      <c r="E20" s="116"/>
      <c r="F20" s="116"/>
      <c r="H20" s="37"/>
      <c r="K20" s="105" t="s">
        <v>135</v>
      </c>
      <c r="L20" s="87">
        <f>+L18-L19</f>
        <v>2719</v>
      </c>
    </row>
    <row r="21" spans="1:18" ht="15.75" customHeight="1" x14ac:dyDescent="0.2">
      <c r="B21" s="216"/>
      <c r="C21" s="118" t="s">
        <v>31</v>
      </c>
      <c r="D21" s="115">
        <v>18014.457000000002</v>
      </c>
      <c r="E21" s="116">
        <v>0.45257727272727299</v>
      </c>
      <c r="F21" s="116">
        <v>0.42270753181818199</v>
      </c>
      <c r="H21" s="37"/>
      <c r="L21" s="37"/>
    </row>
    <row r="22" spans="1:18" ht="15.75" customHeight="1" x14ac:dyDescent="0.2">
      <c r="B22" s="216"/>
      <c r="C22" s="118" t="s">
        <v>34</v>
      </c>
      <c r="D22" s="115">
        <v>7710.3249999999998</v>
      </c>
      <c r="E22" s="116">
        <v>0.44857999999999998</v>
      </c>
      <c r="F22" s="116">
        <v>0.41259171</v>
      </c>
      <c r="H22" s="37"/>
    </row>
    <row r="23" spans="1:18" ht="15.75" customHeight="1" x14ac:dyDescent="0.2">
      <c r="B23" s="216"/>
      <c r="C23" s="118" t="s">
        <v>37</v>
      </c>
      <c r="D23" s="115">
        <v>9852.2180000000008</v>
      </c>
      <c r="E23" s="116">
        <v>0.196191304347826</v>
      </c>
      <c r="F23" s="116">
        <v>0.14010876521739099</v>
      </c>
      <c r="H23" s="37"/>
      <c r="L23" s="37"/>
    </row>
    <row r="24" spans="1:18" ht="15.75" customHeight="1" x14ac:dyDescent="0.2">
      <c r="B24" s="216"/>
      <c r="C24" s="119" t="s">
        <v>136</v>
      </c>
      <c r="D24" s="87">
        <v>19779.46</v>
      </c>
      <c r="E24" s="116">
        <v>0.46239999999999998</v>
      </c>
      <c r="F24" s="116">
        <v>0.43380000000000002</v>
      </c>
      <c r="H24" s="37"/>
    </row>
    <row r="25" spans="1:18" ht="15.75" customHeight="1" x14ac:dyDescent="0.2">
      <c r="B25" s="216"/>
      <c r="C25" s="119" t="s">
        <v>137</v>
      </c>
      <c r="D25" s="87">
        <v>7855.43</v>
      </c>
      <c r="E25" s="88">
        <v>0.47120000000000001</v>
      </c>
      <c r="F25" s="88">
        <v>0.43130000000000002</v>
      </c>
      <c r="H25" s="37"/>
      <c r="K25" s="27" t="s">
        <v>138</v>
      </c>
    </row>
    <row r="26" spans="1:18" ht="15.75" customHeight="1" x14ac:dyDescent="0.2">
      <c r="B26" s="216"/>
      <c r="C26" s="119" t="s">
        <v>39</v>
      </c>
      <c r="D26" s="106">
        <v>11126</v>
      </c>
      <c r="E26" s="120">
        <f t="shared" ref="E26:F26" si="3">+E23</f>
        <v>0.196191304347826</v>
      </c>
      <c r="F26" s="120">
        <f t="shared" si="3"/>
        <v>0.14010876521739099</v>
      </c>
      <c r="H26" s="37"/>
    </row>
    <row r="27" spans="1:18" ht="15.75" customHeight="1" x14ac:dyDescent="0.2">
      <c r="B27" s="217"/>
      <c r="C27" s="121" t="s">
        <v>139</v>
      </c>
      <c r="D27" s="122">
        <v>35808.82</v>
      </c>
      <c r="E27" s="123">
        <f t="shared" ref="E27:F27" si="4">+E18</f>
        <v>0.441342081414351</v>
      </c>
      <c r="F27" s="123">
        <f t="shared" si="4"/>
        <v>0.40327125984251999</v>
      </c>
      <c r="H27" s="37"/>
      <c r="L27" s="37"/>
    </row>
    <row r="28" spans="1:18" ht="29.25" customHeight="1" x14ac:dyDescent="0.2">
      <c r="C28" s="110"/>
      <c r="M28" s="124"/>
      <c r="N28" s="125"/>
      <c r="O28" s="125"/>
      <c r="P28" s="125"/>
      <c r="Q28" s="125"/>
      <c r="R28" s="125"/>
    </row>
    <row r="29" spans="1:18" ht="15.75" customHeight="1" x14ac:dyDescent="0.2">
      <c r="D29" s="37"/>
      <c r="M29" s="71"/>
      <c r="N29" s="69"/>
      <c r="O29" s="69"/>
      <c r="P29" s="69"/>
      <c r="Q29" s="69"/>
      <c r="R29" s="69"/>
    </row>
    <row r="30" spans="1:18" ht="15.75" customHeight="1" x14ac:dyDescent="0.2">
      <c r="D30" s="37"/>
      <c r="L30" s="37"/>
      <c r="M30" s="71"/>
      <c r="N30" s="69"/>
      <c r="O30" s="69"/>
      <c r="P30" s="69"/>
      <c r="Q30" s="69"/>
      <c r="R30" s="69"/>
    </row>
    <row r="31" spans="1:18" ht="15.75" customHeight="1" x14ac:dyDescent="0.2">
      <c r="D31" s="37"/>
      <c r="M31" s="71"/>
      <c r="N31" s="69"/>
      <c r="O31" s="69"/>
      <c r="P31" s="69"/>
      <c r="Q31" s="69"/>
      <c r="R31" s="69"/>
    </row>
    <row r="32" spans="1:18" ht="15.75" customHeight="1" x14ac:dyDescent="0.2">
      <c r="C32" s="126"/>
      <c r="D32" s="127" t="s">
        <v>44</v>
      </c>
      <c r="E32" s="127" t="s">
        <v>95</v>
      </c>
      <c r="F32" s="127" t="s">
        <v>43</v>
      </c>
      <c r="H32" s="128"/>
      <c r="I32" s="128"/>
      <c r="M32" s="71"/>
      <c r="N32" s="69"/>
      <c r="O32" s="69"/>
      <c r="P32" s="69"/>
      <c r="Q32" s="69"/>
      <c r="R32" s="69"/>
    </row>
    <row r="33" spans="3:18" ht="15.75" customHeight="1" x14ac:dyDescent="0.2">
      <c r="C33" s="129" t="s">
        <v>140</v>
      </c>
      <c r="D33" s="130">
        <v>394.25</v>
      </c>
      <c r="E33" s="130"/>
      <c r="F33" s="130">
        <v>277.25</v>
      </c>
      <c r="H33" s="128"/>
      <c r="I33" s="128"/>
      <c r="M33" s="71"/>
      <c r="N33" s="69"/>
      <c r="O33" s="69"/>
      <c r="P33" s="69"/>
      <c r="Q33" s="69"/>
      <c r="R33" s="69"/>
    </row>
    <row r="34" spans="3:18" ht="15.75" customHeight="1" x14ac:dyDescent="0.2">
      <c r="C34" s="126"/>
      <c r="D34" s="127" t="s">
        <v>44</v>
      </c>
      <c r="E34" s="127" t="s">
        <v>49</v>
      </c>
      <c r="F34" s="127" t="s">
        <v>43</v>
      </c>
      <c r="H34" s="128"/>
      <c r="I34" s="128"/>
      <c r="M34" s="71"/>
      <c r="N34" s="69"/>
      <c r="O34" s="69"/>
      <c r="P34" s="69"/>
      <c r="Q34" s="69"/>
      <c r="R34" s="69"/>
    </row>
    <row r="35" spans="3:18" ht="15.75" customHeight="1" x14ac:dyDescent="0.2">
      <c r="C35" s="129" t="s">
        <v>141</v>
      </c>
      <c r="D35" s="130"/>
      <c r="E35" s="130"/>
      <c r="F35" s="130"/>
      <c r="H35" s="18"/>
      <c r="I35" s="18"/>
      <c r="M35" s="131"/>
      <c r="N35" s="132"/>
      <c r="O35" s="132"/>
      <c r="P35" s="132"/>
      <c r="Q35" s="132"/>
      <c r="R35" s="132"/>
    </row>
    <row r="36" spans="3:18" ht="15.75" customHeight="1" x14ac:dyDescent="0.2">
      <c r="C36" s="126"/>
      <c r="D36" s="127" t="s">
        <v>49</v>
      </c>
      <c r="E36" s="127" t="s">
        <v>95</v>
      </c>
      <c r="F36" s="127"/>
      <c r="H36" s="37"/>
      <c r="O36" s="37"/>
    </row>
    <row r="37" spans="3:18" ht="15.75" customHeight="1" x14ac:dyDescent="0.2">
      <c r="C37" s="129" t="s">
        <v>142</v>
      </c>
      <c r="D37" s="130"/>
      <c r="E37" s="130">
        <v>663.3</v>
      </c>
      <c r="F37" s="130"/>
      <c r="O37" s="37"/>
    </row>
    <row r="38" spans="3:18" ht="15.75" customHeight="1" x14ac:dyDescent="0.2">
      <c r="C38" s="126"/>
      <c r="D38" s="127" t="s">
        <v>49</v>
      </c>
      <c r="E38" s="127" t="s">
        <v>95</v>
      </c>
      <c r="F38" s="127"/>
    </row>
    <row r="39" spans="3:18" ht="15.75" customHeight="1" x14ac:dyDescent="0.2">
      <c r="C39" s="129" t="s">
        <v>143</v>
      </c>
      <c r="D39" s="130"/>
      <c r="E39" s="130"/>
      <c r="F39" s="130"/>
    </row>
    <row r="40" spans="3:18" ht="15.75" customHeight="1" x14ac:dyDescent="0.2">
      <c r="L40" s="124" t="s">
        <v>144</v>
      </c>
      <c r="M40" s="124" t="s">
        <v>89</v>
      </c>
      <c r="N40" s="125" t="s">
        <v>145</v>
      </c>
      <c r="O40" s="125" t="s">
        <v>146</v>
      </c>
    </row>
    <row r="41" spans="3:18" ht="15.75" customHeight="1" x14ac:dyDescent="0.2">
      <c r="L41" s="71"/>
      <c r="M41" s="71" t="s">
        <v>48</v>
      </c>
      <c r="N41" s="69"/>
      <c r="O41" s="69"/>
    </row>
    <row r="42" spans="3:18" ht="15.75" customHeight="1" x14ac:dyDescent="0.2">
      <c r="C42" s="133"/>
      <c r="D42" s="134"/>
      <c r="E42" s="133"/>
      <c r="L42" s="71"/>
      <c r="M42" s="71" t="s">
        <v>49</v>
      </c>
      <c r="N42" s="69"/>
      <c r="O42" s="69"/>
    </row>
    <row r="43" spans="3:18" ht="15.75" customHeight="1" x14ac:dyDescent="0.2">
      <c r="C43" s="133"/>
      <c r="D43" s="134"/>
      <c r="E43" s="133"/>
      <c r="L43" s="71"/>
      <c r="M43" s="71" t="s">
        <v>43</v>
      </c>
      <c r="N43" s="69"/>
      <c r="O43" s="69"/>
    </row>
    <row r="44" spans="3:18" ht="15.75" customHeight="1" x14ac:dyDescent="0.2">
      <c r="C44" s="133"/>
      <c r="D44" s="134"/>
      <c r="E44" s="133"/>
      <c r="L44" s="71">
        <v>10000880</v>
      </c>
      <c r="M44" s="71" t="s">
        <v>121</v>
      </c>
      <c r="N44" s="69">
        <v>1.18</v>
      </c>
      <c r="O44" s="69">
        <v>0</v>
      </c>
    </row>
    <row r="45" spans="3:18" ht="15.75" customHeight="1" x14ac:dyDescent="0.2">
      <c r="C45" s="133"/>
      <c r="D45" s="134"/>
      <c r="E45" s="133"/>
      <c r="L45" s="71">
        <v>10000744</v>
      </c>
      <c r="M45" s="71" t="s">
        <v>47</v>
      </c>
      <c r="N45" s="69">
        <v>222.03</v>
      </c>
      <c r="O45" s="69">
        <v>0</v>
      </c>
    </row>
    <row r="46" spans="3:18" ht="15.75" customHeight="1" x14ac:dyDescent="0.2">
      <c r="C46" s="133"/>
      <c r="D46" s="134"/>
      <c r="E46" s="133"/>
      <c r="L46" s="71">
        <v>10000743</v>
      </c>
      <c r="M46" s="71" t="s">
        <v>46</v>
      </c>
      <c r="N46" s="69">
        <v>4.3999999999999997E-2</v>
      </c>
      <c r="O46" s="69">
        <v>0</v>
      </c>
      <c r="P46" s="37"/>
    </row>
    <row r="47" spans="3:18" ht="15.75" customHeight="1" x14ac:dyDescent="0.2">
      <c r="L47" s="131">
        <v>10000742</v>
      </c>
      <c r="M47" s="131" t="s">
        <v>147</v>
      </c>
      <c r="N47" s="132">
        <v>1982.18</v>
      </c>
      <c r="O47" s="132">
        <v>0</v>
      </c>
    </row>
    <row r="48" spans="3:18" ht="15.75" customHeight="1" x14ac:dyDescent="0.2">
      <c r="N48" s="37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B18:B27"/>
    <mergeCell ref="H2:L2"/>
    <mergeCell ref="H3:I3"/>
    <mergeCell ref="K3:L3"/>
    <mergeCell ref="B4:B16"/>
    <mergeCell ref="K13:L13"/>
    <mergeCell ref="H16:I16"/>
  </mergeCells>
  <pageMargins left="0.7" right="0.7" top="0.75" bottom="0.75" header="0" footer="0"/>
  <pageSetup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J1000"/>
  <sheetViews>
    <sheetView workbookViewId="0"/>
  </sheetViews>
  <sheetFormatPr baseColWidth="10" defaultColWidth="14.5" defaultRowHeight="15" customHeight="1" x14ac:dyDescent="0.2"/>
  <cols>
    <col min="1" max="2" width="11.5" customWidth="1"/>
    <col min="3" max="3" width="16.83203125" customWidth="1"/>
    <col min="4" max="26" width="11.5" customWidth="1"/>
  </cols>
  <sheetData>
    <row r="3" spans="3:10" ht="32" x14ac:dyDescent="0.2">
      <c r="D3" s="27" t="s">
        <v>148</v>
      </c>
      <c r="E3" s="27" t="s">
        <v>149</v>
      </c>
      <c r="F3" s="27" t="s">
        <v>150</v>
      </c>
      <c r="G3" s="27" t="s">
        <v>151</v>
      </c>
      <c r="J3" s="135" t="s">
        <v>152</v>
      </c>
    </row>
    <row r="4" spans="3:10" x14ac:dyDescent="0.2">
      <c r="C4" s="27" t="s">
        <v>153</v>
      </c>
      <c r="D4" s="37">
        <f>+'Info Planta'!I4</f>
        <v>0</v>
      </c>
      <c r="E4" s="37">
        <f>+'Info Planta'!L4</f>
        <v>2867</v>
      </c>
      <c r="F4" s="37">
        <f t="shared" ref="F4:F12" si="0">+E4-D4</f>
        <v>2867</v>
      </c>
      <c r="G4" s="136">
        <f t="shared" ref="G4:G12" si="1">+IF(F4=0,0,IF(F4&lt;0,1,-1))</f>
        <v>-1</v>
      </c>
      <c r="H4" s="137" t="str">
        <f t="shared" ref="H4:H12" si="2">+IF(G4=1,"consume",IF(G4=0,"mantiene","aumenta"))</f>
        <v>aumenta</v>
      </c>
      <c r="I4" s="37">
        <f>+'Diag Bal AL FeT'!O41</f>
        <v>2856.5269567999999</v>
      </c>
      <c r="J4" s="37">
        <f t="shared" ref="J4:J7" si="3">+D4+I4</f>
        <v>2856.5269567999999</v>
      </c>
    </row>
    <row r="5" spans="3:10" x14ac:dyDescent="0.2">
      <c r="C5" s="27" t="s">
        <v>154</v>
      </c>
      <c r="D5" s="37">
        <f>+'Info Planta'!I5</f>
        <v>226</v>
      </c>
      <c r="E5" s="37">
        <f>+'Info Planta'!L5</f>
        <v>438</v>
      </c>
      <c r="F5" s="37">
        <f t="shared" si="0"/>
        <v>212</v>
      </c>
      <c r="G5" s="136">
        <f t="shared" si="1"/>
        <v>-1</v>
      </c>
      <c r="H5" s="137" t="str">
        <f t="shared" si="2"/>
        <v>aumenta</v>
      </c>
      <c r="I5" s="37">
        <f>+'Diag Bal AL FeT'!O42</f>
        <v>252.02359999999999</v>
      </c>
      <c r="J5" s="37">
        <f t="shared" si="3"/>
        <v>478.02359999999999</v>
      </c>
    </row>
    <row r="6" spans="3:10" x14ac:dyDescent="0.2">
      <c r="C6" s="27" t="s">
        <v>155</v>
      </c>
      <c r="D6" s="37">
        <f>+'Info Planta'!I6</f>
        <v>1556</v>
      </c>
      <c r="E6" s="37">
        <f>+'Info Planta'!L6</f>
        <v>1078</v>
      </c>
      <c r="F6" s="37">
        <f t="shared" si="0"/>
        <v>-478</v>
      </c>
      <c r="G6" s="136">
        <f t="shared" si="1"/>
        <v>1</v>
      </c>
      <c r="H6" s="137" t="str">
        <f t="shared" si="2"/>
        <v>consume</v>
      </c>
      <c r="I6" s="37">
        <f>+'Diag Bal AL FeT'!O43</f>
        <v>-466.27543380999998</v>
      </c>
      <c r="J6" s="37">
        <f t="shared" si="3"/>
        <v>1089.7245661900001</v>
      </c>
    </row>
    <row r="7" spans="3:10" x14ac:dyDescent="0.2">
      <c r="C7" s="27" t="s">
        <v>156</v>
      </c>
      <c r="D7" s="37">
        <f>+'Info Planta'!I7</f>
        <v>382</v>
      </c>
      <c r="E7" s="37">
        <f>+'Info Planta'!L7</f>
        <v>910</v>
      </c>
      <c r="F7" s="37">
        <f t="shared" si="0"/>
        <v>528</v>
      </c>
      <c r="G7" s="136">
        <f t="shared" si="1"/>
        <v>-1</v>
      </c>
      <c r="H7" s="137" t="str">
        <f t="shared" si="2"/>
        <v>aumenta</v>
      </c>
      <c r="I7" s="37">
        <f>+'Diag Bal AL FeT'!O44</f>
        <v>6684.3299832000002</v>
      </c>
      <c r="J7" s="37">
        <f t="shared" si="3"/>
        <v>7066.3299832000002</v>
      </c>
    </row>
    <row r="8" spans="3:10" x14ac:dyDescent="0.2">
      <c r="C8" s="138" t="s">
        <v>157</v>
      </c>
      <c r="D8" s="37">
        <f>+'Info Planta'!I8</f>
        <v>250</v>
      </c>
      <c r="E8" s="37">
        <f>+'Info Planta'!L8</f>
        <v>170</v>
      </c>
      <c r="F8" s="37">
        <f t="shared" si="0"/>
        <v>-80</v>
      </c>
      <c r="G8" s="136">
        <f t="shared" si="1"/>
        <v>1</v>
      </c>
      <c r="H8" s="137" t="str">
        <f t="shared" si="2"/>
        <v>consume</v>
      </c>
      <c r="I8" s="37"/>
    </row>
    <row r="9" spans="3:10" x14ac:dyDescent="0.2">
      <c r="C9" s="138" t="s">
        <v>158</v>
      </c>
      <c r="D9" s="37">
        <f>+'Info Planta'!I9</f>
        <v>0</v>
      </c>
      <c r="E9" s="37">
        <f>+'Info Planta'!L9</f>
        <v>1067</v>
      </c>
      <c r="F9" s="37">
        <f t="shared" si="0"/>
        <v>1067</v>
      </c>
      <c r="G9" s="136">
        <f t="shared" si="1"/>
        <v>-1</v>
      </c>
      <c r="H9" s="137" t="str">
        <f t="shared" si="2"/>
        <v>aumenta</v>
      </c>
      <c r="I9" s="37"/>
    </row>
    <row r="10" spans="3:10" x14ac:dyDescent="0.2">
      <c r="C10" s="138" t="s">
        <v>159</v>
      </c>
      <c r="D10" s="37">
        <f>+'Info Planta'!I10</f>
        <v>0</v>
      </c>
      <c r="E10" s="37">
        <f>+'Info Planta'!L10</f>
        <v>176</v>
      </c>
      <c r="F10" s="37">
        <f t="shared" si="0"/>
        <v>176</v>
      </c>
      <c r="G10" s="136">
        <f t="shared" si="1"/>
        <v>-1</v>
      </c>
      <c r="H10" s="137" t="str">
        <f t="shared" si="2"/>
        <v>aumenta</v>
      </c>
      <c r="I10" s="37"/>
    </row>
    <row r="11" spans="3:10" x14ac:dyDescent="0.2">
      <c r="C11" s="138" t="s">
        <v>160</v>
      </c>
      <c r="D11" s="37">
        <f>+'Info Planta'!I11</f>
        <v>3077</v>
      </c>
      <c r="E11" s="37">
        <f>+'Info Planta'!L11</f>
        <v>4239</v>
      </c>
      <c r="F11" s="37">
        <f t="shared" si="0"/>
        <v>1162</v>
      </c>
      <c r="G11" s="136">
        <f t="shared" si="1"/>
        <v>-1</v>
      </c>
      <c r="H11" s="137" t="str">
        <f t="shared" si="2"/>
        <v>aumenta</v>
      </c>
      <c r="I11" s="37"/>
    </row>
    <row r="12" spans="3:10" x14ac:dyDescent="0.2">
      <c r="C12" s="138" t="s">
        <v>161</v>
      </c>
      <c r="E12" s="37">
        <f>+'Info Planta'!$L$16</f>
        <v>8414</v>
      </c>
      <c r="F12" s="37">
        <f t="shared" si="0"/>
        <v>8414</v>
      </c>
      <c r="G12" s="136">
        <f t="shared" si="1"/>
        <v>-1</v>
      </c>
      <c r="H12" s="137" t="str">
        <f t="shared" si="2"/>
        <v>aumenta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F1000"/>
  <sheetViews>
    <sheetView topLeftCell="A15" workbookViewId="0">
      <selection activeCell="L31" sqref="L31"/>
    </sheetView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6.5" customWidth="1"/>
    <col min="7" max="7" width="7.83203125" customWidth="1"/>
    <col min="8" max="8" width="12.33203125" customWidth="1"/>
    <col min="9" max="9" width="10" customWidth="1"/>
    <col min="10" max="11" width="11.83203125" customWidth="1"/>
    <col min="12" max="12" width="11.5" customWidth="1"/>
    <col min="13" max="13" width="16.5" customWidth="1"/>
    <col min="14" max="14" width="12" customWidth="1"/>
    <col min="15" max="20" width="11.5" customWidth="1"/>
    <col min="21" max="21" width="15" customWidth="1"/>
    <col min="22" max="32" width="11.5" customWidth="1"/>
  </cols>
  <sheetData>
    <row r="3" spans="1:32" x14ac:dyDescent="0.2">
      <c r="F3" s="139"/>
      <c r="G3" s="139"/>
      <c r="H3" s="139"/>
      <c r="I3" s="139"/>
      <c r="J3" s="139"/>
      <c r="K3" s="139"/>
      <c r="L3" s="139"/>
    </row>
    <row r="4" spans="1:32" x14ac:dyDescent="0.2">
      <c r="F4" s="139"/>
      <c r="G4" s="139"/>
      <c r="H4" s="139"/>
      <c r="I4" s="139"/>
      <c r="J4" s="139"/>
      <c r="K4" s="139"/>
      <c r="L4" s="139"/>
    </row>
    <row r="5" spans="1:32" x14ac:dyDescent="0.2">
      <c r="F5" s="139"/>
      <c r="G5" s="139"/>
      <c r="H5" s="139"/>
      <c r="I5" s="139"/>
      <c r="J5" s="139"/>
      <c r="K5" s="139"/>
      <c r="L5" s="139"/>
    </row>
    <row r="6" spans="1:32" x14ac:dyDescent="0.2">
      <c r="F6" s="139"/>
      <c r="G6" s="139"/>
      <c r="H6" s="139"/>
      <c r="I6" s="139"/>
      <c r="J6" s="139"/>
      <c r="K6" s="139"/>
      <c r="L6" s="139"/>
    </row>
    <row r="7" spans="1:32" x14ac:dyDescent="0.2">
      <c r="F7" s="139"/>
      <c r="G7" s="139"/>
      <c r="H7" s="139"/>
      <c r="I7" s="139"/>
      <c r="J7" s="139"/>
      <c r="K7" s="139"/>
      <c r="L7" s="139"/>
    </row>
    <row r="8" spans="1:32" x14ac:dyDescent="0.2">
      <c r="F8" s="139"/>
      <c r="G8" s="139"/>
      <c r="H8" s="139"/>
      <c r="I8" s="139"/>
      <c r="J8" s="139"/>
      <c r="K8" s="139"/>
      <c r="L8" s="139"/>
    </row>
    <row r="9" spans="1:32" x14ac:dyDescent="0.2">
      <c r="F9" s="139"/>
      <c r="G9" s="139"/>
      <c r="H9" s="139"/>
      <c r="I9" s="139"/>
      <c r="J9" s="139"/>
      <c r="K9" s="139"/>
      <c r="L9" s="139"/>
      <c r="AF9" s="37"/>
    </row>
    <row r="10" spans="1:32" x14ac:dyDescent="0.2">
      <c r="F10" s="139"/>
      <c r="G10" s="139"/>
      <c r="H10" s="139"/>
      <c r="I10" s="139"/>
      <c r="J10" s="139"/>
      <c r="K10" s="139"/>
      <c r="L10" s="139"/>
      <c r="AF10" s="37"/>
    </row>
    <row r="11" spans="1:32" x14ac:dyDescent="0.2">
      <c r="A11" s="27" t="s">
        <v>162</v>
      </c>
      <c r="B11" s="37">
        <f>+SUM(G26:G28)</f>
        <v>79712.600000000006</v>
      </c>
      <c r="C11" s="27">
        <f>+C21/(B11*B21)</f>
        <v>1.7137088323134189</v>
      </c>
      <c r="F11" s="139"/>
      <c r="G11" s="139"/>
      <c r="H11" s="139"/>
      <c r="I11" s="139"/>
      <c r="J11" s="139"/>
      <c r="K11" s="139"/>
      <c r="L11" s="139"/>
      <c r="AF11" s="37"/>
    </row>
    <row r="12" spans="1:32" x14ac:dyDescent="0.2">
      <c r="F12" s="139"/>
      <c r="G12" s="139"/>
      <c r="H12" s="139"/>
      <c r="I12" s="139"/>
      <c r="J12" s="139"/>
      <c r="K12" s="139"/>
      <c r="L12" s="139"/>
      <c r="AF12" s="37"/>
    </row>
    <row r="13" spans="1:32" x14ac:dyDescent="0.2">
      <c r="A13" s="37">
        <f t="shared" ref="A13:B13" si="0">+G29</f>
        <v>22667.151999999998</v>
      </c>
      <c r="B13" s="17">
        <f t="shared" si="0"/>
        <v>0.60589000000000004</v>
      </c>
      <c r="F13" s="139"/>
      <c r="G13" s="139"/>
      <c r="H13" s="139"/>
      <c r="I13" s="139"/>
      <c r="J13" s="139"/>
      <c r="K13" s="139"/>
      <c r="L13" s="139"/>
      <c r="AF13" s="37"/>
    </row>
    <row r="14" spans="1:32" x14ac:dyDescent="0.2">
      <c r="A14" s="37">
        <f t="shared" ref="A14:B14" si="1">+G33</f>
        <v>18314.103999999999</v>
      </c>
      <c r="B14" s="17">
        <f t="shared" si="1"/>
        <v>0.60215600000000002</v>
      </c>
      <c r="F14" s="139"/>
      <c r="G14" s="139"/>
      <c r="H14" s="139"/>
      <c r="I14" s="139"/>
      <c r="J14" s="139"/>
      <c r="K14" s="139"/>
      <c r="L14" s="139"/>
      <c r="AF14" s="37"/>
    </row>
    <row r="15" spans="1:32" x14ac:dyDescent="0.2">
      <c r="A15" s="37"/>
      <c r="B15" s="17"/>
      <c r="F15" s="139"/>
      <c r="G15" s="139"/>
      <c r="H15" s="139"/>
      <c r="I15" s="139"/>
      <c r="J15" s="139"/>
      <c r="K15" s="139"/>
      <c r="L15" s="139"/>
      <c r="AF15" s="37"/>
    </row>
    <row r="16" spans="1:32" x14ac:dyDescent="0.2">
      <c r="A16" s="27" t="s">
        <v>163</v>
      </c>
      <c r="F16" s="139"/>
      <c r="G16" s="139"/>
      <c r="H16" s="139"/>
      <c r="I16" s="139"/>
      <c r="J16" s="139"/>
      <c r="K16" s="139"/>
      <c r="L16" s="139"/>
      <c r="AF16" s="37"/>
    </row>
    <row r="17" spans="1:32" x14ac:dyDescent="0.2">
      <c r="A17" s="37">
        <f>+SUM(A13:A15)</f>
        <v>40981.255999999994</v>
      </c>
      <c r="B17" s="17">
        <v>0.5</v>
      </c>
      <c r="F17" s="139"/>
      <c r="G17" s="139"/>
      <c r="H17" s="139"/>
      <c r="I17" s="139"/>
      <c r="J17" s="139"/>
      <c r="K17" s="139"/>
      <c r="L17" s="139"/>
      <c r="AF17" s="37"/>
    </row>
    <row r="18" spans="1:32" x14ac:dyDescent="0.2">
      <c r="F18" s="139"/>
      <c r="G18" s="139"/>
      <c r="H18" s="139"/>
      <c r="I18" s="139"/>
      <c r="J18" s="139"/>
      <c r="K18" s="139"/>
      <c r="L18" s="139"/>
      <c r="AF18" s="37"/>
    </row>
    <row r="19" spans="1:32" x14ac:dyDescent="0.2">
      <c r="AF19" s="37"/>
    </row>
    <row r="20" spans="1:32" x14ac:dyDescent="0.2"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AF20" s="37"/>
    </row>
    <row r="21" spans="1:32" ht="15.75" customHeight="1" x14ac:dyDescent="0.2">
      <c r="B21" s="18">
        <v>0.3</v>
      </c>
      <c r="C21" s="37">
        <f>+A17</f>
        <v>40981.255999999994</v>
      </c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AF21" s="37"/>
    </row>
    <row r="22" spans="1:32" ht="15.75" customHeight="1" x14ac:dyDescent="0.2">
      <c r="B22" s="18"/>
      <c r="C22" s="37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AF22" s="37"/>
    </row>
    <row r="23" spans="1:32" ht="15.75" customHeight="1" x14ac:dyDescent="0.2">
      <c r="B23" s="18"/>
      <c r="C23" s="37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AF23" s="37"/>
    </row>
    <row r="24" spans="1:32" ht="15.75" customHeight="1" x14ac:dyDescent="0.25">
      <c r="G24" s="228" t="s">
        <v>164</v>
      </c>
      <c r="H24" s="192"/>
      <c r="J24" s="229" t="s">
        <v>165</v>
      </c>
      <c r="K24" s="191"/>
      <c r="L24" s="192"/>
      <c r="M24" s="139"/>
      <c r="N24" s="230"/>
      <c r="O24" s="195"/>
      <c r="P24" s="139"/>
      <c r="Q24" s="139"/>
      <c r="R24" s="140"/>
      <c r="S24" s="139"/>
      <c r="T24" s="139"/>
      <c r="U24" s="139"/>
      <c r="V24" s="139"/>
      <c r="W24" s="139"/>
      <c r="X24" s="139"/>
      <c r="Y24" s="139"/>
      <c r="AF24" s="37"/>
    </row>
    <row r="25" spans="1:32" ht="15.75" customHeight="1" x14ac:dyDescent="0.2">
      <c r="G25" s="141" t="s">
        <v>7</v>
      </c>
      <c r="H25" s="141" t="s">
        <v>54</v>
      </c>
      <c r="J25" s="142" t="s">
        <v>7</v>
      </c>
      <c r="K25" s="142" t="s">
        <v>54</v>
      </c>
      <c r="L25" s="142" t="s">
        <v>166</v>
      </c>
      <c r="M25" s="139"/>
      <c r="N25" s="20"/>
      <c r="O25" s="20"/>
      <c r="P25" s="143"/>
      <c r="Q25" s="144"/>
      <c r="R25" s="145"/>
      <c r="S25" s="144"/>
      <c r="T25" s="139"/>
      <c r="U25" s="139"/>
      <c r="V25" s="139"/>
      <c r="W25" s="139"/>
      <c r="X25" s="139"/>
      <c r="Y25" s="139"/>
      <c r="AF25" s="37"/>
    </row>
    <row r="26" spans="1:32" ht="15.75" customHeight="1" x14ac:dyDescent="0.2">
      <c r="E26" s="27">
        <f t="shared" ref="E26:E42" si="2">+E3</f>
        <v>0</v>
      </c>
      <c r="F26" s="27" t="s">
        <v>12</v>
      </c>
      <c r="G26" s="146">
        <f>Utilidad!A1</f>
        <v>0</v>
      </c>
      <c r="H26" s="147">
        <f>IF(Utilidad!C$18&gt;1,Utilidad!C1/100,Utilidad!C1)</f>
        <v>0</v>
      </c>
      <c r="I26" s="18"/>
      <c r="J26" s="146">
        <f>Utilidad!B1</f>
        <v>0</v>
      </c>
      <c r="K26" s="147">
        <f>IF(Utilidad!D$18&gt;1,Utilidad!D1/100,Utilidad!D1)</f>
        <v>0</v>
      </c>
      <c r="L26" s="87">
        <f t="shared" ref="L26:L42" si="3">+J26*K26</f>
        <v>0</v>
      </c>
      <c r="M26" s="139"/>
      <c r="N26" s="16"/>
      <c r="O26" s="17"/>
      <c r="P26" s="16"/>
      <c r="Q26" s="144"/>
      <c r="R26" s="148"/>
      <c r="S26" s="144"/>
      <c r="T26" s="139"/>
      <c r="U26" s="139"/>
      <c r="V26" s="139"/>
      <c r="W26" s="139"/>
      <c r="X26" s="139"/>
      <c r="Y26" s="139"/>
      <c r="AF26" s="37"/>
    </row>
    <row r="27" spans="1:32" ht="15.75" customHeight="1" x14ac:dyDescent="0.2">
      <c r="E27" s="27">
        <f t="shared" si="2"/>
        <v>0</v>
      </c>
      <c r="F27" s="27" t="s">
        <v>13</v>
      </c>
      <c r="G27" s="146">
        <f>Utilidad!A2</f>
        <v>68993</v>
      </c>
      <c r="H27" s="147">
        <f>IF(Utilidad!C$18&gt;1,Utilidad!C2/100,Utilidad!C2)</f>
        <v>0.53526600000000002</v>
      </c>
      <c r="I27" s="18"/>
      <c r="J27" s="146">
        <f>Utilidad!B2</f>
        <v>67346.029609999998</v>
      </c>
      <c r="K27" s="147">
        <f>IF(Utilidad!D$18&gt;1,Utilidad!D2/100,Utilidad!D2)</f>
        <v>0.50850269999999997</v>
      </c>
      <c r="L27" s="87">
        <f t="shared" si="3"/>
        <v>34245.637890964943</v>
      </c>
      <c r="M27" s="139"/>
      <c r="N27" s="16"/>
      <c r="O27" s="17"/>
      <c r="P27" s="16"/>
      <c r="Q27" s="144"/>
      <c r="R27" s="148"/>
      <c r="S27" s="144"/>
      <c r="T27" s="139"/>
      <c r="U27" s="139"/>
      <c r="V27" s="139"/>
      <c r="W27" s="139"/>
      <c r="X27" s="139"/>
      <c r="Y27" s="139"/>
    </row>
    <row r="28" spans="1:32" ht="15.75" customHeight="1" x14ac:dyDescent="0.2">
      <c r="E28" s="27">
        <f t="shared" si="2"/>
        <v>0</v>
      </c>
      <c r="F28" s="27" t="s">
        <v>14</v>
      </c>
      <c r="G28" s="146">
        <f>Utilidad!A3</f>
        <v>10719.6</v>
      </c>
      <c r="H28" s="147">
        <f>IF(Utilidad!C$18&gt;1,Utilidad!C3/100,Utilidad!C3)</f>
        <v>0.55290700000000004</v>
      </c>
      <c r="I28" s="18"/>
      <c r="J28" s="146">
        <f>Utilidad!B3</f>
        <v>10663.005496</v>
      </c>
      <c r="K28" s="147">
        <f>IF(Utilidad!D$18&gt;1,Utilidad!D3/100,Utilidad!D3)</f>
        <v>0.54221502163000002</v>
      </c>
      <c r="L28" s="87">
        <f t="shared" si="3"/>
        <v>5781.6417556544493</v>
      </c>
      <c r="M28" s="139"/>
      <c r="N28" s="16"/>
      <c r="O28" s="17"/>
      <c r="P28" s="16"/>
      <c r="Q28" s="144"/>
      <c r="R28" s="148"/>
      <c r="S28" s="144"/>
      <c r="T28" s="139"/>
      <c r="U28" s="139"/>
      <c r="V28" s="139"/>
      <c r="W28" s="139"/>
      <c r="X28" s="139"/>
      <c r="Y28" s="139"/>
    </row>
    <row r="29" spans="1:32" ht="15.75" customHeight="1" x14ac:dyDescent="0.2">
      <c r="E29" s="27">
        <f t="shared" si="2"/>
        <v>0</v>
      </c>
      <c r="F29" s="27" t="s">
        <v>15</v>
      </c>
      <c r="G29" s="146">
        <f>Utilidad!A4</f>
        <v>22667.151999999998</v>
      </c>
      <c r="H29" s="147">
        <f>IF(Utilidad!C$18&gt;1,Utilidad!C4/100,Utilidad!C4)</f>
        <v>0.60589000000000004</v>
      </c>
      <c r="J29" s="146">
        <f>Utilidad!B4</f>
        <v>23735.816956999999</v>
      </c>
      <c r="K29" s="147">
        <f>IF(Utilidad!D$18&gt;1,Utilidad!D4/100,Utilidad!D4)</f>
        <v>0.60740306086999996</v>
      </c>
      <c r="L29" s="87">
        <f t="shared" si="3"/>
        <v>14417.207871931847</v>
      </c>
      <c r="M29" s="139"/>
      <c r="N29" s="16"/>
      <c r="O29" s="17"/>
      <c r="P29" s="16"/>
      <c r="Q29" s="144"/>
      <c r="R29" s="148"/>
      <c r="S29" s="144"/>
      <c r="T29" s="139"/>
      <c r="U29" s="139"/>
      <c r="V29" s="139"/>
      <c r="W29" s="139"/>
      <c r="X29" s="37"/>
      <c r="Y29" s="37"/>
    </row>
    <row r="30" spans="1:32" ht="15.75" customHeight="1" x14ac:dyDescent="0.2">
      <c r="A30" s="37">
        <f>+'Calc Nodos'!F4</f>
        <v>2867</v>
      </c>
      <c r="B30" s="37"/>
      <c r="C30" s="37"/>
      <c r="D30" s="27">
        <f>+IF(A30&gt;0,1,IF(A30&lt;&gt;0,-1,0))</f>
        <v>1</v>
      </c>
      <c r="E30" s="27">
        <f t="shared" si="2"/>
        <v>0</v>
      </c>
      <c r="F30" s="105" t="s">
        <v>16</v>
      </c>
      <c r="G30" s="146">
        <f>Utilidad!A5</f>
        <v>2867</v>
      </c>
      <c r="H30" s="147">
        <f>IF(Utilidad!C$18&gt;1,Utilidad!C5/100,Utilidad!C5)</f>
        <v>0.60589000000000004</v>
      </c>
      <c r="I30" s="149"/>
      <c r="J30" s="146">
        <f>Utilidad!B5</f>
        <v>2856.5269567999999</v>
      </c>
      <c r="K30" s="147">
        <f>IF(Utilidad!D$18&gt;1,Utilidad!D5/100,Utilidad!D5)</f>
        <v>0.60916893233000002</v>
      </c>
      <c r="L30" s="87">
        <f t="shared" si="3"/>
        <v>1740.1074764457201</v>
      </c>
      <c r="M30" s="139"/>
      <c r="N30" s="16"/>
      <c r="O30" s="17"/>
      <c r="P30" s="16"/>
      <c r="Q30" s="144"/>
      <c r="R30" s="148"/>
      <c r="S30" s="144"/>
      <c r="T30" s="139"/>
      <c r="U30" s="139"/>
      <c r="V30" s="139"/>
      <c r="W30" s="139"/>
      <c r="X30" s="37"/>
      <c r="Y30" s="37"/>
    </row>
    <row r="31" spans="1:32" ht="15.75" customHeight="1" x14ac:dyDescent="0.2">
      <c r="E31" s="27">
        <f t="shared" si="2"/>
        <v>0</v>
      </c>
      <c r="F31" s="27" t="s">
        <v>17</v>
      </c>
      <c r="G31" s="146">
        <f>Utilidad!A6</f>
        <v>0</v>
      </c>
      <c r="H31" s="147">
        <f>IF(Utilidad!C$18&gt;1,Utilidad!C6/100,Utilidad!C6)</f>
        <v>0</v>
      </c>
      <c r="J31" s="146">
        <f>Utilidad!B6</f>
        <v>0</v>
      </c>
      <c r="K31" s="147">
        <f>IF(Utilidad!D$18&gt;1,Utilidad!D6/100,Utilidad!D6)</f>
        <v>0</v>
      </c>
      <c r="L31" s="87">
        <f t="shared" si="3"/>
        <v>0</v>
      </c>
      <c r="M31" s="139"/>
      <c r="N31" s="16"/>
      <c r="O31" s="17"/>
      <c r="P31" s="16"/>
      <c r="Q31" s="144"/>
      <c r="R31" s="148"/>
      <c r="S31" s="144"/>
      <c r="T31" s="139"/>
      <c r="U31" s="139"/>
      <c r="V31" s="139"/>
      <c r="W31" s="139"/>
      <c r="X31" s="37"/>
      <c r="Y31" s="37"/>
    </row>
    <row r="32" spans="1:32" ht="15.75" customHeight="1" x14ac:dyDescent="0.2">
      <c r="E32" s="27">
        <f t="shared" si="2"/>
        <v>0</v>
      </c>
      <c r="F32" s="27" t="s">
        <v>18</v>
      </c>
      <c r="G32" s="146">
        <f>Utilidad!A7</f>
        <v>20879.29</v>
      </c>
      <c r="H32" s="147">
        <f>IF(Utilidad!C$18&gt;1,Utilidad!C7/100,Utilidad!C7)</f>
        <v>0.58489999999999998</v>
      </c>
      <c r="J32" s="146">
        <f>Utilidad!B7</f>
        <v>20879.29</v>
      </c>
      <c r="K32" s="147">
        <f>IF(Utilidad!D$18&gt;1,Utilidad!D7/100,Utilidad!D7)</f>
        <v>0.60716147348000005</v>
      </c>
      <c r="L32" s="87">
        <f t="shared" si="3"/>
        <v>12677.100481616231</v>
      </c>
      <c r="M32" s="139"/>
      <c r="N32" s="16"/>
      <c r="O32" s="17"/>
      <c r="P32" s="16"/>
      <c r="Q32" s="144"/>
      <c r="R32" s="148"/>
      <c r="S32" s="144"/>
      <c r="T32" s="139"/>
      <c r="U32" s="139"/>
      <c r="V32" s="139"/>
      <c r="W32" s="139"/>
      <c r="X32" s="37"/>
      <c r="Y32" s="37"/>
    </row>
    <row r="33" spans="1:25" ht="15.75" customHeight="1" x14ac:dyDescent="0.2">
      <c r="E33" s="27">
        <f t="shared" si="2"/>
        <v>0</v>
      </c>
      <c r="F33" s="27" t="s">
        <v>19</v>
      </c>
      <c r="G33" s="146">
        <f>Utilidad!A8</f>
        <v>18314.103999999999</v>
      </c>
      <c r="H33" s="147">
        <f>IF(Utilidad!C$18&gt;1,Utilidad!C8/100,Utilidad!C8)</f>
        <v>0.60215600000000002</v>
      </c>
      <c r="J33" s="146">
        <f>Utilidad!B8</f>
        <v>16482.693599999999</v>
      </c>
      <c r="K33" s="147">
        <f>IF(Utilidad!D$18&gt;1,Utilidad!D8/100,Utilidad!D8)</f>
        <v>0.60817756000000001</v>
      </c>
      <c r="L33" s="87">
        <f t="shared" si="3"/>
        <v>10024.404375875616</v>
      </c>
      <c r="M33" s="139"/>
      <c r="N33" s="16"/>
      <c r="O33" s="17"/>
      <c r="P33" s="16"/>
      <c r="Q33" s="144"/>
      <c r="R33" s="148"/>
      <c r="S33" s="144"/>
      <c r="T33" s="139"/>
      <c r="U33" s="139"/>
      <c r="V33" s="139"/>
      <c r="W33" s="139"/>
      <c r="X33" s="139"/>
      <c r="Y33" s="139"/>
    </row>
    <row r="34" spans="1:25" ht="15.75" customHeight="1" x14ac:dyDescent="0.2">
      <c r="A34" s="37">
        <f>+'Calc Nodos'!F5</f>
        <v>212</v>
      </c>
      <c r="B34" s="37"/>
      <c r="C34" s="37"/>
      <c r="D34" s="27">
        <f>+IF(A34&gt;0,1,IF(A34&lt;&gt;0,-1,0))</f>
        <v>1</v>
      </c>
      <c r="E34" s="27">
        <f t="shared" si="2"/>
        <v>0</v>
      </c>
      <c r="F34" s="105" t="s">
        <v>20</v>
      </c>
      <c r="G34" s="146">
        <f>Utilidad!A9</f>
        <v>212</v>
      </c>
      <c r="H34" s="147">
        <f>IF(Utilidad!C$18&gt;1,Utilidad!C9/100,Utilidad!C9)</f>
        <v>0.60060000000000002</v>
      </c>
      <c r="I34" s="149"/>
      <c r="J34" s="146">
        <f>Utilidad!B9</f>
        <v>252.02359999999999</v>
      </c>
      <c r="K34" s="147">
        <f>IF(Utilidad!D$18&gt;1,Utilidad!D9/100,Utilidad!D9)</f>
        <v>0.60071884741000003</v>
      </c>
      <c r="L34" s="87">
        <f t="shared" si="3"/>
        <v>151.39532651211888</v>
      </c>
      <c r="M34" s="139"/>
      <c r="N34" s="16"/>
      <c r="O34" s="17"/>
      <c r="P34" s="16"/>
      <c r="Q34" s="144"/>
      <c r="R34" s="148"/>
      <c r="S34" s="144"/>
      <c r="T34" s="139"/>
      <c r="U34" s="139"/>
      <c r="V34" s="139"/>
      <c r="W34" s="139"/>
      <c r="X34" s="139"/>
      <c r="Y34" s="139"/>
    </row>
    <row r="35" spans="1:25" ht="15.75" customHeight="1" x14ac:dyDescent="0.2">
      <c r="E35" s="27">
        <f t="shared" si="2"/>
        <v>0</v>
      </c>
      <c r="F35" s="27" t="s">
        <v>21</v>
      </c>
      <c r="G35" s="146">
        <f>Utilidad!A10</f>
        <v>0</v>
      </c>
      <c r="H35" s="147">
        <f>IF(Utilidad!C$18&gt;1,Utilidad!C10/100,Utilidad!C10)</f>
        <v>0</v>
      </c>
      <c r="J35" s="146">
        <f>Utilidad!B10</f>
        <v>0</v>
      </c>
      <c r="K35" s="147">
        <f>IF(Utilidad!D$18&gt;1,Utilidad!D10/100,Utilidad!D10)</f>
        <v>0</v>
      </c>
      <c r="L35" s="87">
        <f t="shared" si="3"/>
        <v>0</v>
      </c>
      <c r="M35" s="139"/>
      <c r="N35" s="16"/>
      <c r="O35" s="17"/>
      <c r="P35" s="16"/>
      <c r="Q35" s="144"/>
      <c r="R35" s="148"/>
      <c r="S35" s="144"/>
      <c r="T35" s="139"/>
      <c r="U35" s="139"/>
      <c r="V35" s="139"/>
      <c r="W35" s="139"/>
      <c r="X35" s="139"/>
      <c r="Y35" s="139"/>
    </row>
    <row r="36" spans="1:25" ht="15.75" customHeight="1" x14ac:dyDescent="0.2">
      <c r="E36" s="27">
        <f t="shared" si="2"/>
        <v>0</v>
      </c>
      <c r="F36" s="27" t="s">
        <v>22</v>
      </c>
      <c r="G36" s="146">
        <f>Utilidad!A11</f>
        <v>16230.67</v>
      </c>
      <c r="H36" s="147">
        <f>IF(Utilidad!C$18&gt;1,Utilidad!C11/100,Utilidad!C11)</f>
        <v>0.60060000000000002</v>
      </c>
      <c r="J36" s="146">
        <f>Utilidad!B11</f>
        <v>16230.67</v>
      </c>
      <c r="K36" s="147">
        <f>IF(Utilidad!D$18&gt;1,Utilidad!D11/100,Utilidad!D11)</f>
        <v>0.60829337602</v>
      </c>
      <c r="L36" s="87">
        <f t="shared" si="3"/>
        <v>9873.0090493665339</v>
      </c>
      <c r="M36" s="139"/>
      <c r="N36" s="16"/>
      <c r="O36" s="17"/>
      <c r="P36" s="16"/>
      <c r="Q36" s="144"/>
      <c r="R36" s="148"/>
      <c r="S36" s="144"/>
      <c r="T36" s="139"/>
      <c r="U36" s="139"/>
      <c r="V36" s="139"/>
      <c r="W36" s="139"/>
      <c r="X36" s="139"/>
      <c r="Y36" s="139"/>
    </row>
    <row r="37" spans="1:25" ht="15.75" customHeight="1" x14ac:dyDescent="0.2">
      <c r="E37" s="27">
        <f t="shared" si="2"/>
        <v>0</v>
      </c>
      <c r="F37" s="27" t="s">
        <v>23</v>
      </c>
      <c r="G37" s="146">
        <f>Utilidad!A12</f>
        <v>13136</v>
      </c>
      <c r="H37" s="147">
        <f>IF(Utilidad!C$18&gt;1,Utilidad!C12/100,Utilidad!C12)</f>
        <v>0.35781399999999997</v>
      </c>
      <c r="J37" s="146">
        <f>Utilidad!B12</f>
        <v>4229.7245661999996</v>
      </c>
      <c r="K37" s="147">
        <f>IF(Utilidad!D$18&gt;1,Utilidad!D12/100,Utilidad!D12)</f>
        <v>0.35880705339999996</v>
      </c>
      <c r="L37" s="87">
        <f t="shared" si="3"/>
        <v>1517.655008291815</v>
      </c>
      <c r="M37" s="139"/>
      <c r="N37" s="16"/>
      <c r="O37" s="17"/>
      <c r="P37" s="16"/>
      <c r="Q37" s="144"/>
      <c r="R37" s="148"/>
      <c r="S37" s="144"/>
      <c r="T37" s="139"/>
      <c r="U37" s="139"/>
      <c r="V37" s="139"/>
      <c r="W37" s="139"/>
      <c r="X37" s="139"/>
      <c r="Y37" s="139"/>
    </row>
    <row r="38" spans="1:25" ht="15.75" customHeight="1" x14ac:dyDescent="0.2">
      <c r="A38" s="37">
        <f>+'Calc Nodos'!F6</f>
        <v>-478</v>
      </c>
      <c r="B38" s="37"/>
      <c r="C38" s="37"/>
      <c r="D38" s="27">
        <f>+IF(A38&gt;0,1,IF(A38&lt;&gt;0,-1,0))</f>
        <v>-1</v>
      </c>
      <c r="E38" s="27">
        <f t="shared" si="2"/>
        <v>0</v>
      </c>
      <c r="F38" s="105" t="s">
        <v>24</v>
      </c>
      <c r="G38" s="146">
        <f>Utilidad!A13</f>
        <v>-478</v>
      </c>
      <c r="H38" s="147">
        <f>IF(Utilidad!C$18&gt;1,Utilidad!C13/100,Utilidad!C13)</f>
        <v>0.35781399999999997</v>
      </c>
      <c r="I38" s="149"/>
      <c r="J38" s="146">
        <f>Utilidad!B13</f>
        <v>-466.27543380999998</v>
      </c>
      <c r="K38" s="147">
        <f>IF(Utilidad!D$18&gt;1,Utilidad!D13/100,Utilidad!D13)</f>
        <v>0.35772303398999999</v>
      </c>
      <c r="L38" s="87">
        <f t="shared" si="3"/>
        <v>-166.79746285751662</v>
      </c>
      <c r="M38" s="139"/>
      <c r="N38" s="16"/>
      <c r="O38" s="17"/>
      <c r="P38" s="16"/>
      <c r="Q38" s="144"/>
      <c r="R38" s="148"/>
      <c r="S38" s="144"/>
      <c r="T38" s="139"/>
      <c r="U38" s="139"/>
      <c r="V38" s="139"/>
      <c r="W38" s="139"/>
      <c r="X38" s="139"/>
      <c r="Y38" s="139"/>
    </row>
    <row r="39" spans="1:25" ht="15.75" customHeight="1" x14ac:dyDescent="0.2">
      <c r="E39" s="27">
        <f t="shared" si="2"/>
        <v>0</v>
      </c>
      <c r="F39" s="27" t="s">
        <v>25</v>
      </c>
      <c r="G39" s="146">
        <f>Utilidad!A14</f>
        <v>4696</v>
      </c>
      <c r="H39" s="147">
        <f>IF(Utilidad!C$18&gt;1,Utilidad!C14/100,Utilidad!C14)</f>
        <v>0.35781399999999997</v>
      </c>
      <c r="J39" s="146">
        <f>Utilidad!B14</f>
        <v>4696</v>
      </c>
      <c r="K39" s="147">
        <f>IF(Utilidad!D$18&gt;1,Utilidad!D14/100,Utilidad!D14)</f>
        <v>0.35869941890000001</v>
      </c>
      <c r="L39" s="87">
        <f t="shared" si="3"/>
        <v>1684.4524711544</v>
      </c>
      <c r="M39" s="139"/>
      <c r="N39" s="16"/>
      <c r="O39" s="17"/>
      <c r="P39" s="16"/>
      <c r="Q39" s="144"/>
      <c r="R39" s="148"/>
      <c r="S39" s="144"/>
      <c r="T39" s="139"/>
      <c r="U39" s="139"/>
      <c r="V39" s="139"/>
      <c r="W39" s="139"/>
      <c r="X39" s="139"/>
      <c r="Y39" s="139"/>
    </row>
    <row r="40" spans="1:25" ht="15.75" customHeight="1" x14ac:dyDescent="0.2">
      <c r="E40" s="27">
        <f t="shared" si="2"/>
        <v>0</v>
      </c>
      <c r="F40" s="27" t="s">
        <v>26</v>
      </c>
      <c r="G40" s="146">
        <f>Utilidad!A15</f>
        <v>25816</v>
      </c>
      <c r="H40" s="147">
        <f>IF(Utilidad!C$18&gt;1,Utilidad!C15/100,Utilidad!C15)</f>
        <v>0.41159999999999997</v>
      </c>
      <c r="J40" s="146">
        <f>Utilidad!B15</f>
        <v>33560.799982999997</v>
      </c>
      <c r="K40" s="147">
        <f>IF(Utilidad!D$18&gt;1,Utilidad!D15/100,Utilidad!D15)</f>
        <v>0.41917988581000004</v>
      </c>
      <c r="L40" s="87">
        <f t="shared" si="3"/>
        <v>14068.012304566189</v>
      </c>
      <c r="M40" s="37"/>
      <c r="N40" s="16"/>
      <c r="O40" s="17"/>
      <c r="P40" s="16"/>
      <c r="Q40" s="144"/>
      <c r="R40" s="148"/>
      <c r="S40" s="144"/>
      <c r="T40" s="139"/>
      <c r="U40" s="139"/>
      <c r="V40" s="139"/>
      <c r="W40" s="139"/>
      <c r="X40" s="139"/>
      <c r="Y40" s="139"/>
    </row>
    <row r="41" spans="1:25" ht="15.75" customHeight="1" x14ac:dyDescent="0.2">
      <c r="A41" s="37">
        <f>+'Calc Nodos'!F7</f>
        <v>528</v>
      </c>
      <c r="B41" s="37"/>
      <c r="C41" s="37"/>
      <c r="D41" s="27">
        <f>+IF(A41&gt;0,1,IF(A41&lt;&gt;0,-1,0))</f>
        <v>1</v>
      </c>
      <c r="E41" s="27">
        <f t="shared" si="2"/>
        <v>0</v>
      </c>
      <c r="F41" s="105" t="s">
        <v>27</v>
      </c>
      <c r="G41" s="146">
        <f>Utilidad!A16</f>
        <v>528</v>
      </c>
      <c r="H41" s="147">
        <f>IF(Utilidad!C$18&gt;1,Utilidad!C16/100,Utilidad!C16)</f>
        <v>0.41159999999999997</v>
      </c>
      <c r="I41" s="149"/>
      <c r="J41" s="146">
        <f>Utilidad!B16</f>
        <v>6684.3299832000002</v>
      </c>
      <c r="K41" s="147">
        <f>IF(Utilidad!D$18&gt;1,Utilidad!D16/100,Utilidad!D16)</f>
        <v>0.41382753760999996</v>
      </c>
      <c r="L41" s="87">
        <f t="shared" si="3"/>
        <v>2766.1598175203485</v>
      </c>
      <c r="M41" s="139"/>
      <c r="N41" s="16"/>
      <c r="O41" s="17"/>
      <c r="P41" s="16"/>
      <c r="Q41" s="144"/>
      <c r="R41" s="148"/>
      <c r="S41" s="144"/>
      <c r="T41" s="139"/>
      <c r="U41" s="139"/>
      <c r="V41" s="139"/>
      <c r="W41" s="139"/>
      <c r="X41" s="139"/>
      <c r="Y41" s="139"/>
    </row>
    <row r="42" spans="1:25" ht="15.75" customHeight="1" x14ac:dyDescent="0.2">
      <c r="E42" s="27">
        <f t="shared" si="2"/>
        <v>0</v>
      </c>
      <c r="F42" s="27" t="s">
        <v>28</v>
      </c>
      <c r="G42" s="146">
        <f>Utilidad!A17</f>
        <v>26876.47</v>
      </c>
      <c r="H42" s="147">
        <f>IF(Utilidad!C$18&gt;1,Utilidad!C17/100,Utilidad!C17)</f>
        <v>0.41159999999999997</v>
      </c>
      <c r="J42" s="146">
        <f>Utilidad!B17</f>
        <v>26876.47</v>
      </c>
      <c r="K42" s="147">
        <f>IF(Utilidad!D$18&gt;1,Utilidad!D17/100,Utilidad!D17)</f>
        <v>0.42051104504999998</v>
      </c>
      <c r="L42" s="87">
        <f t="shared" si="3"/>
        <v>11301.852486954973</v>
      </c>
      <c r="M42" s="139"/>
      <c r="N42" s="16"/>
      <c r="O42" s="17"/>
      <c r="P42" s="16"/>
      <c r="Q42" s="144"/>
      <c r="R42" s="148"/>
      <c r="S42" s="144"/>
      <c r="T42" s="139"/>
      <c r="U42" s="139"/>
      <c r="V42" s="139"/>
      <c r="W42" s="139"/>
      <c r="X42" s="139"/>
      <c r="Y42" s="139"/>
    </row>
    <row r="43" spans="1:25" ht="15.75" customHeight="1" x14ac:dyDescent="0.2"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</row>
    <row r="44" spans="1:25" ht="15.75" customHeight="1" x14ac:dyDescent="0.2">
      <c r="C44" s="139"/>
      <c r="D44" s="139"/>
      <c r="E44" s="139"/>
      <c r="F44" s="135"/>
      <c r="G44" s="227"/>
      <c r="H44" s="195"/>
      <c r="I44" s="139"/>
      <c r="J44" s="227"/>
      <c r="K44" s="195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</row>
    <row r="45" spans="1:25" ht="15.75" customHeight="1" x14ac:dyDescent="0.2">
      <c r="C45" s="139"/>
      <c r="D45" s="139"/>
      <c r="E45" s="139"/>
      <c r="F45" s="135"/>
      <c r="G45" s="20"/>
      <c r="H45" s="20"/>
      <c r="I45" s="139"/>
      <c r="J45" s="20"/>
      <c r="K45" s="20"/>
      <c r="L45" s="139"/>
      <c r="M45" s="20"/>
      <c r="N45" s="20"/>
      <c r="O45" s="20"/>
      <c r="P45" s="20"/>
      <c r="Q45" s="139"/>
      <c r="R45" s="139"/>
      <c r="S45" s="139"/>
      <c r="T45" s="139"/>
      <c r="U45" s="139"/>
      <c r="V45" s="139"/>
      <c r="W45" s="139"/>
      <c r="X45" s="139"/>
      <c r="Y45" s="139"/>
    </row>
    <row r="46" spans="1:25" ht="15.75" customHeight="1" x14ac:dyDescent="0.2">
      <c r="C46" s="139"/>
      <c r="D46" s="139"/>
      <c r="E46" s="139"/>
      <c r="F46" s="139"/>
      <c r="G46" s="139"/>
      <c r="H46" s="139"/>
      <c r="I46" s="139"/>
      <c r="J46" s="37"/>
      <c r="K46" s="18"/>
      <c r="L46" s="139"/>
      <c r="M46" s="20"/>
      <c r="N46" s="55"/>
      <c r="O46" s="148"/>
      <c r="P46" s="148"/>
      <c r="Q46" s="139"/>
      <c r="R46" s="139"/>
      <c r="S46" s="139"/>
      <c r="T46" s="139"/>
      <c r="U46" s="139"/>
      <c r="V46" s="139"/>
      <c r="W46" s="139"/>
      <c r="X46" s="139"/>
      <c r="Y46" s="139"/>
    </row>
    <row r="47" spans="1:25" ht="15.75" customHeight="1" x14ac:dyDescent="0.2">
      <c r="C47" s="139"/>
      <c r="D47" s="139"/>
      <c r="E47" s="139"/>
      <c r="F47" s="139"/>
      <c r="G47" s="139"/>
      <c r="H47" s="139"/>
      <c r="I47" s="139"/>
      <c r="J47" s="37"/>
      <c r="K47" s="18"/>
      <c r="L47" s="139"/>
      <c r="M47" s="20"/>
      <c r="N47" s="55"/>
      <c r="O47" s="148"/>
      <c r="P47" s="148"/>
      <c r="Q47" s="139"/>
      <c r="R47" s="139"/>
      <c r="S47" s="139"/>
      <c r="T47" s="139"/>
      <c r="U47" s="139"/>
      <c r="V47" s="139"/>
      <c r="W47" s="139"/>
      <c r="X47" s="139"/>
      <c r="Y47" s="139"/>
    </row>
    <row r="48" spans="1:25" ht="15.75" customHeight="1" x14ac:dyDescent="0.2">
      <c r="C48" s="139"/>
      <c r="D48" s="139"/>
      <c r="E48" s="139"/>
      <c r="F48" s="139"/>
      <c r="G48" s="139"/>
      <c r="H48" s="139"/>
      <c r="I48" s="139"/>
      <c r="J48" s="37"/>
      <c r="K48" s="18"/>
      <c r="L48" s="139"/>
      <c r="M48" s="139"/>
      <c r="N48" s="37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</row>
    <row r="49" spans="3:25" ht="15.75" customHeight="1" x14ac:dyDescent="0.2">
      <c r="C49" s="139"/>
      <c r="D49" s="139"/>
      <c r="E49" s="139"/>
      <c r="F49" s="139"/>
      <c r="G49" s="139"/>
      <c r="H49" s="139"/>
      <c r="I49" s="139"/>
      <c r="J49" s="37"/>
      <c r="K49" s="18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</row>
    <row r="50" spans="3:25" ht="15.75" customHeight="1" x14ac:dyDescent="0.2">
      <c r="C50" s="139"/>
      <c r="D50" s="139"/>
      <c r="E50" s="139"/>
      <c r="F50" s="139"/>
      <c r="G50" s="139"/>
      <c r="H50" s="139"/>
      <c r="I50" s="139"/>
      <c r="J50" s="37"/>
      <c r="K50" s="18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</row>
    <row r="51" spans="3:25" ht="15.75" customHeight="1" x14ac:dyDescent="0.2">
      <c r="C51" s="139"/>
      <c r="D51" s="139"/>
      <c r="E51" s="139"/>
      <c r="F51" s="139"/>
      <c r="G51" s="139"/>
      <c r="H51" s="139"/>
      <c r="I51" s="139"/>
      <c r="J51" s="37"/>
      <c r="K51" s="18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</row>
    <row r="52" spans="3:25" ht="15.75" customHeight="1" x14ac:dyDescent="0.2">
      <c r="C52" s="139"/>
      <c r="D52" s="139"/>
      <c r="E52" s="139"/>
      <c r="F52" s="139"/>
      <c r="G52" s="139"/>
      <c r="H52" s="139"/>
      <c r="I52" s="139"/>
      <c r="J52" s="37"/>
      <c r="K52" s="18"/>
      <c r="L52" s="139"/>
      <c r="M52" s="139"/>
    </row>
    <row r="53" spans="3:25" ht="15.75" customHeight="1" x14ac:dyDescent="0.2">
      <c r="C53" s="139"/>
      <c r="D53" s="139"/>
      <c r="E53" s="139"/>
      <c r="F53" s="139"/>
      <c r="G53" s="139"/>
      <c r="H53" s="139"/>
      <c r="I53" s="139"/>
      <c r="J53" s="37"/>
      <c r="K53" s="18"/>
      <c r="L53" s="139"/>
      <c r="M53" s="139"/>
    </row>
    <row r="54" spans="3:25" ht="15.75" customHeight="1" x14ac:dyDescent="0.2">
      <c r="C54" s="139"/>
      <c r="D54" s="139"/>
      <c r="E54" s="139"/>
      <c r="F54" s="139"/>
      <c r="G54" s="139"/>
      <c r="H54" s="139"/>
      <c r="I54" s="139"/>
      <c r="J54" s="37"/>
      <c r="K54" s="18"/>
      <c r="L54" s="139"/>
      <c r="M54" s="139"/>
    </row>
    <row r="55" spans="3:25" ht="15.75" customHeight="1" x14ac:dyDescent="0.2">
      <c r="C55" s="139"/>
      <c r="D55" s="139"/>
      <c r="E55" s="139"/>
      <c r="F55" s="139"/>
      <c r="G55" s="139"/>
      <c r="H55" s="139"/>
      <c r="I55" s="139"/>
      <c r="J55" s="37"/>
      <c r="K55" s="18"/>
      <c r="L55" s="139"/>
      <c r="M55" s="139"/>
    </row>
    <row r="56" spans="3:25" ht="15.75" customHeight="1" x14ac:dyDescent="0.2">
      <c r="C56" s="139"/>
      <c r="D56" s="139"/>
      <c r="E56" s="139"/>
      <c r="F56" s="139"/>
      <c r="G56" s="139"/>
      <c r="H56" s="139"/>
      <c r="I56" s="139"/>
      <c r="J56" s="37"/>
      <c r="K56" s="18"/>
      <c r="L56" s="139"/>
      <c r="M56" s="139"/>
    </row>
    <row r="57" spans="3:25" ht="15.75" customHeight="1" x14ac:dyDescent="0.2">
      <c r="C57" s="139"/>
      <c r="D57" s="139"/>
      <c r="E57" s="139"/>
      <c r="F57" s="139"/>
      <c r="G57" s="139"/>
      <c r="H57" s="139"/>
      <c r="I57" s="139"/>
      <c r="J57" s="37"/>
      <c r="K57" s="18"/>
      <c r="L57" s="139"/>
      <c r="M57" s="139"/>
    </row>
    <row r="58" spans="3:25" ht="15.75" customHeight="1" x14ac:dyDescent="0.2">
      <c r="C58" s="139"/>
      <c r="D58" s="139"/>
      <c r="E58" s="139"/>
      <c r="F58" s="139"/>
      <c r="G58" s="139"/>
      <c r="H58" s="139"/>
      <c r="I58" s="139"/>
      <c r="J58" s="37"/>
      <c r="K58" s="18"/>
      <c r="L58" s="139"/>
      <c r="M58" s="139"/>
    </row>
    <row r="59" spans="3:25" ht="15.75" customHeight="1" x14ac:dyDescent="0.2">
      <c r="C59" s="139"/>
      <c r="D59" s="139"/>
      <c r="E59" s="139"/>
      <c r="F59" s="139"/>
      <c r="G59" s="139"/>
      <c r="H59" s="139"/>
      <c r="I59" s="139"/>
      <c r="J59" s="37"/>
      <c r="K59" s="18"/>
      <c r="L59" s="139"/>
      <c r="M59" s="139"/>
    </row>
    <row r="60" spans="3:25" ht="15.75" customHeight="1" x14ac:dyDescent="0.2">
      <c r="C60" s="139"/>
      <c r="D60" s="139"/>
      <c r="E60" s="139"/>
      <c r="F60" s="139"/>
      <c r="G60" s="139"/>
      <c r="H60" s="139"/>
      <c r="I60" s="139"/>
      <c r="J60" s="37"/>
      <c r="K60" s="18"/>
      <c r="L60" s="139"/>
      <c r="M60" s="139"/>
    </row>
    <row r="61" spans="3:25" ht="15.75" customHeight="1" x14ac:dyDescent="0.2">
      <c r="C61" s="139"/>
      <c r="D61" s="139"/>
      <c r="E61" s="139"/>
      <c r="F61" s="139"/>
      <c r="G61" s="139"/>
      <c r="H61" s="139"/>
      <c r="I61" s="139"/>
      <c r="J61" s="37"/>
      <c r="K61" s="18"/>
      <c r="L61" s="139"/>
      <c r="M61" s="139"/>
    </row>
    <row r="62" spans="3:25" ht="15.75" customHeight="1" x14ac:dyDescent="0.2">
      <c r="C62" s="139"/>
      <c r="D62" s="139"/>
      <c r="E62" s="139"/>
      <c r="F62" s="139"/>
      <c r="G62" s="139"/>
      <c r="H62" s="139"/>
      <c r="I62" s="139"/>
      <c r="J62" s="37"/>
      <c r="K62" s="18"/>
      <c r="L62" s="139"/>
      <c r="M62" s="139"/>
    </row>
    <row r="63" spans="3:25" ht="15.75" customHeight="1" x14ac:dyDescent="0.2"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</row>
    <row r="64" spans="3:25" ht="15.75" customHeight="1" x14ac:dyDescent="0.2">
      <c r="C64" s="139"/>
      <c r="D64" s="139"/>
      <c r="E64" s="139"/>
      <c r="F64" s="135"/>
      <c r="G64" s="227"/>
      <c r="H64" s="195"/>
      <c r="I64" s="139"/>
      <c r="J64" s="139"/>
      <c r="K64" s="139"/>
      <c r="L64" s="139"/>
      <c r="M64" s="139"/>
    </row>
    <row r="65" spans="3:13" ht="15.75" customHeight="1" x14ac:dyDescent="0.2">
      <c r="C65" s="139"/>
      <c r="D65" s="139"/>
      <c r="E65" s="139"/>
      <c r="F65" s="135"/>
      <c r="G65" s="20"/>
      <c r="H65" s="20"/>
      <c r="I65" s="139"/>
      <c r="J65" s="139"/>
      <c r="K65" s="139"/>
      <c r="L65" s="139"/>
      <c r="M65" s="139"/>
    </row>
    <row r="66" spans="3:13" ht="15.75" customHeight="1" x14ac:dyDescent="0.2"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</row>
    <row r="67" spans="3:13" ht="15.75" customHeight="1" x14ac:dyDescent="0.2"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</row>
    <row r="68" spans="3:13" ht="15.75" customHeight="1" x14ac:dyDescent="0.2"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</row>
    <row r="69" spans="3:13" ht="15.75" customHeight="1" x14ac:dyDescent="0.2"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</row>
    <row r="70" spans="3:13" ht="15.75" customHeight="1" x14ac:dyDescent="0.2"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</row>
    <row r="71" spans="3:13" ht="15.75" customHeight="1" x14ac:dyDescent="0.2"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</row>
    <row r="72" spans="3:13" ht="15.75" customHeight="1" x14ac:dyDescent="0.2"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</row>
    <row r="73" spans="3:13" ht="15.75" customHeight="1" x14ac:dyDescent="0.2"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</row>
    <row r="74" spans="3:13" ht="15.75" customHeight="1" x14ac:dyDescent="0.2"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</row>
    <row r="75" spans="3:13" ht="15.75" customHeight="1" x14ac:dyDescent="0.2"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</row>
    <row r="76" spans="3:13" ht="15.75" customHeight="1" x14ac:dyDescent="0.2"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</row>
    <row r="77" spans="3:13" ht="15.75" customHeight="1" x14ac:dyDescent="0.2"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</row>
    <row r="78" spans="3:13" ht="15.75" customHeight="1" x14ac:dyDescent="0.2"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</row>
    <row r="79" spans="3:13" ht="15.75" customHeight="1" x14ac:dyDescent="0.2"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</row>
    <row r="80" spans="3:13" ht="15.75" customHeight="1" x14ac:dyDescent="0.2"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</row>
    <row r="81" spans="3:13" ht="15.75" customHeight="1" x14ac:dyDescent="0.2"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</row>
    <row r="82" spans="3:13" ht="15.75" customHeight="1" x14ac:dyDescent="0.2"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</row>
    <row r="83" spans="3:13" ht="15.75" customHeight="1" x14ac:dyDescent="0.2"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</row>
    <row r="84" spans="3:13" ht="15.75" customHeight="1" x14ac:dyDescent="0.2"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</row>
    <row r="85" spans="3:13" ht="15.75" customHeight="1" x14ac:dyDescent="0.2"/>
    <row r="86" spans="3:13" ht="15.75" customHeight="1" x14ac:dyDescent="0.2"/>
    <row r="87" spans="3:13" ht="15.75" customHeight="1" x14ac:dyDescent="0.2"/>
    <row r="88" spans="3:13" ht="15.75" customHeight="1" x14ac:dyDescent="0.2"/>
    <row r="89" spans="3:13" ht="15.75" customHeight="1" x14ac:dyDescent="0.2"/>
    <row r="90" spans="3:13" ht="15.75" customHeight="1" x14ac:dyDescent="0.2"/>
    <row r="91" spans="3:13" ht="15.75" customHeight="1" x14ac:dyDescent="0.2"/>
    <row r="92" spans="3:13" ht="15.75" customHeight="1" x14ac:dyDescent="0.2"/>
    <row r="93" spans="3:13" ht="15.75" customHeight="1" x14ac:dyDescent="0.2"/>
    <row r="94" spans="3:13" ht="15.75" customHeight="1" x14ac:dyDescent="0.2"/>
    <row r="95" spans="3:13" ht="15.75" customHeight="1" x14ac:dyDescent="0.2"/>
    <row r="96" spans="3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5" priority="1">
      <formula>ABS(N26)&gt;=10%</formula>
    </cfRule>
  </conditionalFormatting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G1000"/>
  <sheetViews>
    <sheetView topLeftCell="B19" workbookViewId="0">
      <selection activeCell="L31" sqref="L31"/>
    </sheetView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26.5" customWidth="1"/>
    <col min="7" max="7" width="7.83203125" customWidth="1"/>
    <col min="8" max="8" width="12.33203125" customWidth="1"/>
    <col min="9" max="9" width="10" customWidth="1"/>
    <col min="10" max="11" width="11.83203125" customWidth="1"/>
    <col min="12" max="20" width="11.5" customWidth="1"/>
    <col min="21" max="21" width="15" customWidth="1"/>
    <col min="22" max="33" width="11.5" customWidth="1"/>
  </cols>
  <sheetData>
    <row r="3" spans="1:33" x14ac:dyDescent="0.2">
      <c r="F3" s="139"/>
      <c r="G3" s="139"/>
      <c r="H3" s="139"/>
      <c r="I3" s="139"/>
      <c r="J3" s="139"/>
      <c r="K3" s="139"/>
      <c r="L3" s="139"/>
      <c r="M3" s="139"/>
    </row>
    <row r="4" spans="1:33" x14ac:dyDescent="0.2">
      <c r="F4" s="139"/>
      <c r="G4" s="139"/>
      <c r="H4" s="139"/>
      <c r="I4" s="139"/>
      <c r="J4" s="139"/>
      <c r="K4" s="139"/>
      <c r="L4" s="139"/>
      <c r="M4" s="139"/>
    </row>
    <row r="5" spans="1:33" x14ac:dyDescent="0.2">
      <c r="F5" s="139"/>
      <c r="G5" s="139"/>
      <c r="H5" s="139"/>
      <c r="I5" s="139"/>
      <c r="J5" s="139"/>
      <c r="K5" s="139"/>
      <c r="L5" s="139"/>
      <c r="M5" s="139"/>
    </row>
    <row r="6" spans="1:33" x14ac:dyDescent="0.2">
      <c r="F6" s="139"/>
      <c r="G6" s="139"/>
      <c r="H6" s="139"/>
      <c r="I6" s="139"/>
      <c r="J6" s="139"/>
      <c r="K6" s="139"/>
      <c r="L6" s="139"/>
      <c r="M6" s="139"/>
    </row>
    <row r="7" spans="1:33" x14ac:dyDescent="0.2">
      <c r="F7" s="139"/>
      <c r="G7" s="139"/>
      <c r="H7" s="139"/>
      <c r="I7" s="139"/>
      <c r="J7" s="139"/>
      <c r="K7" s="139"/>
      <c r="L7" s="139"/>
      <c r="M7" s="139"/>
    </row>
    <row r="8" spans="1:33" x14ac:dyDescent="0.2">
      <c r="F8" s="139"/>
      <c r="G8" s="139"/>
      <c r="H8" s="139"/>
      <c r="I8" s="139"/>
      <c r="J8" s="139"/>
      <c r="K8" s="139"/>
      <c r="L8" s="139"/>
      <c r="M8" s="139"/>
    </row>
    <row r="9" spans="1:33" x14ac:dyDescent="0.2">
      <c r="F9" s="139"/>
      <c r="G9" s="139"/>
      <c r="H9" s="139"/>
      <c r="I9" s="139"/>
      <c r="J9" s="139"/>
      <c r="K9" s="139"/>
      <c r="L9" s="139"/>
      <c r="M9" s="139"/>
      <c r="AF9" s="37"/>
      <c r="AG9" s="37"/>
    </row>
    <row r="10" spans="1:33" x14ac:dyDescent="0.2">
      <c r="F10" s="139"/>
      <c r="G10" s="139"/>
      <c r="H10" s="139"/>
      <c r="I10" s="139"/>
      <c r="J10" s="139"/>
      <c r="K10" s="139"/>
      <c r="L10" s="139"/>
      <c r="M10" s="139"/>
      <c r="AF10" s="37"/>
      <c r="AG10" s="37"/>
    </row>
    <row r="11" spans="1:33" x14ac:dyDescent="0.2">
      <c r="A11" s="27" t="s">
        <v>162</v>
      </c>
      <c r="B11" s="37">
        <f>+SUM(G26:G28)</f>
        <v>79712.600000000006</v>
      </c>
      <c r="C11" s="27">
        <f>+C21/(B11*B21)</f>
        <v>1.7137088323134189</v>
      </c>
      <c r="F11" s="139"/>
      <c r="G11" s="139"/>
      <c r="H11" s="139"/>
      <c r="I11" s="139"/>
      <c r="J11" s="139"/>
      <c r="K11" s="139"/>
      <c r="L11" s="139"/>
      <c r="M11" s="139"/>
      <c r="AF11" s="37"/>
      <c r="AG11" s="37"/>
    </row>
    <row r="12" spans="1:33" x14ac:dyDescent="0.2">
      <c r="F12" s="139"/>
      <c r="G12" s="139"/>
      <c r="H12" s="139"/>
      <c r="I12" s="139"/>
      <c r="J12" s="139"/>
      <c r="K12" s="139"/>
      <c r="L12" s="139"/>
      <c r="M12" s="139"/>
      <c r="AF12" s="37"/>
      <c r="AG12" s="37"/>
    </row>
    <row r="13" spans="1:33" x14ac:dyDescent="0.2">
      <c r="A13" s="37">
        <f t="shared" ref="A13:B13" si="0">+G29</f>
        <v>22667.151999999998</v>
      </c>
      <c r="B13" s="17">
        <f t="shared" si="0"/>
        <v>0.59221159069767404</v>
      </c>
      <c r="F13" s="139"/>
      <c r="G13" s="139"/>
      <c r="H13" s="139"/>
      <c r="I13" s="139"/>
      <c r="J13" s="139"/>
      <c r="K13" s="139"/>
      <c r="L13" s="139"/>
      <c r="M13" s="139"/>
      <c r="AF13" s="37"/>
      <c r="AG13" s="37"/>
    </row>
    <row r="14" spans="1:33" x14ac:dyDescent="0.2">
      <c r="A14" s="37">
        <f t="shared" ref="A14:B14" si="1">+G33</f>
        <v>18314.103999999999</v>
      </c>
      <c r="B14" s="17">
        <f t="shared" si="1"/>
        <v>0.58622512000000004</v>
      </c>
      <c r="F14" s="139"/>
      <c r="G14" s="139"/>
      <c r="H14" s="139"/>
      <c r="I14" s="139"/>
      <c r="J14" s="139"/>
      <c r="K14" s="139"/>
      <c r="L14" s="139"/>
      <c r="M14" s="139"/>
      <c r="AF14" s="37"/>
      <c r="AG14" s="37"/>
    </row>
    <row r="15" spans="1:33" x14ac:dyDescent="0.2">
      <c r="A15" s="37"/>
      <c r="B15" s="17"/>
      <c r="F15" s="139"/>
      <c r="G15" s="139"/>
      <c r="H15" s="139"/>
      <c r="I15" s="139"/>
      <c r="J15" s="139"/>
      <c r="K15" s="139"/>
      <c r="L15" s="139"/>
      <c r="M15" s="139"/>
      <c r="AF15" s="37"/>
      <c r="AG15" s="37"/>
    </row>
    <row r="16" spans="1:33" x14ac:dyDescent="0.2">
      <c r="A16" s="27" t="s">
        <v>163</v>
      </c>
      <c r="F16" s="139"/>
      <c r="G16" s="139"/>
      <c r="H16" s="139"/>
      <c r="I16" s="139"/>
      <c r="J16" s="139"/>
      <c r="K16" s="139"/>
      <c r="L16" s="139"/>
      <c r="M16" s="139"/>
      <c r="AF16" s="37"/>
      <c r="AG16" s="37"/>
    </row>
    <row r="17" spans="1:33" x14ac:dyDescent="0.2">
      <c r="A17" s="37">
        <f>+SUM(A13:A15)</f>
        <v>40981.255999999994</v>
      </c>
      <c r="B17" s="17">
        <v>0.5</v>
      </c>
      <c r="F17" s="139"/>
      <c r="G17" s="139"/>
      <c r="H17" s="139"/>
      <c r="I17" s="139"/>
      <c r="J17" s="139"/>
      <c r="K17" s="139"/>
      <c r="L17" s="139"/>
      <c r="M17" s="139"/>
      <c r="AF17" s="37"/>
      <c r="AG17" s="37"/>
    </row>
    <row r="18" spans="1:33" x14ac:dyDescent="0.2">
      <c r="F18" s="139"/>
      <c r="G18" s="139"/>
      <c r="H18" s="139"/>
      <c r="I18" s="139"/>
      <c r="J18" s="139"/>
      <c r="K18" s="139"/>
      <c r="L18" s="139"/>
      <c r="M18" s="139"/>
      <c r="AF18" s="37"/>
      <c r="AG18" s="37"/>
    </row>
    <row r="19" spans="1:33" x14ac:dyDescent="0.2">
      <c r="F19" s="139"/>
      <c r="G19" s="139"/>
      <c r="H19" s="139"/>
      <c r="I19" s="139"/>
      <c r="J19" s="139"/>
      <c r="K19" s="139"/>
      <c r="L19" s="139"/>
      <c r="M19" s="139"/>
      <c r="AF19" s="37"/>
      <c r="AG19" s="37"/>
    </row>
    <row r="20" spans="1:33" x14ac:dyDescent="0.2">
      <c r="F20" s="139"/>
      <c r="G20" s="139"/>
      <c r="H20" s="139"/>
      <c r="I20" s="139"/>
      <c r="J20" s="139"/>
      <c r="K20" s="139"/>
      <c r="L20" s="139"/>
      <c r="M20" s="139"/>
      <c r="AF20" s="37"/>
      <c r="AG20" s="37"/>
    </row>
    <row r="21" spans="1:33" ht="15.75" customHeight="1" x14ac:dyDescent="0.2">
      <c r="B21" s="18">
        <v>0.3</v>
      </c>
      <c r="C21" s="37">
        <f>+A17</f>
        <v>40981.255999999994</v>
      </c>
      <c r="AF21" s="37"/>
      <c r="AG21" s="37"/>
    </row>
    <row r="22" spans="1:33" ht="15.75" customHeight="1" x14ac:dyDescent="0.2">
      <c r="B22" s="18"/>
      <c r="C22" s="37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AF22" s="37"/>
      <c r="AG22" s="37"/>
    </row>
    <row r="23" spans="1:33" ht="15.75" customHeight="1" x14ac:dyDescent="0.2">
      <c r="B23" s="18"/>
      <c r="C23" s="37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AF23" s="37">
        <f t="shared" ref="AF23:AF25" si="2">+J40</f>
        <v>33560.799982999997</v>
      </c>
      <c r="AG23" s="37">
        <f t="shared" ref="AG23:AG25" si="3">+L40</f>
        <v>11881.734738861385</v>
      </c>
    </row>
    <row r="24" spans="1:33" ht="15.75" customHeight="1" x14ac:dyDescent="0.25">
      <c r="G24" s="228" t="s">
        <v>164</v>
      </c>
      <c r="H24" s="192"/>
      <c r="J24" s="231" t="s">
        <v>165</v>
      </c>
      <c r="K24" s="232"/>
      <c r="L24" s="233"/>
      <c r="N24" s="230"/>
      <c r="O24" s="195"/>
      <c r="P24" s="139"/>
      <c r="Q24" s="139"/>
      <c r="R24" s="140"/>
      <c r="S24" s="139"/>
      <c r="T24" s="139"/>
      <c r="U24" s="139"/>
      <c r="V24" s="139"/>
      <c r="W24" s="139"/>
      <c r="X24" s="139"/>
      <c r="AF24" s="37">
        <f t="shared" si="2"/>
        <v>6684.3299832000002</v>
      </c>
      <c r="AG24" s="37">
        <f t="shared" si="3"/>
        <v>2281.4596549192643</v>
      </c>
    </row>
    <row r="25" spans="1:33" ht="15.75" customHeight="1" x14ac:dyDescent="0.2">
      <c r="G25" s="141" t="s">
        <v>7</v>
      </c>
      <c r="H25" s="141" t="s">
        <v>167</v>
      </c>
      <c r="J25" s="150" t="s">
        <v>7</v>
      </c>
      <c r="K25" s="142" t="s">
        <v>167</v>
      </c>
      <c r="L25" s="151" t="s">
        <v>168</v>
      </c>
      <c r="N25" s="20"/>
      <c r="O25" s="20"/>
      <c r="P25" s="143"/>
      <c r="Q25" s="144"/>
      <c r="R25" s="145"/>
      <c r="S25" s="144"/>
      <c r="T25" s="139"/>
      <c r="U25" s="139"/>
      <c r="V25" s="139"/>
      <c r="W25" s="139"/>
      <c r="X25" s="139"/>
      <c r="AF25" s="37">
        <f t="shared" si="2"/>
        <v>26876.47</v>
      </c>
      <c r="AG25" s="37">
        <f t="shared" si="3"/>
        <v>9600.275083999999</v>
      </c>
    </row>
    <row r="26" spans="1:33" ht="15.75" customHeight="1" x14ac:dyDescent="0.2">
      <c r="E26" s="27">
        <f t="shared" ref="E26:E42" si="4">+E3</f>
        <v>0</v>
      </c>
      <c r="F26" s="27" t="s">
        <v>12</v>
      </c>
      <c r="G26" s="146">
        <f>'Bal AL FeT'!G26</f>
        <v>0</v>
      </c>
      <c r="H26" s="147">
        <f>+'Info Planta'!F4</f>
        <v>0</v>
      </c>
      <c r="I26" s="18"/>
      <c r="J26" s="87">
        <f>'Bal AL FeT'!J26</f>
        <v>0</v>
      </c>
      <c r="K26" s="152">
        <f>IF(Utilidad!F$18&gt;1,Utilidad!F1/100,Utilidad!F1)</f>
        <v>0</v>
      </c>
      <c r="L26" s="87">
        <f t="shared" ref="L26:L42" si="5">+J26*K26</f>
        <v>0</v>
      </c>
      <c r="N26" s="16"/>
      <c r="O26" s="17"/>
      <c r="P26" s="16"/>
      <c r="Q26" s="144"/>
      <c r="R26" s="148"/>
      <c r="S26" s="144"/>
      <c r="T26" s="139"/>
      <c r="U26" s="139"/>
      <c r="V26" s="139"/>
      <c r="W26" s="139"/>
      <c r="X26" s="139"/>
      <c r="AF26" s="37"/>
      <c r="AG26" s="37"/>
    </row>
    <row r="27" spans="1:33" ht="15.75" customHeight="1" x14ac:dyDescent="0.2">
      <c r="E27" s="27">
        <f t="shared" si="4"/>
        <v>0</v>
      </c>
      <c r="F27" s="27" t="s">
        <v>13</v>
      </c>
      <c r="G27" s="146">
        <f>'Bal AL FeT'!G27</f>
        <v>68993</v>
      </c>
      <c r="H27" s="147">
        <f>+'Info Planta'!F5</f>
        <v>0.48852658240691099</v>
      </c>
      <c r="I27" s="18"/>
      <c r="J27" s="87">
        <f>'Bal AL FeT'!J27</f>
        <v>67346.029609999998</v>
      </c>
      <c r="K27" s="152">
        <f>IF(Utilidad!F$18&gt;1,Utilidad!F2/100,Utilidad!F2)</f>
        <v>0.47170172276</v>
      </c>
      <c r="L27" s="87">
        <f t="shared" si="5"/>
        <v>31767.238188082971</v>
      </c>
      <c r="N27" s="16"/>
      <c r="O27" s="17"/>
      <c r="P27" s="16"/>
      <c r="Q27" s="144"/>
      <c r="R27" s="148"/>
      <c r="S27" s="144"/>
      <c r="T27" s="139"/>
      <c r="U27" s="139"/>
      <c r="V27" s="139"/>
      <c r="W27" s="139"/>
      <c r="X27" s="139"/>
    </row>
    <row r="28" spans="1:33" ht="15.75" customHeight="1" x14ac:dyDescent="0.2">
      <c r="E28" s="27">
        <f t="shared" si="4"/>
        <v>0</v>
      </c>
      <c r="F28" s="27" t="s">
        <v>14</v>
      </c>
      <c r="G28" s="146">
        <f>'Bal AL FeT'!G28</f>
        <v>10719.6</v>
      </c>
      <c r="H28" s="147">
        <f>+'Info Planta'!F6</f>
        <v>0.50318076980484305</v>
      </c>
      <c r="I28" s="18"/>
      <c r="J28" s="87">
        <f>'Bal AL FeT'!J28</f>
        <v>10663.005496</v>
      </c>
      <c r="K28" s="152">
        <f>IF(Utilidad!F$18&gt;1,Utilidad!F3/100,Utilidad!F3)</f>
        <v>0.50033678547999993</v>
      </c>
      <c r="L28" s="87">
        <f t="shared" si="5"/>
        <v>5335.0938934242122</v>
      </c>
      <c r="N28" s="16"/>
      <c r="O28" s="17"/>
      <c r="P28" s="16"/>
      <c r="Q28" s="144"/>
      <c r="R28" s="148"/>
      <c r="S28" s="144"/>
      <c r="T28" s="139"/>
      <c r="U28" s="139"/>
      <c r="V28" s="139"/>
      <c r="W28" s="139"/>
      <c r="X28" s="139"/>
    </row>
    <row r="29" spans="1:33" ht="15.75" customHeight="1" x14ac:dyDescent="0.2">
      <c r="E29" s="27">
        <f t="shared" si="4"/>
        <v>0</v>
      </c>
      <c r="F29" s="27" t="s">
        <v>15</v>
      </c>
      <c r="G29" s="146">
        <f>'Bal AL FeT'!G29</f>
        <v>22667.151999999998</v>
      </c>
      <c r="H29" s="153">
        <f>+'Info Planta'!F7</f>
        <v>0.59221159069767404</v>
      </c>
      <c r="J29" s="87">
        <f>'Bal AL FeT'!J29</f>
        <v>23735.816956999999</v>
      </c>
      <c r="K29" s="152">
        <f>IF(Utilidad!F$18&gt;1,Utilidad!F4/100,Utilidad!F4)</f>
        <v>0.59605544544</v>
      </c>
      <c r="L29" s="87">
        <f t="shared" si="5"/>
        <v>14147.86294918694</v>
      </c>
      <c r="N29" s="16"/>
      <c r="O29" s="17"/>
      <c r="P29" s="16"/>
      <c r="Q29" s="144"/>
      <c r="R29" s="148"/>
      <c r="S29" s="144"/>
      <c r="T29" s="139"/>
      <c r="U29" s="139"/>
      <c r="V29" s="139"/>
      <c r="W29" s="139"/>
      <c r="X29" s="37"/>
      <c r="Y29" s="37"/>
    </row>
    <row r="30" spans="1:33" ht="15.75" customHeight="1" x14ac:dyDescent="0.2">
      <c r="A30" s="37">
        <f>+'Calc Nodos'!F4</f>
        <v>2867</v>
      </c>
      <c r="B30" s="37"/>
      <c r="C30" s="37"/>
      <c r="D30" s="27">
        <f>+IF(A30&gt;0,1,IF(A30&lt;&gt;0,-1,0))</f>
        <v>1</v>
      </c>
      <c r="E30" s="27">
        <f t="shared" si="4"/>
        <v>0</v>
      </c>
      <c r="F30" s="105" t="s">
        <v>16</v>
      </c>
      <c r="G30" s="146">
        <f>'Bal AL FeT'!G30</f>
        <v>2867</v>
      </c>
      <c r="H30" s="154">
        <f>+IF((G31+G32)&lt;&gt;0,(G31*H31+G32*H32)/(G31+G32),0)</f>
        <v>0.59221159069767404</v>
      </c>
      <c r="I30" s="71"/>
      <c r="J30" s="87">
        <f>'Bal AL FeT'!J30</f>
        <v>2856.5269567999999</v>
      </c>
      <c r="K30" s="152">
        <f>IF(Utilidad!F$18&gt;1,Utilidad!F5/100,Utilidad!F5)</f>
        <v>0.59276765962</v>
      </c>
      <c r="L30" s="87">
        <f t="shared" si="5"/>
        <v>1693.2567988237768</v>
      </c>
      <c r="M30" s="149"/>
      <c r="N30" s="16"/>
      <c r="O30" s="17"/>
      <c r="P30" s="16"/>
      <c r="Q30" s="144"/>
      <c r="R30" s="148"/>
      <c r="S30" s="144"/>
      <c r="T30" s="139"/>
      <c r="U30" s="139"/>
      <c r="V30" s="139"/>
      <c r="W30" s="139"/>
      <c r="X30" s="37"/>
      <c r="Y30" s="37"/>
    </row>
    <row r="31" spans="1:33" ht="15.75" customHeight="1" x14ac:dyDescent="0.2">
      <c r="E31" s="27">
        <f t="shared" si="4"/>
        <v>0</v>
      </c>
      <c r="F31" s="27" t="s">
        <v>17</v>
      </c>
      <c r="G31" s="146">
        <f>'Bal AL FeT'!G31</f>
        <v>0</v>
      </c>
      <c r="H31" s="155">
        <f>+'Info Planta'!F11</f>
        <v>0</v>
      </c>
      <c r="J31" s="87">
        <f>'Bal AL FeT'!J31</f>
        <v>0</v>
      </c>
      <c r="K31" s="152">
        <f>IF(Utilidad!F$18&gt;1,Utilidad!F6/100,Utilidad!F6)</f>
        <v>0</v>
      </c>
      <c r="L31" s="87">
        <f t="shared" si="5"/>
        <v>0</v>
      </c>
      <c r="N31" s="16"/>
      <c r="O31" s="17"/>
      <c r="P31" s="16"/>
      <c r="Q31" s="144"/>
      <c r="R31" s="148"/>
      <c r="S31" s="144"/>
      <c r="T31" s="139"/>
      <c r="U31" s="139"/>
      <c r="V31" s="139"/>
      <c r="W31" s="139"/>
      <c r="X31" s="37"/>
      <c r="Y31" s="37"/>
    </row>
    <row r="32" spans="1:33" ht="15.75" customHeight="1" x14ac:dyDescent="0.2">
      <c r="E32" s="27">
        <f t="shared" si="4"/>
        <v>0</v>
      </c>
      <c r="F32" s="27" t="s">
        <v>18</v>
      </c>
      <c r="G32" s="146">
        <f>'Bal AL FeT'!G32</f>
        <v>20879.29</v>
      </c>
      <c r="H32" s="147">
        <f>+'Info Planta'!F12</f>
        <v>0.59221159069767404</v>
      </c>
      <c r="J32" s="87">
        <f>'Bal AL FeT'!J32</f>
        <v>20879.29</v>
      </c>
      <c r="K32" s="152">
        <f>IF(Utilidad!F$18&gt;1,Utilidad!F7/100,Utilidad!F7)</f>
        <v>0.59650525031000001</v>
      </c>
      <c r="L32" s="87">
        <f t="shared" si="5"/>
        <v>12454.606107745081</v>
      </c>
      <c r="N32" s="16"/>
      <c r="O32" s="17"/>
      <c r="P32" s="16"/>
      <c r="Q32" s="144"/>
      <c r="R32" s="148"/>
      <c r="S32" s="144"/>
      <c r="T32" s="139"/>
      <c r="U32" s="139"/>
      <c r="V32" s="139"/>
      <c r="W32" s="139"/>
      <c r="X32" s="37"/>
      <c r="Y32" s="37"/>
    </row>
    <row r="33" spans="1:24" ht="15.75" customHeight="1" x14ac:dyDescent="0.2">
      <c r="E33" s="27">
        <f t="shared" si="4"/>
        <v>0</v>
      </c>
      <c r="F33" s="27" t="s">
        <v>19</v>
      </c>
      <c r="G33" s="146">
        <f>'Bal AL FeT'!G33</f>
        <v>18314.103999999999</v>
      </c>
      <c r="H33" s="153">
        <f>+'Info Planta'!F8</f>
        <v>0.58622512000000004</v>
      </c>
      <c r="J33" s="87">
        <f>'Bal AL FeT'!J33</f>
        <v>16482.693599999999</v>
      </c>
      <c r="K33" s="152">
        <f>IF(Utilidad!F$18&gt;1,Utilidad!F8/100,Utilidad!F8)</f>
        <v>0.58912350328000007</v>
      </c>
      <c r="L33" s="87">
        <f t="shared" si="5"/>
        <v>9710.3421971228363</v>
      </c>
      <c r="N33" s="16"/>
      <c r="O33" s="17"/>
      <c r="P33" s="16"/>
      <c r="Q33" s="144"/>
      <c r="R33" s="148"/>
      <c r="S33" s="144"/>
      <c r="T33" s="139"/>
      <c r="U33" s="139"/>
      <c r="V33" s="139"/>
      <c r="W33" s="139"/>
      <c r="X33" s="139"/>
    </row>
    <row r="34" spans="1:24" ht="15.75" customHeight="1" x14ac:dyDescent="0.2">
      <c r="A34" s="37">
        <f>+'Calc Nodos'!F5</f>
        <v>212</v>
      </c>
      <c r="B34" s="37"/>
      <c r="C34" s="37"/>
      <c r="D34" s="27">
        <f>+IF(A34&gt;0,1,IF(A34&lt;&gt;0,-1,0))</f>
        <v>1</v>
      </c>
      <c r="E34" s="27">
        <f t="shared" si="4"/>
        <v>0</v>
      </c>
      <c r="F34" s="105" t="s">
        <v>20</v>
      </c>
      <c r="G34" s="146">
        <f>'Bal AL FeT'!G34</f>
        <v>212</v>
      </c>
      <c r="H34" s="154">
        <f>+IF((G35+G36)&lt;&gt;0,(G35*H35+G36*H36)/(G35+G36),0)</f>
        <v>0.58622512000000004</v>
      </c>
      <c r="I34" s="71"/>
      <c r="J34" s="87">
        <f>'Bal AL FeT'!J34</f>
        <v>252.02359999999999</v>
      </c>
      <c r="K34" s="152">
        <f>IF(Utilidad!F$18&gt;1,Utilidad!F9/100,Utilidad!F9)</f>
        <v>0.58630078285999998</v>
      </c>
      <c r="L34" s="87">
        <f t="shared" si="5"/>
        <v>147.76163397919549</v>
      </c>
      <c r="M34" s="149"/>
      <c r="N34" s="16"/>
      <c r="O34" s="17"/>
      <c r="P34" s="16"/>
      <c r="Q34" s="144"/>
      <c r="R34" s="148"/>
      <c r="S34" s="144"/>
      <c r="T34" s="139"/>
      <c r="U34" s="139"/>
      <c r="V34" s="139"/>
      <c r="W34" s="139"/>
      <c r="X34" s="139"/>
    </row>
    <row r="35" spans="1:24" ht="15.75" customHeight="1" x14ac:dyDescent="0.2">
      <c r="E35" s="27">
        <f t="shared" si="4"/>
        <v>0</v>
      </c>
      <c r="F35" s="27" t="s">
        <v>21</v>
      </c>
      <c r="G35" s="146">
        <f>'Bal AL FeT'!G35</f>
        <v>0</v>
      </c>
      <c r="H35" s="155">
        <f>+'Info Planta'!F13</f>
        <v>0</v>
      </c>
      <c r="J35" s="87">
        <f>'Bal AL FeT'!J35</f>
        <v>0</v>
      </c>
      <c r="K35" s="152">
        <f>IF(Utilidad!F$18&gt;1,Utilidad!F10/100,Utilidad!F10)</f>
        <v>0</v>
      </c>
      <c r="L35" s="87">
        <f t="shared" si="5"/>
        <v>0</v>
      </c>
      <c r="N35" s="16"/>
      <c r="O35" s="17"/>
      <c r="P35" s="16"/>
      <c r="Q35" s="144"/>
      <c r="R35" s="148"/>
      <c r="S35" s="144"/>
      <c r="T35" s="139"/>
      <c r="U35" s="139"/>
      <c r="V35" s="139"/>
      <c r="W35" s="139"/>
      <c r="X35" s="139"/>
    </row>
    <row r="36" spans="1:24" ht="15.75" customHeight="1" x14ac:dyDescent="0.2">
      <c r="E36" s="27">
        <f t="shared" si="4"/>
        <v>0</v>
      </c>
      <c r="F36" s="27" t="s">
        <v>22</v>
      </c>
      <c r="G36" s="146">
        <f>'Bal AL FeT'!G36</f>
        <v>16230.67</v>
      </c>
      <c r="H36" s="147">
        <f>+'Info Planta'!F14</f>
        <v>0.58622512000000004</v>
      </c>
      <c r="J36" s="87">
        <f>'Bal AL FeT'!J36</f>
        <v>16230.67</v>
      </c>
      <c r="K36" s="152">
        <f>IF(Utilidad!F$18&gt;1,Utilidad!F11/100,Utilidad!F11)</f>
        <v>0.58916733340000005</v>
      </c>
      <c r="L36" s="87">
        <f t="shared" si="5"/>
        <v>9562.580563195379</v>
      </c>
      <c r="N36" s="16"/>
      <c r="O36" s="17"/>
      <c r="P36" s="16"/>
      <c r="Q36" s="144"/>
      <c r="R36" s="148"/>
      <c r="S36" s="144"/>
      <c r="T36" s="139"/>
      <c r="U36" s="139"/>
      <c r="V36" s="139"/>
      <c r="W36" s="139"/>
      <c r="X36" s="139"/>
    </row>
    <row r="37" spans="1:24" ht="15.75" customHeight="1" x14ac:dyDescent="0.2">
      <c r="E37" s="27">
        <f t="shared" si="4"/>
        <v>0</v>
      </c>
      <c r="F37" s="27" t="s">
        <v>23</v>
      </c>
      <c r="G37" s="146">
        <f>'Bal AL FeT'!G37</f>
        <v>13136</v>
      </c>
      <c r="H37" s="153">
        <f>+'Info Planta'!F9</f>
        <v>0.321851323255814</v>
      </c>
      <c r="J37" s="87">
        <f>'Bal AL FeT'!J37</f>
        <v>4229.7245661999996</v>
      </c>
      <c r="K37" s="152">
        <f>IF(Utilidad!F$18&gt;1,Utilidad!F12/100,Utilidad!F12)</f>
        <v>0.32209955213000002</v>
      </c>
      <c r="L37" s="87">
        <f t="shared" si="5"/>
        <v>1362.3923884062785</v>
      </c>
      <c r="N37" s="16"/>
      <c r="O37" s="17"/>
      <c r="P37" s="16"/>
      <c r="Q37" s="144"/>
      <c r="R37" s="148"/>
      <c r="S37" s="144"/>
      <c r="T37" s="139"/>
      <c r="U37" s="139"/>
      <c r="V37" s="139"/>
      <c r="W37" s="139"/>
      <c r="X37" s="139"/>
    </row>
    <row r="38" spans="1:24" ht="15.75" customHeight="1" x14ac:dyDescent="0.2">
      <c r="A38" s="37">
        <f>+'Calc Nodos'!F6</f>
        <v>-478</v>
      </c>
      <c r="B38" s="37"/>
      <c r="C38" s="37"/>
      <c r="D38" s="27">
        <f>+IF(A38&gt;0,1,IF(A38&lt;&gt;0,-1,0))</f>
        <v>-1</v>
      </c>
      <c r="E38" s="27">
        <f t="shared" si="4"/>
        <v>0</v>
      </c>
      <c r="F38" s="105" t="s">
        <v>24</v>
      </c>
      <c r="G38" s="146">
        <f>'Bal AL FeT'!G38</f>
        <v>-478</v>
      </c>
      <c r="H38" s="154">
        <f>+H37</f>
        <v>0.321851323255814</v>
      </c>
      <c r="I38" s="71"/>
      <c r="J38" s="87">
        <f>'Bal AL FeT'!J38</f>
        <v>-466.27543380999998</v>
      </c>
      <c r="K38" s="152">
        <f>IF(Utilidad!F$18&gt;1,Utilidad!F13/100,Utilidad!F13)</f>
        <v>0.32186202414999998</v>
      </c>
      <c r="L38" s="87">
        <f t="shared" si="5"/>
        <v>-150.07635493750593</v>
      </c>
      <c r="M38" s="149"/>
      <c r="N38" s="16"/>
      <c r="O38" s="17"/>
      <c r="P38" s="16"/>
      <c r="Q38" s="144"/>
      <c r="R38" s="148"/>
      <c r="S38" s="144"/>
      <c r="T38" s="139"/>
      <c r="U38" s="139"/>
      <c r="V38" s="139"/>
      <c r="W38" s="139"/>
      <c r="X38" s="139"/>
    </row>
    <row r="39" spans="1:24" ht="15.75" customHeight="1" x14ac:dyDescent="0.2">
      <c r="E39" s="27">
        <f t="shared" si="4"/>
        <v>0</v>
      </c>
      <c r="F39" s="27" t="s">
        <v>25</v>
      </c>
      <c r="G39" s="146">
        <f>'Bal AL FeT'!G39</f>
        <v>4696</v>
      </c>
      <c r="H39" s="155">
        <f>+'Info Planta'!F15</f>
        <v>0.321851323255814</v>
      </c>
      <c r="J39" s="87">
        <f>'Bal AL FeT'!J39</f>
        <v>4696</v>
      </c>
      <c r="K39" s="152">
        <f>IF(Utilidad!F$18&gt;1,Utilidad!F14/100,Utilidad!F14)</f>
        <v>0.32207596748999995</v>
      </c>
      <c r="L39" s="87">
        <f t="shared" si="5"/>
        <v>1512.4687433330398</v>
      </c>
      <c r="N39" s="16"/>
      <c r="O39" s="17"/>
      <c r="P39" s="16"/>
      <c r="Q39" s="144"/>
      <c r="R39" s="148"/>
      <c r="S39" s="144"/>
      <c r="T39" s="139"/>
      <c r="U39" s="139"/>
      <c r="V39" s="139"/>
      <c r="W39" s="139"/>
      <c r="X39" s="139"/>
    </row>
    <row r="40" spans="1:24" ht="15.75" customHeight="1" x14ac:dyDescent="0.2">
      <c r="E40" s="27">
        <f t="shared" si="4"/>
        <v>0</v>
      </c>
      <c r="F40" s="27" t="s">
        <v>26</v>
      </c>
      <c r="G40" s="146">
        <f>'Bal AL FeT'!G40</f>
        <v>25816</v>
      </c>
      <c r="H40" s="153">
        <f>+IF(G40&lt;&gt;0,(G42*H42+A41*H41)/G40,0)</f>
        <v>0.39913544778431981</v>
      </c>
      <c r="J40" s="87">
        <f>'Bal AL FeT'!J40</f>
        <v>33560.799982999997</v>
      </c>
      <c r="K40" s="152">
        <f>IF(Utilidad!F$18&gt;1,Utilidad!F15/100,Utilidad!F15)</f>
        <v>0.35403610000000002</v>
      </c>
      <c r="L40" s="87">
        <f t="shared" si="5"/>
        <v>11881.734738861385</v>
      </c>
      <c r="N40" s="16"/>
      <c r="O40" s="17"/>
      <c r="P40" s="16"/>
      <c r="Q40" s="144"/>
      <c r="R40" s="148"/>
      <c r="S40" s="144"/>
      <c r="T40" s="139"/>
      <c r="U40" s="139"/>
      <c r="V40" s="139"/>
      <c r="W40" s="139"/>
      <c r="X40" s="139"/>
    </row>
    <row r="41" spans="1:24" ht="15.75" customHeight="1" x14ac:dyDescent="0.2">
      <c r="A41" s="37">
        <f>+'Calc Nodos'!F7</f>
        <v>528</v>
      </c>
      <c r="B41" s="37"/>
      <c r="C41" s="37"/>
      <c r="D41" s="27">
        <f>+IF(A41&gt;0,1,IF(A41&lt;&gt;0,-1,0))</f>
        <v>1</v>
      </c>
      <c r="E41" s="27">
        <f t="shared" si="4"/>
        <v>0</v>
      </c>
      <c r="F41" s="105" t="s">
        <v>27</v>
      </c>
      <c r="G41" s="146">
        <f>'Bal AL FeT'!G41</f>
        <v>528</v>
      </c>
      <c r="H41" s="154">
        <f>+H42</f>
        <v>0.376</v>
      </c>
      <c r="I41" s="71"/>
      <c r="J41" s="87">
        <f>'Bal AL FeT'!J41</f>
        <v>6684.3299832000002</v>
      </c>
      <c r="K41" s="152">
        <f>IF(Utilidad!F$18&gt;1,Utilidad!F16/100,Utilidad!F16)</f>
        <v>0.34131463597</v>
      </c>
      <c r="L41" s="87">
        <f t="shared" si="5"/>
        <v>2281.4596549192643</v>
      </c>
      <c r="M41" s="149"/>
      <c r="N41" s="16"/>
      <c r="O41" s="17"/>
      <c r="P41" s="16"/>
      <c r="Q41" s="144"/>
      <c r="R41" s="148"/>
      <c r="S41" s="144"/>
      <c r="T41" s="139"/>
      <c r="U41" s="139"/>
      <c r="V41" s="139"/>
      <c r="W41" s="139"/>
      <c r="X41" s="139"/>
    </row>
    <row r="42" spans="1:24" ht="15.75" customHeight="1" x14ac:dyDescent="0.2">
      <c r="E42" s="27">
        <f t="shared" si="4"/>
        <v>0</v>
      </c>
      <c r="F42" s="27" t="s">
        <v>28</v>
      </c>
      <c r="G42" s="146">
        <f>'Bal AL FeT'!G42</f>
        <v>26876.47</v>
      </c>
      <c r="H42" s="155">
        <f>+'Info Planta'!F16</f>
        <v>0.376</v>
      </c>
      <c r="J42" s="87">
        <f>'Bal AL FeT'!J42</f>
        <v>26876.47</v>
      </c>
      <c r="K42" s="152">
        <f>IF(Utilidad!F$18&gt;1,Utilidad!F17/100,Utilidad!F17)</f>
        <v>0.35719999999999996</v>
      </c>
      <c r="L42" s="87">
        <f t="shared" si="5"/>
        <v>9600.275083999999</v>
      </c>
      <c r="N42" s="16"/>
      <c r="O42" s="17"/>
      <c r="P42" s="16"/>
      <c r="Q42" s="144"/>
      <c r="R42" s="148"/>
      <c r="S42" s="144"/>
      <c r="T42" s="139"/>
      <c r="U42" s="139"/>
      <c r="V42" s="139"/>
      <c r="W42" s="139"/>
      <c r="X42" s="139"/>
    </row>
    <row r="43" spans="1:24" ht="15.75" customHeight="1" x14ac:dyDescent="0.2"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</row>
    <row r="44" spans="1:24" ht="15.75" customHeight="1" x14ac:dyDescent="0.2">
      <c r="C44" s="139"/>
      <c r="D44" s="139"/>
      <c r="E44" s="139"/>
      <c r="F44" s="135"/>
      <c r="G44" s="227"/>
      <c r="H44" s="195"/>
      <c r="I44" s="139"/>
      <c r="J44" s="227"/>
      <c r="K44" s="195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</row>
    <row r="45" spans="1:24" ht="15.75" customHeight="1" x14ac:dyDescent="0.2">
      <c r="C45" s="139"/>
      <c r="D45" s="139"/>
      <c r="E45" s="139"/>
      <c r="F45" s="135"/>
      <c r="G45" s="20"/>
      <c r="H45" s="20"/>
      <c r="I45" s="139"/>
      <c r="J45" s="20"/>
      <c r="K45" s="20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</row>
    <row r="46" spans="1:24" ht="15.75" customHeight="1" x14ac:dyDescent="0.2">
      <c r="C46" s="139"/>
      <c r="D46" s="139"/>
      <c r="E46" s="139"/>
      <c r="F46" s="139"/>
      <c r="G46" s="139"/>
      <c r="H46" s="139"/>
      <c r="I46" s="139"/>
      <c r="J46" s="37"/>
      <c r="K46" s="18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</row>
    <row r="47" spans="1:24" ht="15.75" customHeight="1" x14ac:dyDescent="0.2">
      <c r="C47" s="139"/>
      <c r="D47" s="139"/>
      <c r="E47" s="139"/>
      <c r="F47" s="139"/>
      <c r="G47" s="139"/>
      <c r="H47" s="139"/>
      <c r="I47" s="139"/>
      <c r="J47" s="37"/>
      <c r="K47" s="18"/>
      <c r="L47" s="139"/>
      <c r="M47" s="139"/>
    </row>
    <row r="48" spans="1:24" ht="15.75" customHeight="1" x14ac:dyDescent="0.2">
      <c r="C48" s="139"/>
      <c r="D48" s="139"/>
      <c r="E48" s="139"/>
      <c r="F48" s="139"/>
      <c r="G48" s="139"/>
      <c r="H48" s="139"/>
      <c r="I48" s="139"/>
      <c r="J48" s="37"/>
      <c r="K48" s="18"/>
      <c r="L48" s="139"/>
      <c r="M48" s="139"/>
    </row>
    <row r="49" spans="3:13" ht="15.75" customHeight="1" x14ac:dyDescent="0.2">
      <c r="C49" s="139"/>
      <c r="D49" s="139"/>
      <c r="E49" s="139"/>
      <c r="F49" s="139"/>
      <c r="G49" s="139"/>
      <c r="H49" s="139"/>
      <c r="I49" s="139"/>
      <c r="J49" s="37"/>
      <c r="K49" s="18"/>
      <c r="L49" s="139"/>
      <c r="M49" s="139"/>
    </row>
    <row r="50" spans="3:13" ht="15.75" customHeight="1" x14ac:dyDescent="0.2">
      <c r="C50" s="139"/>
      <c r="D50" s="139"/>
      <c r="E50" s="139"/>
      <c r="F50" s="139"/>
      <c r="G50" s="139"/>
      <c r="H50" s="139"/>
      <c r="I50" s="139"/>
      <c r="J50" s="37"/>
      <c r="K50" s="18"/>
      <c r="L50" s="139"/>
      <c r="M50" s="139"/>
    </row>
    <row r="51" spans="3:13" ht="15.75" customHeight="1" x14ac:dyDescent="0.2">
      <c r="C51" s="139"/>
      <c r="D51" s="139"/>
      <c r="E51" s="139"/>
      <c r="F51" s="139"/>
      <c r="G51" s="139"/>
      <c r="H51" s="139"/>
      <c r="I51" s="139"/>
      <c r="J51" s="37"/>
      <c r="K51" s="18"/>
      <c r="L51" s="139"/>
      <c r="M51" s="139"/>
    </row>
    <row r="52" spans="3:13" ht="15.75" customHeight="1" x14ac:dyDescent="0.2">
      <c r="C52" s="139"/>
      <c r="D52" s="139"/>
      <c r="E52" s="139"/>
      <c r="F52" s="139"/>
      <c r="G52" s="139"/>
      <c r="H52" s="139"/>
      <c r="I52" s="139"/>
      <c r="J52" s="37"/>
      <c r="K52" s="18"/>
      <c r="L52" s="139"/>
      <c r="M52" s="139"/>
    </row>
    <row r="53" spans="3:13" ht="15.75" customHeight="1" x14ac:dyDescent="0.2">
      <c r="C53" s="139"/>
      <c r="D53" s="139"/>
      <c r="E53" s="139"/>
      <c r="F53" s="139"/>
      <c r="G53" s="139"/>
      <c r="H53" s="139"/>
      <c r="I53" s="139"/>
      <c r="J53" s="37"/>
      <c r="K53" s="18"/>
      <c r="L53" s="139"/>
      <c r="M53" s="139"/>
    </row>
    <row r="54" spans="3:13" ht="15.75" customHeight="1" x14ac:dyDescent="0.2">
      <c r="C54" s="139"/>
      <c r="D54" s="139"/>
      <c r="E54" s="139"/>
      <c r="F54" s="139"/>
      <c r="G54" s="139"/>
      <c r="H54" s="139"/>
      <c r="I54" s="139"/>
      <c r="J54" s="37"/>
      <c r="K54" s="18"/>
      <c r="L54" s="139"/>
      <c r="M54" s="139"/>
    </row>
    <row r="55" spans="3:13" ht="15.75" customHeight="1" x14ac:dyDescent="0.2">
      <c r="C55" s="139"/>
      <c r="D55" s="139"/>
      <c r="E55" s="139"/>
      <c r="F55" s="139"/>
      <c r="G55" s="139"/>
      <c r="H55" s="139"/>
      <c r="I55" s="139"/>
      <c r="J55" s="37"/>
      <c r="K55" s="18"/>
      <c r="L55" s="139"/>
      <c r="M55" s="139"/>
    </row>
    <row r="56" spans="3:13" ht="15.75" customHeight="1" x14ac:dyDescent="0.2">
      <c r="C56" s="139"/>
      <c r="D56" s="139"/>
      <c r="E56" s="139"/>
      <c r="F56" s="139"/>
      <c r="G56" s="139"/>
      <c r="H56" s="139"/>
      <c r="I56" s="139"/>
      <c r="J56" s="37"/>
      <c r="K56" s="18"/>
      <c r="L56" s="139"/>
      <c r="M56" s="139"/>
    </row>
    <row r="57" spans="3:13" ht="15.75" customHeight="1" x14ac:dyDescent="0.2">
      <c r="C57" s="139"/>
      <c r="D57" s="139"/>
      <c r="E57" s="139"/>
      <c r="F57" s="139"/>
      <c r="G57" s="139"/>
      <c r="H57" s="139"/>
      <c r="I57" s="139"/>
      <c r="J57" s="37"/>
      <c r="K57" s="18"/>
      <c r="L57" s="139"/>
      <c r="M57" s="139"/>
    </row>
    <row r="58" spans="3:13" ht="15.75" customHeight="1" x14ac:dyDescent="0.2">
      <c r="C58" s="139"/>
      <c r="D58" s="139"/>
      <c r="E58" s="139"/>
      <c r="F58" s="139"/>
      <c r="G58" s="139"/>
      <c r="H58" s="139"/>
      <c r="I58" s="139"/>
      <c r="J58" s="37"/>
      <c r="K58" s="18"/>
      <c r="L58" s="139"/>
      <c r="M58" s="139"/>
    </row>
    <row r="59" spans="3:13" ht="15.75" customHeight="1" x14ac:dyDescent="0.2">
      <c r="C59" s="139"/>
      <c r="D59" s="139"/>
      <c r="E59" s="139"/>
      <c r="F59" s="139"/>
      <c r="G59" s="139"/>
      <c r="H59" s="139"/>
      <c r="I59" s="139"/>
      <c r="J59" s="37"/>
      <c r="K59" s="18"/>
      <c r="L59" s="139"/>
      <c r="M59" s="139"/>
    </row>
    <row r="60" spans="3:13" ht="15.75" customHeight="1" x14ac:dyDescent="0.2">
      <c r="C60" s="139"/>
      <c r="D60" s="139"/>
      <c r="E60" s="139"/>
      <c r="F60" s="139"/>
      <c r="G60" s="139"/>
      <c r="H60" s="139"/>
      <c r="I60" s="139"/>
      <c r="J60" s="37"/>
      <c r="K60" s="18"/>
      <c r="L60" s="139"/>
      <c r="M60" s="139"/>
    </row>
    <row r="61" spans="3:13" ht="15.75" customHeight="1" x14ac:dyDescent="0.2">
      <c r="C61" s="139"/>
      <c r="D61" s="139"/>
      <c r="E61" s="139"/>
      <c r="F61" s="139"/>
      <c r="G61" s="139"/>
      <c r="H61" s="139"/>
      <c r="I61" s="139"/>
      <c r="J61" s="37"/>
      <c r="K61" s="18"/>
      <c r="L61" s="139"/>
      <c r="M61" s="139"/>
    </row>
    <row r="62" spans="3:13" ht="15.75" customHeight="1" x14ac:dyDescent="0.2">
      <c r="C62" s="139"/>
      <c r="D62" s="139"/>
      <c r="E62" s="139"/>
      <c r="F62" s="139"/>
      <c r="G62" s="139"/>
      <c r="H62" s="139"/>
      <c r="I62" s="139"/>
      <c r="J62" s="37"/>
      <c r="K62" s="18"/>
      <c r="L62" s="139"/>
      <c r="M62" s="139"/>
    </row>
    <row r="63" spans="3:13" ht="15.75" customHeight="1" x14ac:dyDescent="0.2"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</row>
    <row r="64" spans="3:13" ht="15.75" customHeight="1" x14ac:dyDescent="0.2">
      <c r="C64" s="139"/>
      <c r="D64" s="139"/>
      <c r="E64" s="139"/>
      <c r="F64" s="135"/>
      <c r="G64" s="227"/>
      <c r="H64" s="195"/>
      <c r="I64" s="139"/>
      <c r="J64" s="139"/>
      <c r="K64" s="139"/>
      <c r="L64" s="139"/>
      <c r="M64" s="139"/>
    </row>
    <row r="65" spans="6:10" ht="15.75" customHeight="1" x14ac:dyDescent="0.2">
      <c r="F65" s="135"/>
      <c r="G65" s="20"/>
      <c r="H65" s="20"/>
      <c r="I65" s="139"/>
      <c r="J65" s="139"/>
    </row>
    <row r="66" spans="6:10" ht="15.75" customHeight="1" x14ac:dyDescent="0.2">
      <c r="F66" s="139"/>
      <c r="G66" s="139"/>
      <c r="H66" s="139"/>
      <c r="I66" s="139"/>
      <c r="J66" s="139"/>
    </row>
    <row r="67" spans="6:10" ht="15.75" customHeight="1" x14ac:dyDescent="0.2">
      <c r="F67" s="139"/>
      <c r="G67" s="139"/>
      <c r="H67" s="139"/>
      <c r="I67" s="139"/>
      <c r="J67" s="139"/>
    </row>
    <row r="68" spans="6:10" ht="15.75" customHeight="1" x14ac:dyDescent="0.2">
      <c r="F68" s="139"/>
      <c r="G68" s="139"/>
      <c r="H68" s="139"/>
      <c r="I68" s="139"/>
      <c r="J68" s="139"/>
    </row>
    <row r="69" spans="6:10" ht="15.75" customHeight="1" x14ac:dyDescent="0.2">
      <c r="F69" s="139"/>
      <c r="G69" s="139"/>
      <c r="H69" s="139"/>
      <c r="I69" s="139"/>
      <c r="J69" s="139"/>
    </row>
    <row r="70" spans="6:10" ht="15.75" customHeight="1" x14ac:dyDescent="0.2">
      <c r="F70" s="139"/>
      <c r="G70" s="139"/>
      <c r="H70" s="139"/>
      <c r="I70" s="139"/>
      <c r="J70" s="139"/>
    </row>
    <row r="71" spans="6:10" ht="15.75" customHeight="1" x14ac:dyDescent="0.2">
      <c r="F71" s="139"/>
      <c r="G71" s="139"/>
      <c r="H71" s="139"/>
      <c r="I71" s="139"/>
      <c r="J71" s="139"/>
    </row>
    <row r="72" spans="6:10" ht="15.75" customHeight="1" x14ac:dyDescent="0.2">
      <c r="F72" s="139"/>
      <c r="G72" s="139"/>
      <c r="H72" s="139"/>
      <c r="I72" s="139"/>
      <c r="J72" s="139"/>
    </row>
    <row r="73" spans="6:10" ht="15.75" customHeight="1" x14ac:dyDescent="0.2">
      <c r="F73" s="139"/>
      <c r="G73" s="139"/>
      <c r="H73" s="139"/>
      <c r="I73" s="139"/>
      <c r="J73" s="139"/>
    </row>
    <row r="74" spans="6:10" ht="15.75" customHeight="1" x14ac:dyDescent="0.2">
      <c r="F74" s="139"/>
      <c r="G74" s="139"/>
      <c r="H74" s="139"/>
      <c r="I74" s="139"/>
      <c r="J74" s="139"/>
    </row>
    <row r="75" spans="6:10" ht="15.75" customHeight="1" x14ac:dyDescent="0.2">
      <c r="F75" s="139"/>
      <c r="G75" s="139"/>
      <c r="H75" s="139"/>
      <c r="I75" s="139"/>
      <c r="J75" s="139"/>
    </row>
    <row r="76" spans="6:10" ht="15.75" customHeight="1" x14ac:dyDescent="0.2">
      <c r="F76" s="139"/>
      <c r="G76" s="139"/>
      <c r="H76" s="139"/>
      <c r="I76" s="139"/>
      <c r="J76" s="139"/>
    </row>
    <row r="77" spans="6:10" ht="15.75" customHeight="1" x14ac:dyDescent="0.2">
      <c r="F77" s="139"/>
      <c r="G77" s="139"/>
      <c r="H77" s="139"/>
      <c r="I77" s="139"/>
      <c r="J77" s="139"/>
    </row>
    <row r="78" spans="6:10" ht="15.75" customHeight="1" x14ac:dyDescent="0.2">
      <c r="F78" s="139"/>
      <c r="G78" s="139"/>
      <c r="H78" s="139"/>
      <c r="I78" s="139"/>
      <c r="J78" s="139"/>
    </row>
    <row r="79" spans="6:10" ht="15.75" customHeight="1" x14ac:dyDescent="0.2">
      <c r="F79" s="139"/>
      <c r="G79" s="139"/>
      <c r="H79" s="139"/>
      <c r="I79" s="139"/>
      <c r="J79" s="139"/>
    </row>
    <row r="80" spans="6:10" ht="15.75" customHeight="1" x14ac:dyDescent="0.2">
      <c r="F80" s="139"/>
      <c r="G80" s="139"/>
      <c r="H80" s="139"/>
      <c r="I80" s="139"/>
      <c r="J80" s="139"/>
    </row>
    <row r="81" spans="6:10" ht="15.75" customHeight="1" x14ac:dyDescent="0.2">
      <c r="F81" s="139"/>
      <c r="G81" s="139"/>
      <c r="H81" s="139"/>
      <c r="I81" s="139"/>
      <c r="J81" s="139"/>
    </row>
    <row r="82" spans="6:10" ht="15.75" customHeight="1" x14ac:dyDescent="0.2">
      <c r="F82" s="139"/>
      <c r="G82" s="139"/>
      <c r="H82" s="139"/>
      <c r="I82" s="139"/>
      <c r="J82" s="139"/>
    </row>
    <row r="83" spans="6:10" ht="15.75" customHeight="1" x14ac:dyDescent="0.2">
      <c r="F83" s="139"/>
      <c r="G83" s="139"/>
      <c r="H83" s="139"/>
      <c r="I83" s="139"/>
      <c r="J83" s="139"/>
    </row>
    <row r="84" spans="6:10" ht="15.75" customHeight="1" x14ac:dyDescent="0.2">
      <c r="F84" s="139"/>
      <c r="G84" s="139"/>
      <c r="H84" s="139"/>
      <c r="I84" s="139"/>
      <c r="J84" s="139"/>
    </row>
    <row r="85" spans="6:10" ht="15.75" customHeight="1" x14ac:dyDescent="0.2"/>
    <row r="86" spans="6:10" ht="15.75" customHeight="1" x14ac:dyDescent="0.2"/>
    <row r="87" spans="6:10" ht="15.75" customHeight="1" x14ac:dyDescent="0.2"/>
    <row r="88" spans="6:10" ht="15.75" customHeight="1" x14ac:dyDescent="0.2"/>
    <row r="89" spans="6:10" ht="15.75" customHeight="1" x14ac:dyDescent="0.2"/>
    <row r="90" spans="6:10" ht="15.75" customHeight="1" x14ac:dyDescent="0.2"/>
    <row r="91" spans="6:10" ht="15.75" customHeight="1" x14ac:dyDescent="0.2"/>
    <row r="92" spans="6:10" ht="15.75" customHeight="1" x14ac:dyDescent="0.2"/>
    <row r="93" spans="6:10" ht="15.75" customHeight="1" x14ac:dyDescent="0.2"/>
    <row r="94" spans="6:10" ht="15.75" customHeight="1" x14ac:dyDescent="0.2"/>
    <row r="95" spans="6:10" ht="15.75" customHeight="1" x14ac:dyDescent="0.2"/>
    <row r="96" spans="6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4" priority="1">
      <formula>ABS(N26)&gt;=10%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topLeftCell="A9" workbookViewId="0">
      <selection activeCell="G40" sqref="G40"/>
    </sheetView>
  </sheetViews>
  <sheetFormatPr baseColWidth="10" defaultColWidth="14.5" defaultRowHeight="15" customHeight="1" x14ac:dyDescent="0.2"/>
  <cols>
    <col min="1" max="26" width="11.5" customWidth="1"/>
  </cols>
  <sheetData>
    <row r="1" spans="1:23" x14ac:dyDescent="0.2">
      <c r="H1" s="37"/>
    </row>
    <row r="3" spans="1:23" x14ac:dyDescent="0.2">
      <c r="G3" s="156">
        <f>+'Bal AL FeT'!J29</f>
        <v>23735.816956999999</v>
      </c>
    </row>
    <row r="4" spans="1:23" x14ac:dyDescent="0.2">
      <c r="G4" s="157">
        <f>+'Bal AL FeT'!K29</f>
        <v>0.60740306086999996</v>
      </c>
    </row>
    <row r="5" spans="1:23" x14ac:dyDescent="0.2">
      <c r="A5" s="158"/>
      <c r="B5" s="156">
        <f>+'Bal AL FeT'!J26</f>
        <v>0</v>
      </c>
      <c r="C5" s="158"/>
      <c r="D5" s="158"/>
      <c r="E5" s="158"/>
      <c r="G5" s="159">
        <f>+'Bal AL FeT'!L29</f>
        <v>14417.207871931847</v>
      </c>
      <c r="H5" s="158"/>
      <c r="I5" s="158"/>
      <c r="J5" s="156">
        <f>+'Bal AL FeT'!J31</f>
        <v>0</v>
      </c>
      <c r="K5" s="158"/>
      <c r="L5" s="158"/>
      <c r="S5" s="158"/>
    </row>
    <row r="6" spans="1:23" x14ac:dyDescent="0.2">
      <c r="A6" s="160"/>
      <c r="B6" s="157">
        <f>+'Bal AL FeT'!K26</f>
        <v>0</v>
      </c>
      <c r="C6" s="158"/>
      <c r="D6" s="158"/>
      <c r="E6" s="158"/>
      <c r="G6" s="158"/>
      <c r="H6" s="158"/>
      <c r="I6" s="158"/>
      <c r="J6" s="157">
        <f>+'Bal AL FeT'!K31</f>
        <v>0</v>
      </c>
      <c r="K6" s="158"/>
      <c r="L6" s="158"/>
      <c r="S6" s="158"/>
    </row>
    <row r="7" spans="1:23" x14ac:dyDescent="0.2">
      <c r="A7" s="160"/>
      <c r="B7" s="159">
        <f>+'Bal AL FeT'!L26</f>
        <v>0</v>
      </c>
      <c r="C7" s="158"/>
      <c r="D7" s="158"/>
      <c r="E7" s="158"/>
      <c r="F7" s="158"/>
      <c r="G7" s="158"/>
      <c r="H7" s="158"/>
      <c r="I7" s="158"/>
      <c r="J7" s="159">
        <f>+'Bal AL FeT'!L31</f>
        <v>0</v>
      </c>
      <c r="K7" s="158"/>
      <c r="L7" s="158"/>
      <c r="S7" s="158"/>
    </row>
    <row r="8" spans="1:23" x14ac:dyDescent="0.2">
      <c r="A8" s="160"/>
      <c r="B8" s="158"/>
      <c r="C8" s="158"/>
      <c r="D8" s="158"/>
      <c r="E8" s="158"/>
      <c r="F8" s="158"/>
      <c r="G8" s="158"/>
      <c r="H8" s="161">
        <f>+'Bal AL FeT'!J30</f>
        <v>2856.5269567999999</v>
      </c>
      <c r="I8" s="158"/>
      <c r="S8" s="158"/>
    </row>
    <row r="9" spans="1:23" x14ac:dyDescent="0.2">
      <c r="B9" s="158"/>
      <c r="C9" s="158"/>
      <c r="D9" s="158"/>
      <c r="E9" s="158"/>
      <c r="F9" s="158"/>
      <c r="G9" s="158"/>
      <c r="H9" s="162">
        <f>+'Bal AL FeT'!L30</f>
        <v>1740.1074764457201</v>
      </c>
      <c r="I9" s="158"/>
      <c r="J9" s="156">
        <f>+'Bal AL FeT'!J32</f>
        <v>20879.29</v>
      </c>
      <c r="K9" s="158"/>
      <c r="L9" s="158"/>
    </row>
    <row r="10" spans="1:23" x14ac:dyDescent="0.2">
      <c r="A10" s="160"/>
      <c r="B10" s="156">
        <f>+'Bal AL FeT'!J27</f>
        <v>67346.029609999998</v>
      </c>
      <c r="C10" s="158"/>
      <c r="D10" s="158"/>
      <c r="E10" s="158"/>
      <c r="F10" s="158"/>
      <c r="G10" s="158"/>
      <c r="H10" s="158"/>
      <c r="I10" s="158"/>
      <c r="J10" s="157">
        <f>+'Bal AL FeT'!K32</f>
        <v>0.60716147348000005</v>
      </c>
      <c r="K10" s="158"/>
      <c r="L10" s="158"/>
    </row>
    <row r="11" spans="1:23" x14ac:dyDescent="0.2">
      <c r="A11" s="160"/>
      <c r="B11" s="157">
        <f>+'Bal AL FeT'!K27</f>
        <v>0.50850269999999997</v>
      </c>
      <c r="C11" s="158"/>
      <c r="D11" s="158"/>
      <c r="E11" s="158"/>
      <c r="J11" s="159">
        <f>+'Bal AL FeT'!L32</f>
        <v>12677.100481616231</v>
      </c>
    </row>
    <row r="12" spans="1:23" x14ac:dyDescent="0.2">
      <c r="A12" s="160"/>
      <c r="B12" s="159">
        <f>+'Bal AL FeT'!L27</f>
        <v>34245.637890964943</v>
      </c>
      <c r="C12" s="158"/>
      <c r="D12" s="158"/>
      <c r="E12" s="158"/>
    </row>
    <row r="13" spans="1:23" ht="16" x14ac:dyDescent="0.2">
      <c r="A13" s="160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N13" s="163" t="s">
        <v>169</v>
      </c>
    </row>
    <row r="14" spans="1:23" ht="19" x14ac:dyDescent="0.2"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N14" s="242" t="s">
        <v>170</v>
      </c>
      <c r="O14" s="191"/>
      <c r="P14" s="238"/>
      <c r="Q14" s="243" t="s">
        <v>171</v>
      </c>
      <c r="R14" s="191"/>
      <c r="S14" s="192"/>
      <c r="T14" s="244" t="s">
        <v>172</v>
      </c>
      <c r="U14" s="191"/>
      <c r="V14" s="191"/>
      <c r="W14" s="192"/>
    </row>
    <row r="15" spans="1:23" x14ac:dyDescent="0.2">
      <c r="C15" s="158"/>
      <c r="D15" s="158"/>
      <c r="E15" s="158"/>
      <c r="F15" s="158"/>
      <c r="G15" s="158"/>
      <c r="H15" s="158"/>
      <c r="I15" s="158"/>
      <c r="J15" s="156">
        <f>+'Bal AL FeT'!J35</f>
        <v>0</v>
      </c>
      <c r="K15" s="158"/>
      <c r="L15" s="158"/>
      <c r="N15" s="236" t="s">
        <v>173</v>
      </c>
      <c r="O15" s="192"/>
      <c r="P15" s="164">
        <f>+B5</f>
        <v>0</v>
      </c>
      <c r="Q15" s="236" t="s">
        <v>174</v>
      </c>
      <c r="R15" s="192"/>
      <c r="S15" s="165">
        <f>+H8</f>
        <v>2856.5269567999999</v>
      </c>
      <c r="T15" s="234" t="s">
        <v>17</v>
      </c>
      <c r="U15" s="191"/>
      <c r="V15" s="192"/>
      <c r="W15" s="165">
        <f>+J5</f>
        <v>0</v>
      </c>
    </row>
    <row r="16" spans="1:23" x14ac:dyDescent="0.2">
      <c r="B16" s="156">
        <f>+'Bal AL FeT'!J28</f>
        <v>10663.005496</v>
      </c>
      <c r="C16" s="158"/>
      <c r="D16" s="158"/>
      <c r="E16" s="158"/>
      <c r="F16" s="158"/>
      <c r="G16" s="158"/>
      <c r="H16" s="158"/>
      <c r="I16" s="158"/>
      <c r="J16" s="157">
        <f>+'Bal AL FeT'!K35</f>
        <v>0</v>
      </c>
      <c r="K16" s="158"/>
      <c r="L16" s="158"/>
      <c r="N16" s="236" t="s">
        <v>175</v>
      </c>
      <c r="O16" s="192"/>
      <c r="P16" s="164">
        <f>+B10</f>
        <v>67346.029609999998</v>
      </c>
      <c r="Q16" s="234" t="s">
        <v>176</v>
      </c>
      <c r="R16" s="192"/>
      <c r="S16" s="165">
        <f>+H19</f>
        <v>252.02359999999999</v>
      </c>
      <c r="T16" s="234" t="s">
        <v>18</v>
      </c>
      <c r="U16" s="191"/>
      <c r="V16" s="192"/>
      <c r="W16" s="165">
        <f>+J9</f>
        <v>20879.29</v>
      </c>
    </row>
    <row r="17" spans="1:23" x14ac:dyDescent="0.2">
      <c r="B17" s="157">
        <f>+'Bal AL FeT'!K28</f>
        <v>0.54221502163000002</v>
      </c>
      <c r="C17" s="158"/>
      <c r="D17" s="158"/>
      <c r="E17" s="158"/>
      <c r="F17" s="156">
        <f>+'Bal AL FeT'!J33</f>
        <v>16482.693599999999</v>
      </c>
      <c r="G17" s="158"/>
      <c r="H17" s="158"/>
      <c r="I17" s="158"/>
      <c r="J17" s="159">
        <f>+'Bal AL FeT'!L35</f>
        <v>0</v>
      </c>
      <c r="K17" s="158"/>
      <c r="L17" s="158"/>
      <c r="N17" s="236" t="s">
        <v>177</v>
      </c>
      <c r="O17" s="192"/>
      <c r="P17" s="164">
        <f>+B16</f>
        <v>10663.005496</v>
      </c>
      <c r="Q17" s="234" t="s">
        <v>178</v>
      </c>
      <c r="R17" s="192"/>
      <c r="S17" s="165">
        <f>+G29</f>
        <v>-466.27543380999998</v>
      </c>
      <c r="T17" s="234" t="s">
        <v>21</v>
      </c>
      <c r="U17" s="191"/>
      <c r="V17" s="192"/>
      <c r="W17" s="165">
        <f>+J15</f>
        <v>0</v>
      </c>
    </row>
    <row r="18" spans="1:23" x14ac:dyDescent="0.2">
      <c r="A18" s="160"/>
      <c r="B18" s="159">
        <f>+'Bal AL FeT'!L28</f>
        <v>5781.6417556544493</v>
      </c>
      <c r="C18" s="158"/>
      <c r="D18" s="158"/>
      <c r="E18" s="158"/>
      <c r="F18" s="157">
        <f>+'Bal AL FeT'!K33</f>
        <v>0.60817756000000001</v>
      </c>
      <c r="H18" s="158"/>
      <c r="I18" s="158"/>
      <c r="J18" s="158"/>
      <c r="K18" s="158"/>
      <c r="L18" s="158"/>
      <c r="N18" s="234"/>
      <c r="O18" s="192"/>
      <c r="P18" s="164"/>
      <c r="Q18" s="234" t="s">
        <v>156</v>
      </c>
      <c r="R18" s="192"/>
      <c r="S18" s="165">
        <f>+G39</f>
        <v>6684.3299832000002</v>
      </c>
      <c r="T18" s="234" t="s">
        <v>22</v>
      </c>
      <c r="U18" s="191"/>
      <c r="V18" s="192"/>
      <c r="W18" s="165">
        <f>+J19</f>
        <v>16230.67</v>
      </c>
    </row>
    <row r="19" spans="1:23" x14ac:dyDescent="0.2">
      <c r="A19" s="160"/>
      <c r="B19" s="158"/>
      <c r="C19" s="158"/>
      <c r="D19" s="158"/>
      <c r="E19" s="158"/>
      <c r="F19" s="159">
        <f>+'Bal AL FeT'!L33</f>
        <v>10024.404375875616</v>
      </c>
      <c r="H19" s="161">
        <f>+'Bal AL FeT'!J34</f>
        <v>252.02359999999999</v>
      </c>
      <c r="I19" s="158"/>
      <c r="J19" s="156">
        <f>+'Bal AL FeT'!J36</f>
        <v>16230.67</v>
      </c>
      <c r="K19" s="158"/>
      <c r="L19" s="158"/>
      <c r="N19" s="166"/>
      <c r="O19" s="167"/>
      <c r="P19" s="164"/>
      <c r="Q19" s="234"/>
      <c r="R19" s="192"/>
      <c r="S19" s="165"/>
      <c r="T19" s="234" t="s">
        <v>179</v>
      </c>
      <c r="U19" s="191"/>
      <c r="V19" s="192"/>
      <c r="W19" s="165">
        <f>+H28</f>
        <v>4696</v>
      </c>
    </row>
    <row r="20" spans="1:23" x14ac:dyDescent="0.2">
      <c r="A20" s="160"/>
      <c r="B20" s="158"/>
      <c r="H20" s="162">
        <f>+'Bal AL FeT'!L34</f>
        <v>151.39532651211888</v>
      </c>
      <c r="I20" s="158"/>
      <c r="J20" s="157">
        <f>+'Bal AL FeT'!K36</f>
        <v>0.60829337602</v>
      </c>
      <c r="K20" s="158"/>
      <c r="L20" s="158"/>
      <c r="N20" s="166"/>
      <c r="O20" s="167"/>
      <c r="P20" s="164"/>
      <c r="Q20" s="234"/>
      <c r="R20" s="192"/>
      <c r="S20" s="165"/>
      <c r="T20" s="234" t="s">
        <v>28</v>
      </c>
      <c r="U20" s="191"/>
      <c r="V20" s="192"/>
      <c r="W20" s="165">
        <f>+H38</f>
        <v>26876.47</v>
      </c>
    </row>
    <row r="21" spans="1:23" ht="15.75" customHeight="1" x14ac:dyDescent="0.2">
      <c r="F21" s="158"/>
      <c r="G21" s="158"/>
      <c r="H21" s="158"/>
      <c r="I21" s="158"/>
      <c r="J21" s="159">
        <f>+'Bal AL FeT'!L36</f>
        <v>9873.0090493665339</v>
      </c>
      <c r="K21" s="158"/>
      <c r="L21" s="158"/>
      <c r="N21" s="235" t="s">
        <v>180</v>
      </c>
      <c r="O21" s="192"/>
      <c r="P21" s="168">
        <f>+SUM(P15:P20)</f>
        <v>78009.035105999996</v>
      </c>
      <c r="Q21" s="239" t="s">
        <v>181</v>
      </c>
      <c r="R21" s="192"/>
      <c r="S21" s="169">
        <f>+SUM(S15:S20)</f>
        <v>9326.6051061899998</v>
      </c>
      <c r="T21" s="239"/>
      <c r="U21" s="191"/>
      <c r="V21" s="192"/>
      <c r="W21" s="168">
        <f>+SUM(W15:W20)</f>
        <v>68682.429999999993</v>
      </c>
    </row>
    <row r="22" spans="1:23" ht="15.75" customHeight="1" x14ac:dyDescent="0.2">
      <c r="L22" s="158"/>
    </row>
    <row r="23" spans="1:23" ht="15.75" customHeight="1" x14ac:dyDescent="0.2"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S23" s="170" t="s">
        <v>182</v>
      </c>
      <c r="T23" s="171"/>
      <c r="U23" s="172"/>
      <c r="V23" s="171"/>
      <c r="W23" s="173">
        <f>+P21-S21-W21</f>
        <v>-1.8998980522155762E-7</v>
      </c>
    </row>
    <row r="24" spans="1:23" ht="15.75" customHeight="1" x14ac:dyDescent="0.2">
      <c r="C24" s="158"/>
      <c r="D24" s="158"/>
      <c r="E24" s="158"/>
      <c r="F24" s="158"/>
      <c r="G24" s="158"/>
      <c r="H24" s="158"/>
      <c r="I24" s="158"/>
      <c r="J24" s="158"/>
      <c r="K24" s="158"/>
      <c r="L24" s="158"/>
    </row>
    <row r="25" spans="1:23" ht="15.75" customHeight="1" x14ac:dyDescent="0.2">
      <c r="A25" s="160"/>
      <c r="B25" s="158"/>
      <c r="C25" s="158"/>
      <c r="D25" s="158"/>
      <c r="K25" s="158"/>
      <c r="L25" s="158"/>
    </row>
    <row r="26" spans="1:23" ht="15.75" customHeight="1" x14ac:dyDescent="0.2">
      <c r="A26" s="160"/>
      <c r="B26" s="158"/>
      <c r="C26" s="158"/>
      <c r="D26" s="158"/>
      <c r="K26" s="158"/>
      <c r="L26" s="158"/>
      <c r="N26" s="163" t="s">
        <v>183</v>
      </c>
    </row>
    <row r="27" spans="1:23" ht="15.75" customHeight="1" x14ac:dyDescent="0.2">
      <c r="A27" s="160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N27" s="237" t="s">
        <v>170</v>
      </c>
      <c r="O27" s="191"/>
      <c r="P27" s="238"/>
      <c r="Q27" s="241" t="s">
        <v>171</v>
      </c>
      <c r="R27" s="191"/>
      <c r="S27" s="192"/>
      <c r="T27" s="240" t="s">
        <v>172</v>
      </c>
      <c r="U27" s="191"/>
      <c r="V27" s="191"/>
      <c r="W27" s="192"/>
    </row>
    <row r="28" spans="1:23" ht="15.75" customHeight="1" x14ac:dyDescent="0.2">
      <c r="A28" s="160"/>
      <c r="B28" s="158"/>
      <c r="C28" s="158"/>
      <c r="D28" s="158"/>
      <c r="E28" s="156">
        <f>+'Bal AL FeT'!J37</f>
        <v>4229.7245661999996</v>
      </c>
      <c r="F28" s="158"/>
      <c r="G28" s="158"/>
      <c r="H28" s="156">
        <f>+'Bal AL FeT'!J39</f>
        <v>4696</v>
      </c>
      <c r="I28" s="158"/>
      <c r="J28" s="158"/>
      <c r="K28" s="158"/>
      <c r="L28" s="158"/>
      <c r="N28" s="236" t="s">
        <v>173</v>
      </c>
      <c r="O28" s="192"/>
      <c r="P28" s="164">
        <f>+B7</f>
        <v>0</v>
      </c>
      <c r="Q28" s="236" t="s">
        <v>174</v>
      </c>
      <c r="R28" s="192"/>
      <c r="S28" s="165">
        <f>+H9</f>
        <v>1740.1074764457201</v>
      </c>
      <c r="T28" s="234" t="s">
        <v>17</v>
      </c>
      <c r="U28" s="191"/>
      <c r="V28" s="192"/>
      <c r="W28" s="165">
        <f>+J7</f>
        <v>0</v>
      </c>
    </row>
    <row r="29" spans="1:23" ht="15.75" customHeight="1" x14ac:dyDescent="0.2">
      <c r="A29" s="158"/>
      <c r="B29" s="158"/>
      <c r="C29" s="158"/>
      <c r="D29" s="158"/>
      <c r="E29" s="157">
        <f>+'Bal AL FeT'!K37</f>
        <v>0.35880705339999996</v>
      </c>
      <c r="F29" s="158"/>
      <c r="G29" s="161">
        <f>+'Bal AL FeT'!J38</f>
        <v>-466.27543380999998</v>
      </c>
      <c r="H29" s="157">
        <f>+'Bal AL FeT'!K39</f>
        <v>0.35869941890000001</v>
      </c>
      <c r="I29" s="158"/>
      <c r="J29" s="158"/>
      <c r="K29" s="158"/>
      <c r="L29" s="158"/>
      <c r="N29" s="236" t="s">
        <v>175</v>
      </c>
      <c r="O29" s="192"/>
      <c r="P29" s="164">
        <f>+B12</f>
        <v>34245.637890964943</v>
      </c>
      <c r="Q29" s="234" t="s">
        <v>176</v>
      </c>
      <c r="R29" s="192"/>
      <c r="S29" s="165">
        <f>+H20</f>
        <v>151.39532651211888</v>
      </c>
      <c r="T29" s="234" t="s">
        <v>18</v>
      </c>
      <c r="U29" s="191"/>
      <c r="V29" s="192"/>
      <c r="W29" s="165">
        <f>+J11</f>
        <v>12677.100481616231</v>
      </c>
    </row>
    <row r="30" spans="1:23" ht="15.75" customHeight="1" x14ac:dyDescent="0.2">
      <c r="A30" s="158"/>
      <c r="C30" s="158"/>
      <c r="D30" s="158"/>
      <c r="E30" s="159">
        <f>+'Bal AL FeT'!L37</f>
        <v>1517.655008291815</v>
      </c>
      <c r="F30" s="158"/>
      <c r="G30" s="162">
        <f>+'Bal AL FeT'!L38</f>
        <v>-166.79746285751662</v>
      </c>
      <c r="H30" s="159">
        <f>+'Bal AL FeT'!L39</f>
        <v>1684.4524711544</v>
      </c>
      <c r="I30" s="158"/>
      <c r="J30" s="158"/>
      <c r="K30" s="158"/>
      <c r="L30" s="158"/>
      <c r="N30" s="236" t="s">
        <v>177</v>
      </c>
      <c r="O30" s="192"/>
      <c r="P30" s="164">
        <f>+B18</f>
        <v>5781.6417556544493</v>
      </c>
      <c r="Q30" s="234" t="s">
        <v>178</v>
      </c>
      <c r="R30" s="192"/>
      <c r="S30" s="165">
        <f>+G30</f>
        <v>-166.79746285751662</v>
      </c>
      <c r="T30" s="234" t="s">
        <v>21</v>
      </c>
      <c r="U30" s="191"/>
      <c r="V30" s="192"/>
      <c r="W30" s="165">
        <f>+J17</f>
        <v>0</v>
      </c>
    </row>
    <row r="31" spans="1:23" ht="15.75" customHeight="1" x14ac:dyDescent="0.2">
      <c r="A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N31" s="234"/>
      <c r="O31" s="192"/>
      <c r="P31" s="164"/>
      <c r="Q31" s="234" t="s">
        <v>156</v>
      </c>
      <c r="R31" s="192"/>
      <c r="S31" s="165">
        <f>+G40</f>
        <v>2766.1598175203485</v>
      </c>
      <c r="T31" s="234" t="s">
        <v>22</v>
      </c>
      <c r="U31" s="191"/>
      <c r="V31" s="192"/>
      <c r="W31" s="165">
        <f>+J21</f>
        <v>9873.0090493665339</v>
      </c>
    </row>
    <row r="32" spans="1:23" ht="15.75" customHeight="1" x14ac:dyDescent="0.2">
      <c r="A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N32" s="166"/>
      <c r="O32" s="167"/>
      <c r="P32" s="164"/>
      <c r="Q32" s="234"/>
      <c r="R32" s="192"/>
      <c r="S32" s="165"/>
      <c r="T32" s="234" t="s">
        <v>179</v>
      </c>
      <c r="U32" s="191"/>
      <c r="V32" s="192"/>
      <c r="W32" s="165">
        <f>+H30</f>
        <v>1684.4524711544</v>
      </c>
    </row>
    <row r="33" spans="1:23" ht="15.75" customHeight="1" x14ac:dyDescent="0.2">
      <c r="A33" s="158"/>
      <c r="C33" s="158"/>
      <c r="D33" s="158"/>
      <c r="J33" s="158"/>
      <c r="K33" s="158"/>
      <c r="L33" s="158"/>
      <c r="N33" s="166"/>
      <c r="O33" s="167"/>
      <c r="P33" s="164"/>
      <c r="Q33" s="234"/>
      <c r="R33" s="192"/>
      <c r="S33" s="165"/>
      <c r="T33" s="234" t="s">
        <v>28</v>
      </c>
      <c r="U33" s="191"/>
      <c r="V33" s="192"/>
      <c r="W33" s="165">
        <f>+H40</f>
        <v>11301.852486954973</v>
      </c>
    </row>
    <row r="34" spans="1:23" ht="15.75" customHeight="1" x14ac:dyDescent="0.2">
      <c r="A34" s="158"/>
      <c r="C34" s="158"/>
      <c r="D34" s="158"/>
      <c r="J34" s="158"/>
      <c r="K34" s="158"/>
      <c r="L34" s="158"/>
      <c r="N34" s="235" t="s">
        <v>180</v>
      </c>
      <c r="O34" s="192"/>
      <c r="P34" s="168">
        <f>+SUM(P28:P33)</f>
        <v>40027.27964661939</v>
      </c>
      <c r="Q34" s="239" t="s">
        <v>181</v>
      </c>
      <c r="R34" s="192"/>
      <c r="S34" s="169">
        <f>+SUM(S28:S33)</f>
        <v>4490.8651576206703</v>
      </c>
      <c r="T34" s="239"/>
      <c r="U34" s="191"/>
      <c r="V34" s="192"/>
      <c r="W34" s="168">
        <f>+SUM(W28:W33)</f>
        <v>35536.414489092138</v>
      </c>
    </row>
    <row r="35" spans="1:23" ht="15.75" customHeight="1" x14ac:dyDescent="0.2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</row>
    <row r="36" spans="1:23" ht="15.75" customHeight="1" x14ac:dyDescent="0.2">
      <c r="E36" s="158"/>
      <c r="F36" s="158"/>
      <c r="G36" s="158"/>
      <c r="I36" s="158"/>
      <c r="S36" s="170" t="s">
        <v>182</v>
      </c>
      <c r="T36" s="171"/>
      <c r="U36" s="172"/>
      <c r="V36" s="171"/>
      <c r="W36" s="173">
        <f>+P34-S34-W34</f>
        <v>-9.3416019808501005E-8</v>
      </c>
    </row>
    <row r="37" spans="1:23" ht="15.75" customHeight="1" x14ac:dyDescent="0.2">
      <c r="E37" s="158"/>
      <c r="F37" s="158"/>
      <c r="G37" s="158"/>
      <c r="H37" s="158"/>
      <c r="I37" s="158"/>
    </row>
    <row r="38" spans="1:23" ht="15.75" customHeight="1" x14ac:dyDescent="0.2">
      <c r="E38" s="156">
        <f>+'Bal AL FeT'!J40</f>
        <v>33560.799982999997</v>
      </c>
      <c r="F38" s="158"/>
      <c r="G38" s="158"/>
      <c r="H38" s="156">
        <f>+'Bal AL FeT'!J42</f>
        <v>26876.47</v>
      </c>
      <c r="I38" s="158"/>
    </row>
    <row r="39" spans="1:23" ht="15.75" customHeight="1" x14ac:dyDescent="0.2">
      <c r="E39" s="157">
        <f>+'Bal AL FeT'!K40</f>
        <v>0.41917988581000004</v>
      </c>
      <c r="F39" s="158"/>
      <c r="G39" s="161">
        <f>+'Bal AL FeT'!J41</f>
        <v>6684.3299832000002</v>
      </c>
      <c r="H39" s="157">
        <f>+'Bal AL FeT'!K42</f>
        <v>0.42051104504999998</v>
      </c>
      <c r="I39" s="158"/>
    </row>
    <row r="40" spans="1:23" ht="15.75" customHeight="1" x14ac:dyDescent="0.2">
      <c r="E40" s="159">
        <f>+'Bal AL FeT'!L40</f>
        <v>14068.012304566189</v>
      </c>
      <c r="F40" s="158"/>
      <c r="G40" s="162">
        <f>+'Bal AL FeT'!L41</f>
        <v>2766.1598175203485</v>
      </c>
      <c r="H40" s="159">
        <f>+'Bal AL FeT'!L42</f>
        <v>11301.852486954973</v>
      </c>
      <c r="I40" s="158"/>
      <c r="M40" s="174"/>
      <c r="N40" s="175" t="s">
        <v>184</v>
      </c>
      <c r="O40" s="175" t="s">
        <v>185</v>
      </c>
      <c r="P40" s="175" t="str">
        <f>+'Calc Nodos'!J3</f>
        <v>Cub final Balanceada</v>
      </c>
    </row>
    <row r="41" spans="1:23" ht="15.75" customHeight="1" x14ac:dyDescent="0.2">
      <c r="E41" s="158"/>
      <c r="F41" s="158"/>
      <c r="G41" s="158"/>
      <c r="H41" s="158"/>
      <c r="I41" s="158"/>
      <c r="M41" s="37" t="str">
        <f>+'Calc Nodos'!C4</f>
        <v>stock Granzas</v>
      </c>
      <c r="N41" s="55">
        <f>+'Calc Nodos'!F4</f>
        <v>2867</v>
      </c>
      <c r="O41" s="55">
        <f t="shared" ref="O41:O44" si="0">+S15</f>
        <v>2856.5269567999999</v>
      </c>
      <c r="P41" s="55">
        <f>+'Calc Nodos'!J4</f>
        <v>2856.5269567999999</v>
      </c>
    </row>
    <row r="42" spans="1:23" ht="15.75" customHeight="1" x14ac:dyDescent="0.2">
      <c r="M42" s="37" t="str">
        <f>+'Calc Nodos'!C5</f>
        <v>Stock Finos</v>
      </c>
      <c r="N42" s="55">
        <f>+'Calc Nodos'!F5</f>
        <v>212</v>
      </c>
      <c r="O42" s="55">
        <f t="shared" si="0"/>
        <v>252.02359999999999</v>
      </c>
      <c r="P42" s="55">
        <f>+'Calc Nodos'!J5</f>
        <v>478.02359999999999</v>
      </c>
    </row>
    <row r="43" spans="1:23" ht="15.75" customHeight="1" x14ac:dyDescent="0.2">
      <c r="M43" s="37" t="str">
        <f>+'Calc Nodos'!C6</f>
        <v>Stock Mixto 1</v>
      </c>
      <c r="N43" s="55">
        <f>+'Calc Nodos'!F6</f>
        <v>-478</v>
      </c>
      <c r="O43" s="55">
        <f t="shared" si="0"/>
        <v>-466.27543380999998</v>
      </c>
      <c r="P43" s="55">
        <f>+'Calc Nodos'!J6</f>
        <v>1089.7245661900001</v>
      </c>
    </row>
    <row r="44" spans="1:23" ht="15.75" customHeight="1" x14ac:dyDescent="0.2">
      <c r="M44" s="37" t="str">
        <f>+'Calc Nodos'!C7</f>
        <v>Stock Mixto 2</v>
      </c>
      <c r="N44" s="55">
        <f>+'Calc Nodos'!F7</f>
        <v>528</v>
      </c>
      <c r="O44" s="55">
        <f t="shared" si="0"/>
        <v>6684.3299832000002</v>
      </c>
      <c r="P44" s="55">
        <f>+'Calc Nodos'!J7</f>
        <v>7066.3299832000002</v>
      </c>
    </row>
    <row r="45" spans="1:23" ht="15.75" customHeight="1" x14ac:dyDescent="0.2">
      <c r="M45" s="37"/>
      <c r="N45" s="37"/>
    </row>
    <row r="46" spans="1:23" ht="15.75" customHeight="1" x14ac:dyDescent="0.2">
      <c r="M46" s="37"/>
      <c r="N46" s="37"/>
    </row>
    <row r="47" spans="1:23" ht="15.75" customHeight="1" x14ac:dyDescent="0.2">
      <c r="M47" s="37"/>
      <c r="N47" s="37"/>
    </row>
    <row r="48" spans="1:23" ht="15.75" customHeight="1" x14ac:dyDescent="0.2">
      <c r="M48" s="37"/>
      <c r="N48" s="37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4">
    <mergeCell ref="N14:P14"/>
    <mergeCell ref="Q14:S14"/>
    <mergeCell ref="T14:W14"/>
    <mergeCell ref="N15:O15"/>
    <mergeCell ref="Q15:R15"/>
    <mergeCell ref="N16:O16"/>
    <mergeCell ref="T17:V17"/>
    <mergeCell ref="Q28:R28"/>
    <mergeCell ref="Q29:R29"/>
    <mergeCell ref="Q30:R30"/>
    <mergeCell ref="T28:V28"/>
    <mergeCell ref="T29:V29"/>
    <mergeCell ref="T30:V30"/>
    <mergeCell ref="Q31:R31"/>
    <mergeCell ref="Q32:R32"/>
    <mergeCell ref="Q33:R33"/>
    <mergeCell ref="Q34:R34"/>
    <mergeCell ref="Q16:R16"/>
    <mergeCell ref="Q17:R17"/>
    <mergeCell ref="Q18:R18"/>
    <mergeCell ref="Q19:R19"/>
    <mergeCell ref="Q20:R20"/>
    <mergeCell ref="Q21:R21"/>
    <mergeCell ref="Q27:S27"/>
    <mergeCell ref="T31:V31"/>
    <mergeCell ref="T32:V32"/>
    <mergeCell ref="T33:V33"/>
    <mergeCell ref="T34:V34"/>
    <mergeCell ref="T15:V15"/>
    <mergeCell ref="T16:V16"/>
    <mergeCell ref="T18:V18"/>
    <mergeCell ref="T19:V19"/>
    <mergeCell ref="T20:V20"/>
    <mergeCell ref="T21:V21"/>
    <mergeCell ref="T27:W27"/>
    <mergeCell ref="N31:O31"/>
    <mergeCell ref="N34:O34"/>
    <mergeCell ref="N17:O17"/>
    <mergeCell ref="N18:O18"/>
    <mergeCell ref="N21:O21"/>
    <mergeCell ref="N27:P27"/>
    <mergeCell ref="N28:O28"/>
    <mergeCell ref="N29:O29"/>
    <mergeCell ref="N30:O30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182</vt:i4>
      </vt:variant>
    </vt:vector>
  </HeadingPairs>
  <TitlesOfParts>
    <vt:vector size="194" baseType="lpstr">
      <vt:lpstr>Flujos</vt:lpstr>
      <vt:lpstr>Reporte </vt:lpstr>
      <vt:lpstr>Datos Extra</vt:lpstr>
      <vt:lpstr>Utilidad</vt:lpstr>
      <vt:lpstr>Info Planta</vt:lpstr>
      <vt:lpstr>Calc Nodos</vt:lpstr>
      <vt:lpstr>Bal AL FeT</vt:lpstr>
      <vt:lpstr>Bal AL FeMag</vt:lpstr>
      <vt:lpstr>Diag Bal AL FeT</vt:lpstr>
      <vt:lpstr>Diag ML FeT</vt:lpstr>
      <vt:lpstr>Bal ML FeT</vt:lpstr>
      <vt:lpstr>Bal ML FeMag</vt:lpstr>
      <vt:lpstr>'Bal AL FeMag'!solver_adj</vt:lpstr>
      <vt:lpstr>'Bal AL FeT'!solver_adj</vt:lpstr>
      <vt:lpstr>'Bal ML FeMag'!solver_adj</vt:lpstr>
      <vt:lpstr>'Bal ML FeT'!solver_adj</vt:lpstr>
      <vt:lpstr>'Bal AL FeMag'!solver_lhs1</vt:lpstr>
      <vt:lpstr>'Bal AL FeT'!solver_lhs1</vt:lpstr>
      <vt:lpstr>'Bal ML FeMag'!solver_lhs1</vt:lpstr>
      <vt:lpstr>'Bal ML FeT'!solver_lhs1</vt:lpstr>
      <vt:lpstr>'Bal AL FeMag'!solver_lhs10</vt:lpstr>
      <vt:lpstr>'Bal AL FeT'!solver_lhs10</vt:lpstr>
      <vt:lpstr>'Bal ML FeMag'!solver_lhs10</vt:lpstr>
      <vt:lpstr>'Bal ML FeT'!solver_lhs10</vt:lpstr>
      <vt:lpstr>'Bal AL FeMag'!solver_lhs11</vt:lpstr>
      <vt:lpstr>'Bal AL FeT'!solver_lhs11</vt:lpstr>
      <vt:lpstr>'Bal ML FeMag'!solver_lhs11</vt:lpstr>
      <vt:lpstr>'Bal ML FeT'!solver_lhs11</vt:lpstr>
      <vt:lpstr>'Bal AL FeMag'!solver_lhs12</vt:lpstr>
      <vt:lpstr>'Bal AL FeT'!solver_lhs12</vt:lpstr>
      <vt:lpstr>'Bal ML FeMag'!solver_lhs12</vt:lpstr>
      <vt:lpstr>'Bal ML FeT'!solver_lhs12</vt:lpstr>
      <vt:lpstr>'Bal AL FeMag'!solver_lhs13</vt:lpstr>
      <vt:lpstr>'Bal AL FeT'!solver_lhs13</vt:lpstr>
      <vt:lpstr>'Bal ML FeMag'!solver_lhs13</vt:lpstr>
      <vt:lpstr>'Bal ML FeT'!solver_lhs13</vt:lpstr>
      <vt:lpstr>'Bal AL FeMag'!solver_lhs14</vt:lpstr>
      <vt:lpstr>'Bal AL FeT'!solver_lhs14</vt:lpstr>
      <vt:lpstr>'Bal ML FeMag'!solver_lhs14</vt:lpstr>
      <vt:lpstr>'Bal ML FeT'!solver_lhs14</vt:lpstr>
      <vt:lpstr>'Bal AL FeMag'!solver_lhs15</vt:lpstr>
      <vt:lpstr>'Bal AL FeT'!solver_lhs15</vt:lpstr>
      <vt:lpstr>'Bal ML FeMag'!solver_lhs15</vt:lpstr>
      <vt:lpstr>'Bal ML FeT'!solver_lhs15</vt:lpstr>
      <vt:lpstr>'Bal AL FeMag'!solver_lhs16</vt:lpstr>
      <vt:lpstr>'Bal AL FeT'!solver_lhs16</vt:lpstr>
      <vt:lpstr>'Bal ML FeMag'!solver_lhs16</vt:lpstr>
      <vt:lpstr>'Bal ML FeT'!solver_lhs16</vt:lpstr>
      <vt:lpstr>'Bal AL FeMag'!solver_lhs17</vt:lpstr>
      <vt:lpstr>'Bal AL FeT'!solver_lhs17</vt:lpstr>
      <vt:lpstr>'Bal ML FeMag'!solver_lhs17</vt:lpstr>
      <vt:lpstr>'Bal ML FeT'!solver_lhs17</vt:lpstr>
      <vt:lpstr>'Bal AL FeMag'!solver_lhs18</vt:lpstr>
      <vt:lpstr>'Bal AL FeT'!solver_lhs18</vt:lpstr>
      <vt:lpstr>'Bal ML FeT'!solver_lhs18</vt:lpstr>
      <vt:lpstr>'Bal AL FeMag'!solver_lhs19</vt:lpstr>
      <vt:lpstr>'Bal AL FeT'!solver_lhs19</vt:lpstr>
      <vt:lpstr>'Bal ML FeT'!solver_lhs19</vt:lpstr>
      <vt:lpstr>'Bal AL FeMag'!solver_lhs2</vt:lpstr>
      <vt:lpstr>'Bal AL FeT'!solver_lhs2</vt:lpstr>
      <vt:lpstr>'Bal ML FeMag'!solver_lhs2</vt:lpstr>
      <vt:lpstr>'Bal ML FeT'!solver_lhs2</vt:lpstr>
      <vt:lpstr>'Bal AL FeMag'!solver_lhs20</vt:lpstr>
      <vt:lpstr>'Bal AL FeT'!solver_lhs20</vt:lpstr>
      <vt:lpstr>'Bal ML FeT'!solver_lhs20</vt:lpstr>
      <vt:lpstr>'Bal AL FeMag'!solver_lhs21</vt:lpstr>
      <vt:lpstr>'Bal AL FeT'!solver_lhs21</vt:lpstr>
      <vt:lpstr>'Bal ML FeT'!solver_lhs21</vt:lpstr>
      <vt:lpstr>'Bal AL FeMag'!solver_lhs22</vt:lpstr>
      <vt:lpstr>'Bal AL FeT'!solver_lhs22</vt:lpstr>
      <vt:lpstr>'Bal ML FeT'!solver_lhs22</vt:lpstr>
      <vt:lpstr>'Bal AL FeMag'!solver_lhs23</vt:lpstr>
      <vt:lpstr>'Bal AL FeT'!solver_lhs23</vt:lpstr>
      <vt:lpstr>'Bal ML FeT'!solver_lhs23</vt:lpstr>
      <vt:lpstr>'Bal AL FeMag'!solver_lhs24</vt:lpstr>
      <vt:lpstr>'Bal AL FeT'!solver_lhs24</vt:lpstr>
      <vt:lpstr>'Bal ML FeT'!solver_lhs24</vt:lpstr>
      <vt:lpstr>'Bal AL FeMag'!solver_lhs25</vt:lpstr>
      <vt:lpstr>'Bal AL FeT'!solver_lhs25</vt:lpstr>
      <vt:lpstr>'Bal ML FeT'!solver_lhs25</vt:lpstr>
      <vt:lpstr>'Bal AL FeMag'!solver_lhs26</vt:lpstr>
      <vt:lpstr>'Bal AL FeT'!solver_lhs26</vt:lpstr>
      <vt:lpstr>'Bal ML FeT'!solver_lhs26</vt:lpstr>
      <vt:lpstr>'Bal AL FeMag'!solver_lhs27</vt:lpstr>
      <vt:lpstr>'Bal AL FeT'!solver_lhs27</vt:lpstr>
      <vt:lpstr>'Bal AL FeT'!solver_lhs28</vt:lpstr>
      <vt:lpstr>'Bal AL FeT'!solver_lhs29</vt:lpstr>
      <vt:lpstr>'Bal AL FeMag'!solver_lhs3</vt:lpstr>
      <vt:lpstr>'Bal AL FeT'!solver_lhs3</vt:lpstr>
      <vt:lpstr>'Bal ML FeMag'!solver_lhs3</vt:lpstr>
      <vt:lpstr>'Bal ML FeT'!solver_lhs3</vt:lpstr>
      <vt:lpstr>'Bal AL FeT'!solver_lhs30</vt:lpstr>
      <vt:lpstr>'Bal AL FeT'!solver_lhs31</vt:lpstr>
      <vt:lpstr>'Bal AL FeT'!solver_lhs32</vt:lpstr>
      <vt:lpstr>'Bal AL FeT'!solver_lhs33</vt:lpstr>
      <vt:lpstr>'Bal AL FeT'!solver_lhs34</vt:lpstr>
      <vt:lpstr>'Bal AL FeT'!solver_lhs35</vt:lpstr>
      <vt:lpstr>'Bal AL FeMag'!solver_lhs4</vt:lpstr>
      <vt:lpstr>'Bal AL FeT'!solver_lhs4</vt:lpstr>
      <vt:lpstr>'Bal ML FeMag'!solver_lhs4</vt:lpstr>
      <vt:lpstr>'Bal ML FeT'!solver_lhs4</vt:lpstr>
      <vt:lpstr>'Bal AL FeMag'!solver_lhs5</vt:lpstr>
      <vt:lpstr>'Bal AL FeT'!solver_lhs5</vt:lpstr>
      <vt:lpstr>'Bal ML FeMag'!solver_lhs5</vt:lpstr>
      <vt:lpstr>'Bal ML FeT'!solver_lhs5</vt:lpstr>
      <vt:lpstr>'Bal AL FeMag'!solver_lhs6</vt:lpstr>
      <vt:lpstr>'Bal AL FeT'!solver_lhs6</vt:lpstr>
      <vt:lpstr>'Bal ML FeMag'!solver_lhs6</vt:lpstr>
      <vt:lpstr>'Bal ML FeT'!solver_lhs6</vt:lpstr>
      <vt:lpstr>'Bal AL FeMag'!solver_lhs7</vt:lpstr>
      <vt:lpstr>'Bal AL FeT'!solver_lhs7</vt:lpstr>
      <vt:lpstr>'Bal ML FeMag'!solver_lhs7</vt:lpstr>
      <vt:lpstr>'Bal ML FeT'!solver_lhs7</vt:lpstr>
      <vt:lpstr>'Bal AL FeMag'!solver_lhs8</vt:lpstr>
      <vt:lpstr>'Bal AL FeT'!solver_lhs8</vt:lpstr>
      <vt:lpstr>'Bal ML FeMag'!solver_lhs8</vt:lpstr>
      <vt:lpstr>'Bal ML FeT'!solver_lhs8</vt:lpstr>
      <vt:lpstr>'Bal AL FeMag'!solver_lhs9</vt:lpstr>
      <vt:lpstr>'Bal AL FeT'!solver_lhs9</vt:lpstr>
      <vt:lpstr>'Bal ML FeMag'!solver_lhs9</vt:lpstr>
      <vt:lpstr>'Bal ML FeT'!solver_lhs9</vt:lpstr>
      <vt:lpstr>'Bal AL FeMag'!solver_opt</vt:lpstr>
      <vt:lpstr>'Bal AL FeT'!solver_opt</vt:lpstr>
      <vt:lpstr>'Bal ML FeMag'!solver_opt</vt:lpstr>
      <vt:lpstr>'Bal ML FeT'!solver_opt</vt:lpstr>
      <vt:lpstr>'Bal AL FeMag'!solver_rhs1</vt:lpstr>
      <vt:lpstr>'Bal AL FeT'!solver_rhs1</vt:lpstr>
      <vt:lpstr>'Bal ML FeMag'!solver_rhs1</vt:lpstr>
      <vt:lpstr>'Bal AL FeMag'!solver_rhs10</vt:lpstr>
      <vt:lpstr>'Bal ML FeT'!solver_rhs10</vt:lpstr>
      <vt:lpstr>'Bal AL FeMag'!solver_rhs11</vt:lpstr>
      <vt:lpstr>'Bal AL FeMag'!solver_rhs12</vt:lpstr>
      <vt:lpstr>'Bal AL FeMag'!solver_rhs13</vt:lpstr>
      <vt:lpstr>'Bal ML FeT'!solver_rhs13</vt:lpstr>
      <vt:lpstr>'Bal AL FeMag'!solver_rhs14</vt:lpstr>
      <vt:lpstr>'Bal ML FeT'!solver_rhs14</vt:lpstr>
      <vt:lpstr>'Bal AL FeT'!solver_rhs15</vt:lpstr>
      <vt:lpstr>'Bal ML FeMag'!solver_rhs15</vt:lpstr>
      <vt:lpstr>'Bal ML FeT'!solver_rhs15</vt:lpstr>
      <vt:lpstr>'Bal AL FeT'!solver_rhs16</vt:lpstr>
      <vt:lpstr>'Bal ML FeMag'!solver_rhs16</vt:lpstr>
      <vt:lpstr>'Bal ML FeT'!solver_rhs16</vt:lpstr>
      <vt:lpstr>'Bal AL FeMag'!solver_rhs17</vt:lpstr>
      <vt:lpstr>'Bal ML FeMag'!solver_rhs17</vt:lpstr>
      <vt:lpstr>'Bal ML FeT'!solver_rhs17</vt:lpstr>
      <vt:lpstr>'Bal ML FeT'!solver_rhs18</vt:lpstr>
      <vt:lpstr>'Bal ML FeT'!solver_rhs19</vt:lpstr>
      <vt:lpstr>'Bal AL FeMag'!solver_rhs2</vt:lpstr>
      <vt:lpstr>'Bal AL FeT'!solver_rhs2</vt:lpstr>
      <vt:lpstr>'Bal ML FeMag'!solver_rhs2</vt:lpstr>
      <vt:lpstr>'Bal AL FeMag'!solver_rhs20</vt:lpstr>
      <vt:lpstr>'Bal ML FeT'!solver_rhs20</vt:lpstr>
      <vt:lpstr>'Bal AL FeMag'!solver_rhs21</vt:lpstr>
      <vt:lpstr>'Bal AL FeT'!solver_rhs21</vt:lpstr>
      <vt:lpstr>'Bal ML FeT'!solver_rhs21</vt:lpstr>
      <vt:lpstr>'Bal AL FeT'!solver_rhs22</vt:lpstr>
      <vt:lpstr>'Bal ML FeT'!solver_rhs22</vt:lpstr>
      <vt:lpstr>'Bal AL FeT'!solver_rhs23</vt:lpstr>
      <vt:lpstr>'Bal ML FeT'!solver_rhs23</vt:lpstr>
      <vt:lpstr>'Bal AL FeT'!solver_rhs24</vt:lpstr>
      <vt:lpstr>'Bal ML FeT'!solver_rhs24</vt:lpstr>
      <vt:lpstr>'Bal AL FeT'!solver_rhs25</vt:lpstr>
      <vt:lpstr>'Bal ML FeT'!solver_rhs25</vt:lpstr>
      <vt:lpstr>'Bal AL FeT'!solver_rhs26</vt:lpstr>
      <vt:lpstr>'Bal ML FeT'!solver_rhs26</vt:lpstr>
      <vt:lpstr>'Bal AL FeT'!solver_rhs27</vt:lpstr>
      <vt:lpstr>'Bal AL FeT'!solver_rhs28</vt:lpstr>
      <vt:lpstr>'Bal AL FeT'!solver_rhs29</vt:lpstr>
      <vt:lpstr>'Bal AL FeMag'!solver_rhs3</vt:lpstr>
      <vt:lpstr>'Bal AL FeT'!solver_rhs3</vt:lpstr>
      <vt:lpstr>'Bal ML FeMag'!solver_rhs3</vt:lpstr>
      <vt:lpstr>'Bal AL FeT'!solver_rhs30</vt:lpstr>
      <vt:lpstr>'Bal AL FeT'!solver_rhs31</vt:lpstr>
      <vt:lpstr>'Bal AL FeT'!solver_rhs32</vt:lpstr>
      <vt:lpstr>'Bal AL FeT'!solver_rhs33</vt:lpstr>
      <vt:lpstr>'Bal AL FeT'!solver_rhs34</vt:lpstr>
      <vt:lpstr>'Bal AL FeT'!solver_rhs35</vt:lpstr>
      <vt:lpstr>'Bal AL FeMag'!solver_rhs4</vt:lpstr>
      <vt:lpstr>'Bal AL FeT'!solver_rhs4</vt:lpstr>
      <vt:lpstr>'Bal ML FeMag'!solver_rhs4</vt:lpstr>
      <vt:lpstr>'Bal AL FeMag'!solver_rhs5</vt:lpstr>
      <vt:lpstr>'Bal AL FeT'!solver_rhs5</vt:lpstr>
      <vt:lpstr>'Bal ML FeMag'!solver_rhs5</vt:lpstr>
      <vt:lpstr>'Bal AL FeMag'!solver_rhs6</vt:lpstr>
      <vt:lpstr>'Bal AL FeT'!solver_rhs6</vt:lpstr>
      <vt:lpstr>'Bal ML FeMag'!solver_rhs6</vt:lpstr>
      <vt:lpstr>'Bal ML FeT'!solver_rhs6</vt:lpstr>
      <vt:lpstr>'Bal AL FeMag'!solver_rhs7</vt:lpstr>
      <vt:lpstr>'Bal AL FeT'!solver_rhs7</vt:lpstr>
      <vt:lpstr>'Bal ML FeT'!solver_rhs7</vt:lpstr>
      <vt:lpstr>'Bal AL FeMag'!solver_rhs8</vt:lpstr>
      <vt:lpstr>'Bal AL FeT'!solver_rhs8</vt:lpstr>
      <vt:lpstr>'Bal ML FeT'!solver_rhs8</vt:lpstr>
      <vt:lpstr>'Bal AL FeMag'!solver_rhs9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Fernando</cp:lastModifiedBy>
  <dcterms:created xsi:type="dcterms:W3CDTF">2021-11-09T13:13:40Z</dcterms:created>
  <dcterms:modified xsi:type="dcterms:W3CDTF">2023-01-18T23:23:47Z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